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7425"/>
  </bookViews>
  <sheets>
    <sheet name="Total Revenue" sheetId="1" r:id="rId1"/>
  </sheets>
  <externalReferences>
    <externalReference r:id="rId2"/>
    <externalReference r:id="rId3"/>
  </externalReferences>
  <definedNames>
    <definedName name="_xlnm.Print_Area" localSheetId="0">'Total Revenue'!$A$1:$I$158</definedName>
    <definedName name="_xlnm.Print_Titles" localSheetId="0">'Total Revenue'!$A:$B,'Total Revenue'!$1:$4</definedName>
  </definedNames>
  <calcPr calcId="145621"/>
</workbook>
</file>

<file path=xl/calcChain.xml><?xml version="1.0" encoding="utf-8"?>
<calcChain xmlns="http://schemas.openxmlformats.org/spreadsheetml/2006/main">
  <c r="G152" i="1" l="1"/>
  <c r="E152" i="1"/>
  <c r="C152" i="1"/>
  <c r="I151" i="1"/>
  <c r="I152" i="1" s="1"/>
  <c r="G149" i="1"/>
  <c r="E149" i="1"/>
  <c r="I148" i="1"/>
  <c r="H148" i="1" s="1"/>
  <c r="F148" i="1"/>
  <c r="D148" i="1"/>
  <c r="I147" i="1"/>
  <c r="H147" i="1" s="1"/>
  <c r="F147" i="1"/>
  <c r="D147" i="1"/>
  <c r="I146" i="1"/>
  <c r="H146" i="1" s="1"/>
  <c r="F146" i="1"/>
  <c r="D146" i="1"/>
  <c r="I145" i="1"/>
  <c r="H145" i="1" s="1"/>
  <c r="F145" i="1"/>
  <c r="D145" i="1"/>
  <c r="I144" i="1"/>
  <c r="H144" i="1" s="1"/>
  <c r="F144" i="1"/>
  <c r="D144" i="1"/>
  <c r="I143" i="1"/>
  <c r="H143" i="1" s="1"/>
  <c r="F143" i="1"/>
  <c r="D143" i="1"/>
  <c r="I142" i="1"/>
  <c r="H142" i="1" s="1"/>
  <c r="D142" i="1"/>
  <c r="I141" i="1"/>
  <c r="H141" i="1" s="1"/>
  <c r="I140" i="1"/>
  <c r="H140" i="1" s="1"/>
  <c r="I139" i="1"/>
  <c r="H139" i="1" s="1"/>
  <c r="F139" i="1"/>
  <c r="I138" i="1"/>
  <c r="H138" i="1" s="1"/>
  <c r="I137" i="1"/>
  <c r="H137" i="1" s="1"/>
  <c r="F137" i="1"/>
  <c r="I136" i="1"/>
  <c r="H136" i="1" s="1"/>
  <c r="I135" i="1"/>
  <c r="H135" i="1" s="1"/>
  <c r="F135" i="1"/>
  <c r="I134" i="1"/>
  <c r="H134" i="1" s="1"/>
  <c r="I133" i="1"/>
  <c r="H133" i="1" s="1"/>
  <c r="I132" i="1"/>
  <c r="H132" i="1" s="1"/>
  <c r="I131" i="1"/>
  <c r="H131" i="1" s="1"/>
  <c r="I130" i="1"/>
  <c r="H130" i="1" s="1"/>
  <c r="I129" i="1"/>
  <c r="H129" i="1" s="1"/>
  <c r="I128" i="1"/>
  <c r="H128" i="1" s="1"/>
  <c r="I127" i="1"/>
  <c r="H127" i="1" s="1"/>
  <c r="I126" i="1"/>
  <c r="H126" i="1" s="1"/>
  <c r="I125" i="1"/>
  <c r="H125" i="1" s="1"/>
  <c r="C124" i="1"/>
  <c r="I124" i="1" s="1"/>
  <c r="I123" i="1"/>
  <c r="H123" i="1" s="1"/>
  <c r="I122" i="1"/>
  <c r="H122" i="1" s="1"/>
  <c r="I121" i="1"/>
  <c r="H121" i="1" s="1"/>
  <c r="I120" i="1"/>
  <c r="H120" i="1" s="1"/>
  <c r="I119" i="1"/>
  <c r="H119" i="1" s="1"/>
  <c r="I118" i="1"/>
  <c r="H118" i="1" s="1"/>
  <c r="I117" i="1"/>
  <c r="H117" i="1" s="1"/>
  <c r="I116" i="1"/>
  <c r="H116" i="1" s="1"/>
  <c r="I115" i="1"/>
  <c r="H115" i="1" s="1"/>
  <c r="I114" i="1"/>
  <c r="H114" i="1" s="1"/>
  <c r="I113" i="1"/>
  <c r="H113" i="1" s="1"/>
  <c r="I112" i="1"/>
  <c r="H112" i="1" s="1"/>
  <c r="I111" i="1"/>
  <c r="H111" i="1" s="1"/>
  <c r="I110" i="1"/>
  <c r="H110" i="1" s="1"/>
  <c r="I109" i="1"/>
  <c r="H109" i="1" s="1"/>
  <c r="I108" i="1"/>
  <c r="H108" i="1" s="1"/>
  <c r="I107" i="1"/>
  <c r="H107" i="1" s="1"/>
  <c r="I106" i="1"/>
  <c r="H106" i="1" s="1"/>
  <c r="I105" i="1"/>
  <c r="H105" i="1" s="1"/>
  <c r="I104" i="1"/>
  <c r="H104" i="1" s="1"/>
  <c r="I103" i="1"/>
  <c r="H103" i="1" s="1"/>
  <c r="I102" i="1"/>
  <c r="H102" i="1" s="1"/>
  <c r="I101" i="1"/>
  <c r="H101" i="1" s="1"/>
  <c r="I100" i="1"/>
  <c r="H100" i="1" s="1"/>
  <c r="I99" i="1"/>
  <c r="H99" i="1" s="1"/>
  <c r="I98" i="1"/>
  <c r="H98" i="1" s="1"/>
  <c r="I97" i="1"/>
  <c r="H97" i="1" s="1"/>
  <c r="I96" i="1"/>
  <c r="H96" i="1" s="1"/>
  <c r="I95" i="1"/>
  <c r="I149" i="1" s="1"/>
  <c r="G93" i="1"/>
  <c r="E93" i="1"/>
  <c r="C93" i="1"/>
  <c r="I92" i="1"/>
  <c r="H92" i="1" s="1"/>
  <c r="I91" i="1"/>
  <c r="H91" i="1" s="1"/>
  <c r="I90" i="1"/>
  <c r="H90" i="1" s="1"/>
  <c r="I89" i="1"/>
  <c r="H89" i="1" s="1"/>
  <c r="I88" i="1"/>
  <c r="H88" i="1" s="1"/>
  <c r="I87" i="1"/>
  <c r="H87" i="1" s="1"/>
  <c r="I86" i="1"/>
  <c r="H86" i="1" s="1"/>
  <c r="I85" i="1"/>
  <c r="H85" i="1" s="1"/>
  <c r="I84" i="1"/>
  <c r="H84" i="1" s="1"/>
  <c r="I83" i="1"/>
  <c r="H83" i="1" s="1"/>
  <c r="I82" i="1"/>
  <c r="H82" i="1" s="1"/>
  <c r="I81" i="1"/>
  <c r="G79" i="1"/>
  <c r="E79" i="1"/>
  <c r="C79" i="1"/>
  <c r="I78" i="1"/>
  <c r="H78" i="1" s="1"/>
  <c r="F78" i="1"/>
  <c r="I77" i="1"/>
  <c r="H77" i="1" s="1"/>
  <c r="G74" i="1"/>
  <c r="E74" i="1"/>
  <c r="E75" i="1" s="1"/>
  <c r="C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C56" i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C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C42" i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C33" i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C5" i="1"/>
  <c r="D95" i="1" l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51" i="1"/>
  <c r="C75" i="1"/>
  <c r="I42" i="1"/>
  <c r="H42" i="1" s="1"/>
  <c r="I56" i="1"/>
  <c r="I93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36" i="1"/>
  <c r="F138" i="1"/>
  <c r="F140" i="1"/>
  <c r="F142" i="1"/>
  <c r="F151" i="1"/>
  <c r="F77" i="1"/>
  <c r="H95" i="1"/>
  <c r="H151" i="1"/>
  <c r="I79" i="1"/>
  <c r="F79" i="1" s="1"/>
  <c r="G75" i="1"/>
  <c r="D77" i="1"/>
  <c r="D78" i="1"/>
  <c r="D79" i="1"/>
  <c r="F81" i="1"/>
  <c r="F82" i="1"/>
  <c r="F83" i="1"/>
  <c r="F84" i="1"/>
  <c r="F85" i="1"/>
  <c r="F86" i="1"/>
  <c r="F87" i="1"/>
  <c r="F88" i="1"/>
  <c r="F89" i="1"/>
  <c r="F90" i="1"/>
  <c r="F91" i="1"/>
  <c r="F92" i="1"/>
  <c r="F125" i="1"/>
  <c r="F126" i="1"/>
  <c r="F127" i="1"/>
  <c r="F128" i="1"/>
  <c r="F129" i="1"/>
  <c r="F130" i="1"/>
  <c r="F131" i="1"/>
  <c r="F132" i="1"/>
  <c r="F133" i="1"/>
  <c r="F134" i="1"/>
  <c r="F141" i="1"/>
  <c r="F6" i="1"/>
  <c r="D6" i="1"/>
  <c r="D8" i="1"/>
  <c r="F8" i="1"/>
  <c r="D10" i="1"/>
  <c r="F10" i="1"/>
  <c r="D12" i="1"/>
  <c r="F12" i="1"/>
  <c r="D14" i="1"/>
  <c r="F14" i="1"/>
  <c r="D16" i="1"/>
  <c r="F16" i="1"/>
  <c r="D18" i="1"/>
  <c r="F18" i="1"/>
  <c r="D20" i="1"/>
  <c r="F20" i="1"/>
  <c r="D22" i="1"/>
  <c r="F22" i="1"/>
  <c r="D24" i="1"/>
  <c r="F24" i="1"/>
  <c r="D26" i="1"/>
  <c r="F26" i="1"/>
  <c r="D28" i="1"/>
  <c r="F28" i="1"/>
  <c r="D30" i="1"/>
  <c r="F30" i="1"/>
  <c r="D32" i="1"/>
  <c r="F32" i="1"/>
  <c r="D33" i="1"/>
  <c r="F33" i="1"/>
  <c r="D35" i="1"/>
  <c r="F35" i="1"/>
  <c r="D37" i="1"/>
  <c r="F37" i="1"/>
  <c r="D39" i="1"/>
  <c r="F39" i="1"/>
  <c r="D41" i="1"/>
  <c r="F41" i="1"/>
  <c r="F42" i="1"/>
  <c r="D44" i="1"/>
  <c r="F44" i="1"/>
  <c r="D46" i="1"/>
  <c r="F46" i="1"/>
  <c r="H48" i="1"/>
  <c r="F48" i="1"/>
  <c r="D49" i="1"/>
  <c r="F49" i="1"/>
  <c r="D51" i="1"/>
  <c r="F51" i="1"/>
  <c r="D53" i="1"/>
  <c r="F53" i="1"/>
  <c r="D55" i="1"/>
  <c r="F55" i="1"/>
  <c r="D56" i="1"/>
  <c r="F56" i="1"/>
  <c r="D58" i="1"/>
  <c r="F58" i="1"/>
  <c r="D60" i="1"/>
  <c r="F60" i="1"/>
  <c r="D62" i="1"/>
  <c r="F62" i="1"/>
  <c r="D64" i="1"/>
  <c r="F64" i="1"/>
  <c r="D66" i="1"/>
  <c r="F66" i="1"/>
  <c r="D68" i="1"/>
  <c r="F68" i="1"/>
  <c r="D70" i="1"/>
  <c r="F70" i="1"/>
  <c r="D72" i="1"/>
  <c r="F72" i="1"/>
  <c r="H93" i="1"/>
  <c r="F93" i="1"/>
  <c r="D93" i="1"/>
  <c r="F124" i="1"/>
  <c r="H124" i="1"/>
  <c r="H74" i="1"/>
  <c r="F149" i="1"/>
  <c r="D152" i="1"/>
  <c r="H152" i="1"/>
  <c r="G154" i="1"/>
  <c r="H7" i="1"/>
  <c r="F7" i="1"/>
  <c r="D7" i="1"/>
  <c r="H9" i="1"/>
  <c r="F9" i="1"/>
  <c r="D9" i="1"/>
  <c r="H11" i="1"/>
  <c r="F11" i="1"/>
  <c r="D11" i="1"/>
  <c r="H13" i="1"/>
  <c r="F13" i="1"/>
  <c r="D13" i="1"/>
  <c r="H15" i="1"/>
  <c r="F15" i="1"/>
  <c r="D15" i="1"/>
  <c r="H17" i="1"/>
  <c r="F17" i="1"/>
  <c r="D17" i="1"/>
  <c r="H19" i="1"/>
  <c r="F19" i="1"/>
  <c r="D19" i="1"/>
  <c r="H21" i="1"/>
  <c r="F21" i="1"/>
  <c r="D21" i="1"/>
  <c r="H23" i="1"/>
  <c r="F23" i="1"/>
  <c r="D23" i="1"/>
  <c r="H25" i="1"/>
  <c r="F25" i="1"/>
  <c r="D25" i="1"/>
  <c r="H27" i="1"/>
  <c r="F27" i="1"/>
  <c r="D27" i="1"/>
  <c r="H29" i="1"/>
  <c r="F29" i="1"/>
  <c r="D29" i="1"/>
  <c r="H31" i="1"/>
  <c r="F31" i="1"/>
  <c r="D31" i="1"/>
  <c r="H34" i="1"/>
  <c r="F34" i="1"/>
  <c r="D34" i="1"/>
  <c r="H36" i="1"/>
  <c r="F36" i="1"/>
  <c r="D36" i="1"/>
  <c r="H38" i="1"/>
  <c r="F38" i="1"/>
  <c r="D38" i="1"/>
  <c r="H40" i="1"/>
  <c r="F40" i="1"/>
  <c r="D40" i="1"/>
  <c r="H43" i="1"/>
  <c r="F43" i="1"/>
  <c r="D43" i="1"/>
  <c r="H45" i="1"/>
  <c r="F45" i="1"/>
  <c r="D45" i="1"/>
  <c r="H47" i="1"/>
  <c r="F47" i="1"/>
  <c r="D47" i="1"/>
  <c r="H50" i="1"/>
  <c r="F50" i="1"/>
  <c r="D50" i="1"/>
  <c r="H52" i="1"/>
  <c r="F52" i="1"/>
  <c r="D52" i="1"/>
  <c r="H54" i="1"/>
  <c r="F54" i="1"/>
  <c r="D54" i="1"/>
  <c r="H57" i="1"/>
  <c r="F57" i="1"/>
  <c r="D57" i="1"/>
  <c r="H59" i="1"/>
  <c r="F59" i="1"/>
  <c r="D59" i="1"/>
  <c r="H61" i="1"/>
  <c r="F61" i="1"/>
  <c r="D61" i="1"/>
  <c r="H63" i="1"/>
  <c r="F63" i="1"/>
  <c r="D63" i="1"/>
  <c r="H65" i="1"/>
  <c r="F65" i="1"/>
  <c r="D65" i="1"/>
  <c r="H67" i="1"/>
  <c r="F67" i="1"/>
  <c r="D67" i="1"/>
  <c r="H69" i="1"/>
  <c r="F69" i="1"/>
  <c r="D69" i="1"/>
  <c r="H71" i="1"/>
  <c r="F71" i="1"/>
  <c r="D71" i="1"/>
  <c r="H73" i="1"/>
  <c r="F73" i="1"/>
  <c r="D73" i="1"/>
  <c r="E154" i="1"/>
  <c r="H149" i="1"/>
  <c r="F152" i="1"/>
  <c r="I5" i="1"/>
  <c r="D5" i="1" s="1"/>
  <c r="H6" i="1"/>
  <c r="H8" i="1"/>
  <c r="H10" i="1"/>
  <c r="H12" i="1"/>
  <c r="H14" i="1"/>
  <c r="H16" i="1"/>
  <c r="H18" i="1"/>
  <c r="H20" i="1"/>
  <c r="H22" i="1"/>
  <c r="H24" i="1"/>
  <c r="H26" i="1"/>
  <c r="H28" i="1"/>
  <c r="H30" i="1"/>
  <c r="H32" i="1"/>
  <c r="H33" i="1"/>
  <c r="H35" i="1"/>
  <c r="H37" i="1"/>
  <c r="H39" i="1"/>
  <c r="H41" i="1"/>
  <c r="H44" i="1"/>
  <c r="H46" i="1"/>
  <c r="D48" i="1"/>
  <c r="H49" i="1"/>
  <c r="H51" i="1"/>
  <c r="H53" i="1"/>
  <c r="H55" i="1"/>
  <c r="H56" i="1"/>
  <c r="H58" i="1"/>
  <c r="H60" i="1"/>
  <c r="H62" i="1"/>
  <c r="H64" i="1"/>
  <c r="H66" i="1"/>
  <c r="H68" i="1"/>
  <c r="H70" i="1"/>
  <c r="H72" i="1"/>
  <c r="D74" i="1"/>
  <c r="F74" i="1"/>
  <c r="D81" i="1"/>
  <c r="H81" i="1"/>
  <c r="D82" i="1"/>
  <c r="D83" i="1"/>
  <c r="D84" i="1"/>
  <c r="D85" i="1"/>
  <c r="D86" i="1"/>
  <c r="D87" i="1"/>
  <c r="D88" i="1"/>
  <c r="D89" i="1"/>
  <c r="D90" i="1"/>
  <c r="D91" i="1"/>
  <c r="D92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C149" i="1"/>
  <c r="D149" i="1" s="1"/>
  <c r="D42" i="1" l="1"/>
  <c r="H79" i="1"/>
  <c r="H5" i="1"/>
  <c r="F5" i="1"/>
  <c r="I75" i="1"/>
  <c r="C154" i="1"/>
  <c r="I154" i="1" l="1"/>
  <c r="D154" i="1" s="1"/>
  <c r="H75" i="1"/>
  <c r="F75" i="1"/>
  <c r="D75" i="1"/>
  <c r="F154" i="1" l="1"/>
  <c r="H154" i="1"/>
</calcChain>
</file>

<file path=xl/sharedStrings.xml><?xml version="1.0" encoding="utf-8"?>
<sst xmlns="http://schemas.openxmlformats.org/spreadsheetml/2006/main" count="158" uniqueCount="158">
  <si>
    <t>Federal, State and Local Revenue as a Percent of Total Revenue - FY 2010-2011</t>
  </si>
  <si>
    <t>Federal 
Revenue</t>
  </si>
  <si>
    <t>Federal 
Revenue as 
a Percent 
of Total 
Revenue</t>
  </si>
  <si>
    <t>State
 Revenue</t>
  </si>
  <si>
    <t>State 
Revenue as 
a Percent 
of Total 
Revenue</t>
  </si>
  <si>
    <t xml:space="preserve">Local 
Revenue </t>
  </si>
  <si>
    <t>Local 
Revenue as 
a Percent 
of Total 
Revenue</t>
  </si>
  <si>
    <t>Total 
Revenue</t>
  </si>
  <si>
    <t>LEA</t>
  </si>
  <si>
    <t>District/Agency Name</t>
  </si>
  <si>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</si>
  <si>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</si>
  <si>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</si>
  <si>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</si>
  <si>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</si>
  <si>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</si>
  <si>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</si>
  <si>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</si>
  <si>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</si>
  <si>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Calcasieu Parish School Board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</si>
  <si>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</si>
  <si>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</si>
  <si>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</si>
  <si>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</si>
  <si>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</si>
  <si>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</si>
  <si>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 xml:space="preserve">East Baton Rouge Parish School Board 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</si>
  <si>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</si>
  <si>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</si>
  <si>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</si>
  <si>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</si>
  <si>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</si>
  <si>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</si>
  <si>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</si>
  <si>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</si>
  <si>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</si>
  <si>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>Jefferson Davis Parish School Board</t>
  </si>
  <si>
    <t>Lafayette Parish School Board</t>
  </si>
  <si>
    <t>Lafourche Parish School Board*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</si>
  <si>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</si>
  <si>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</si>
  <si>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</si>
  <si>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</si>
  <si>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</si>
  <si>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</si>
  <si>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</si>
  <si>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</si>
  <si>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Board*</t>
  </si>
  <si>
    <t xml:space="preserve">Pointe Coupee Parish School Board </t>
  </si>
  <si>
    <t>Rapides Parish School Board</t>
  </si>
  <si>
    <t>Red River Parish School Board</t>
  </si>
  <si>
    <t>Richland Parish School Board</t>
  </si>
  <si>
    <t>Sabine Parish School Board</t>
  </si>
  <si>
    <t>St. Bernard Parish School Board*</t>
  </si>
  <si>
    <t>St. Charles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</si>
  <si>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</si>
  <si>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</si>
  <si>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</si>
  <si>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</si>
  <si>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</si>
  <si>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</si>
  <si>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Board*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</si>
  <si>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</si>
  <si>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</si>
  <si>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</si>
  <si>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</si>
  <si>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</si>
  <si>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</si>
  <si>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</si>
  <si>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</si>
  <si>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</si>
  <si>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</si>
  <si>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</si>
  <si>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</si>
  <si>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</si>
  <si>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</si>
  <si>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</si>
  <si>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</si>
  <si>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</si>
  <si>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Recovery School District (RSD OPERATED)</t>
  </si>
  <si>
    <t>Total City/Parish School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</si>
  <si>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</si>
  <si>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</si>
  <si>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</si>
  <si>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</si>
  <si>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</si>
  <si>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</si>
  <si>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</si>
  <si>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</si>
  <si>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</si>
  <si>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</si>
  <si>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</si>
  <si>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</si>
  <si>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</si>
  <si>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</si>
  <si>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 xml:space="preserve">International High School 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</si>
  <si>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</si>
  <si>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</si>
  <si>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</si>
  <si>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</si>
  <si>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</si>
  <si>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</si>
  <si>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</si>
  <si>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</si>
  <si>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 xml:space="preserve">Batiste Cultural Arts Academy at Live Oak Elem. </t>
  </si>
  <si>
    <t>SciTech Academy at Laurel Elementary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</si>
  <si>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</si>
  <si>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</si>
  <si>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</si>
  <si>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</si>
  <si>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</si>
  <si>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</si>
  <si>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</si>
  <si>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</si>
  <si>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</si>
  <si>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</si>
  <si>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</si>
  <si>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</si>
  <si>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</si>
  <si>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</si>
  <si>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</si>
  <si>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</si>
  <si>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</si>
  <si>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</si>
  <si>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</si>
  <si>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</si>
  <si>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</si>
  <si>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</si>
  <si>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</si>
  <si>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</si>
  <si>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</si>
  <si>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</si>
  <si>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</si>
  <si>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</si>
  <si>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</si>
  <si>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</si>
  <si>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</si>
  <si>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</si>
  <si>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</si>
  <si>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</si>
  <si>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</si>
  <si>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</si>
  <si>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</si>
  <si>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</si>
  <si>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</si>
  <si>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</si>
  <si>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</si>
  <si>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>KIPP New Orleans Leadership Academy</t>
  </si>
  <si>
    <t>Samuel J. Green (FirstLine)</t>
  </si>
  <si>
    <t>New Orleans Charter Middle School (FirstLine)</t>
  </si>
  <si>
    <t>John Dibert Community School (FirstLine)</t>
  </si>
  <si>
    <t>Total Type 5 Charter Schools</t>
  </si>
  <si>
    <t>A02</t>
  </si>
  <si>
    <t xml:space="preserve">Office of Juvenile Justice </t>
  </si>
  <si>
    <t>Total Office of Juvenile Justice Schools</t>
  </si>
  <si>
    <t>Total State</t>
  </si>
  <si>
    <t xml:space="preserve">* Each city/parish school district transfers local revenue to Type 2 Charter Schools, the Recovery School District, and the Office of Juvenile Justice. Each school that receives this local revenue reports the revenue as miscellaneous local revenue. In order for state-level reporting to accurately reflect the local revenue of each city/parish school district, these local revenue transfers are subtracted from the local revenue of the city/parish school district. </t>
  </si>
  <si>
    <t>* Excludes one-time Hurricane Related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</si>
</sst>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Courier New"/>
      <family val="2"/>
    </font>
    <font>
      <sz val="10"/>
      <name val="Arial"/>
      <family val="2"/>
    </font>
    <font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8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</borders>
  <cellStyleXfs count="25">
    <xf numFmtId="0" fontId="0" fillId="0" borderId="0"/>
    <xf numFmtId="0" fontId="6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</cellStyleXfs>
  <cellXfs count="85">
    <xf numFmtId="0" fontId="0" fillId="0" borderId="0" xfId="0"/>
    <xf numFmtId="38" fontId="3" fillId="0" borderId="0" xfId="0" applyNumberFormat="1" applyFont="1"/>
    <xf numFmtId="38" fontId="4" fillId="0" borderId="0" xfId="0" applyNumberFormat="1" applyFont="1" applyAlignment="1">
      <alignment wrapText="1"/>
    </xf>
    <xf numFmtId="38" fontId="5" fillId="2" borderId="1" xfId="0" applyNumberFormat="1" applyFont="1" applyFill="1" applyBorder="1" applyAlignment="1">
      <alignment horizontal="center" vertical="center" wrapText="1"/>
    </xf>
    <xf numFmtId="38" fontId="4" fillId="2" borderId="2" xfId="0" applyNumberFormat="1" applyFont="1" applyFill="1" applyBorder="1" applyAlignment="1">
      <alignment horizontal="center" wrapText="1"/>
    </xf>
    <xf numFmtId="38" fontId="5" fillId="3" borderId="1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wrapText="1"/>
    </xf>
    <xf numFmtId="38" fontId="5" fillId="4" borderId="1" xfId="0" applyNumberFormat="1" applyFont="1" applyFill="1" applyBorder="1" applyAlignment="1">
      <alignment horizontal="center" vertical="center" wrapText="1"/>
    </xf>
    <xf numFmtId="38" fontId="4" fillId="4" borderId="2" xfId="0" applyNumberFormat="1" applyFont="1" applyFill="1" applyBorder="1" applyAlignment="1">
      <alignment horizontal="center" wrapText="1"/>
    </xf>
    <xf numFmtId="38" fontId="5" fillId="5" borderId="3" xfId="0" applyNumberFormat="1" applyFont="1" applyFill="1" applyBorder="1" applyAlignment="1">
      <alignment horizontal="center" vertical="center" wrapText="1"/>
    </xf>
    <xf numFmtId="37" fontId="4" fillId="5" borderId="4" xfId="0" applyNumberFormat="1" applyFont="1" applyFill="1" applyBorder="1" applyAlignment="1">
      <alignment horizontal="center" vertical="center" wrapText="1"/>
    </xf>
    <xf numFmtId="38" fontId="7" fillId="6" borderId="5" xfId="1" applyNumberFormat="1" applyFont="1" applyFill="1" applyBorder="1" applyAlignment="1">
      <alignment horizontal="center"/>
    </xf>
    <xf numFmtId="38" fontId="7" fillId="6" borderId="6" xfId="1" applyNumberFormat="1" applyFont="1" applyFill="1" applyBorder="1" applyAlignment="1">
      <alignment horizontal="center"/>
    </xf>
    <xf numFmtId="0" fontId="7" fillId="6" borderId="6" xfId="2" applyFont="1" applyFill="1" applyBorder="1" applyAlignment="1">
      <alignment horizontal="center"/>
    </xf>
    <xf numFmtId="0" fontId="7" fillId="6" borderId="7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right" wrapText="1"/>
    </xf>
    <xf numFmtId="0" fontId="7" fillId="0" borderId="8" xfId="2" applyFont="1" applyFill="1" applyBorder="1" applyAlignment="1">
      <alignment horizontal="left" wrapText="1"/>
    </xf>
    <xf numFmtId="164" fontId="7" fillId="0" borderId="9" xfId="3" applyNumberFormat="1" applyFont="1" applyBorder="1"/>
    <xf numFmtId="10" fontId="7" fillId="0" borderId="10" xfId="2" applyNumberFormat="1" applyFont="1" applyFill="1" applyBorder="1" applyAlignment="1">
      <alignment horizontal="right" wrapText="1"/>
    </xf>
    <xf numFmtId="164" fontId="7" fillId="0" borderId="9" xfId="3" applyNumberFormat="1" applyFont="1" applyFill="1" applyBorder="1"/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left" wrapText="1"/>
    </xf>
    <xf numFmtId="164" fontId="7" fillId="0" borderId="12" xfId="3" applyNumberFormat="1" applyFont="1" applyBorder="1"/>
    <xf numFmtId="10" fontId="7" fillId="0" borderId="13" xfId="2" applyNumberFormat="1" applyFont="1" applyFill="1" applyBorder="1" applyAlignment="1">
      <alignment horizontal="right" wrapText="1"/>
    </xf>
    <xf numFmtId="164" fontId="7" fillId="0" borderId="12" xfId="3" applyNumberFormat="1" applyFont="1" applyFill="1" applyBorder="1"/>
    <xf numFmtId="164" fontId="7" fillId="0" borderId="13" xfId="2" applyNumberFormat="1" applyFont="1" applyFill="1" applyBorder="1" applyAlignment="1">
      <alignment horizontal="right" wrapText="1"/>
    </xf>
    <xf numFmtId="0" fontId="7" fillId="0" borderId="14" xfId="2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left" wrapText="1"/>
    </xf>
    <xf numFmtId="164" fontId="7" fillId="0" borderId="15" xfId="3" applyNumberFormat="1" applyFont="1" applyBorder="1"/>
    <xf numFmtId="10" fontId="7" fillId="0" borderId="6" xfId="2" applyNumberFormat="1" applyFont="1" applyFill="1" applyBorder="1" applyAlignment="1">
      <alignment horizontal="right" wrapText="1"/>
    </xf>
    <xf numFmtId="164" fontId="7" fillId="0" borderId="15" xfId="3" applyNumberFormat="1" applyFont="1" applyFill="1" applyBorder="1"/>
    <xf numFmtId="164" fontId="7" fillId="0" borderId="6" xfId="2" applyNumberFormat="1" applyFont="1" applyFill="1" applyBorder="1" applyAlignment="1">
      <alignment horizontal="right" wrapText="1"/>
    </xf>
    <xf numFmtId="164" fontId="7" fillId="0" borderId="16" xfId="3" applyNumberFormat="1" applyFont="1" applyBorder="1"/>
    <xf numFmtId="164" fontId="7" fillId="0" borderId="16" xfId="3" applyNumberFormat="1" applyFont="1" applyFill="1" applyBorder="1"/>
    <xf numFmtId="38" fontId="3" fillId="0" borderId="0" xfId="0" applyNumberFormat="1" applyFont="1" applyBorder="1"/>
    <xf numFmtId="0" fontId="4" fillId="0" borderId="17" xfId="0" applyFont="1" applyBorder="1" applyAlignment="1">
      <alignment horizontal="left"/>
    </xf>
    <xf numFmtId="0" fontId="8" fillId="0" borderId="18" xfId="2" applyFont="1" applyFill="1" applyBorder="1" applyAlignment="1">
      <alignment horizontal="left" wrapText="1"/>
    </xf>
    <xf numFmtId="164" fontId="4" fillId="0" borderId="18" xfId="0" applyNumberFormat="1" applyFont="1" applyBorder="1"/>
    <xf numFmtId="10" fontId="4" fillId="0" borderId="18" xfId="0" applyNumberFormat="1" applyFont="1" applyBorder="1"/>
    <xf numFmtId="0" fontId="3" fillId="6" borderId="19" xfId="0" applyFont="1" applyFill="1" applyBorder="1"/>
    <xf numFmtId="0" fontId="3" fillId="6" borderId="20" xfId="0" applyFont="1" applyFill="1" applyBorder="1"/>
    <xf numFmtId="0" fontId="3" fillId="6" borderId="21" xfId="0" applyFont="1" applyFill="1" applyBorder="1"/>
    <xf numFmtId="0" fontId="7" fillId="0" borderId="22" xfId="2" applyFont="1" applyFill="1" applyBorder="1" applyAlignment="1">
      <alignment horizontal="right" wrapText="1"/>
    </xf>
    <xf numFmtId="0" fontId="7" fillId="0" borderId="22" xfId="2" applyFont="1" applyFill="1" applyBorder="1" applyAlignment="1">
      <alignment horizontal="left" wrapText="1"/>
    </xf>
    <xf numFmtId="10" fontId="7" fillId="0" borderId="23" xfId="2" applyNumberFormat="1" applyFont="1" applyFill="1" applyBorder="1" applyAlignment="1">
      <alignment horizontal="right" wrapText="1"/>
    </xf>
    <xf numFmtId="164" fontId="7" fillId="0" borderId="23" xfId="2" applyNumberFormat="1" applyFont="1" applyFill="1" applyBorder="1" applyAlignment="1">
      <alignment horizontal="right" wrapText="1"/>
    </xf>
    <xf numFmtId="0" fontId="7" fillId="0" borderId="14" xfId="2" applyFont="1" applyFill="1" applyBorder="1" applyAlignment="1">
      <alignment horizontal="left" wrapText="1"/>
    </xf>
    <xf numFmtId="10" fontId="7" fillId="0" borderId="24" xfId="2" applyNumberFormat="1" applyFont="1" applyFill="1" applyBorder="1" applyAlignment="1">
      <alignment horizontal="right" wrapText="1"/>
    </xf>
    <xf numFmtId="0" fontId="3" fillId="0" borderId="25" xfId="0" applyFont="1" applyBorder="1"/>
    <xf numFmtId="0" fontId="4" fillId="0" borderId="26" xfId="0" applyFont="1" applyBorder="1" applyAlignment="1">
      <alignment horizontal="left"/>
    </xf>
    <xf numFmtId="164" fontId="4" fillId="0" borderId="0" xfId="0" applyNumberFormat="1" applyFont="1"/>
    <xf numFmtId="10" fontId="8" fillId="0" borderId="18" xfId="2" applyNumberFormat="1" applyFont="1" applyFill="1" applyBorder="1" applyAlignment="1">
      <alignment horizontal="right" wrapText="1"/>
    </xf>
    <xf numFmtId="0" fontId="7" fillId="0" borderId="27" xfId="2" applyFont="1" applyFill="1" applyBorder="1" applyAlignment="1">
      <alignment horizontal="right" wrapText="1"/>
    </xf>
    <xf numFmtId="0" fontId="7" fillId="0" borderId="28" xfId="2" applyFont="1" applyFill="1" applyBorder="1" applyAlignment="1">
      <alignment horizontal="left" wrapText="1"/>
    </xf>
    <xf numFmtId="10" fontId="7" fillId="0" borderId="27" xfId="2" applyNumberFormat="1" applyFont="1" applyFill="1" applyBorder="1" applyAlignment="1">
      <alignment horizontal="right" wrapText="1"/>
    </xf>
    <xf numFmtId="0" fontId="7" fillId="0" borderId="13" xfId="2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right" wrapText="1"/>
    </xf>
    <xf numFmtId="0" fontId="7" fillId="0" borderId="10" xfId="2" applyFont="1" applyFill="1" applyBorder="1" applyAlignment="1">
      <alignment horizontal="right" wrapText="1"/>
    </xf>
    <xf numFmtId="164" fontId="4" fillId="0" borderId="14" xfId="0" applyNumberFormat="1" applyFont="1" applyBorder="1"/>
    <xf numFmtId="10" fontId="8" fillId="0" borderId="6" xfId="2" applyNumberFormat="1" applyFont="1" applyFill="1" applyBorder="1" applyAlignment="1">
      <alignment horizontal="right" wrapText="1"/>
    </xf>
    <xf numFmtId="10" fontId="8" fillId="0" borderId="29" xfId="2" applyNumberFormat="1" applyFont="1" applyFill="1" applyBorder="1" applyAlignment="1">
      <alignment horizontal="right" wrapText="1"/>
    </xf>
    <xf numFmtId="0" fontId="3" fillId="6" borderId="30" xfId="0" applyFont="1" applyFill="1" applyBorder="1"/>
    <xf numFmtId="0" fontId="7" fillId="0" borderId="10" xfId="2" applyFont="1" applyFill="1" applyBorder="1" applyAlignment="1">
      <alignment wrapText="1"/>
    </xf>
    <xf numFmtId="0" fontId="7" fillId="0" borderId="13" xfId="2" applyFont="1" applyFill="1" applyBorder="1" applyAlignment="1">
      <alignment wrapText="1"/>
    </xf>
    <xf numFmtId="0" fontId="7" fillId="7" borderId="13" xfId="2" applyFont="1" applyFill="1" applyBorder="1" applyAlignment="1">
      <alignment horizontal="right" wrapText="1"/>
    </xf>
    <xf numFmtId="0" fontId="7" fillId="7" borderId="13" xfId="2" applyFont="1" applyFill="1" applyBorder="1" applyAlignment="1">
      <alignment wrapText="1"/>
    </xf>
    <xf numFmtId="0" fontId="7" fillId="7" borderId="6" xfId="2" applyFont="1" applyFill="1" applyBorder="1" applyAlignment="1">
      <alignment horizontal="right" wrapText="1"/>
    </xf>
    <xf numFmtId="0" fontId="7" fillId="7" borderId="6" xfId="2" applyFont="1" applyFill="1" applyBorder="1" applyAlignment="1">
      <alignment wrapText="1"/>
    </xf>
    <xf numFmtId="0" fontId="7" fillId="0" borderId="13" xfId="2" applyFont="1" applyFill="1" applyBorder="1" applyAlignment="1">
      <alignment horizontal="left" wrapText="1"/>
    </xf>
    <xf numFmtId="0" fontId="7" fillId="0" borderId="6" xfId="2" applyFont="1" applyFill="1" applyBorder="1" applyAlignment="1">
      <alignment wrapText="1"/>
    </xf>
    <xf numFmtId="6" fontId="4" fillId="0" borderId="14" xfId="0" applyNumberFormat="1" applyFont="1" applyBorder="1"/>
    <xf numFmtId="10" fontId="4" fillId="0" borderId="5" xfId="0" applyNumberFormat="1" applyFont="1" applyBorder="1" applyAlignment="1">
      <alignment horizontal="right" vertical="center" wrapText="1"/>
    </xf>
    <xf numFmtId="6" fontId="4" fillId="0" borderId="6" xfId="0" applyNumberFormat="1" applyFont="1" applyBorder="1"/>
    <xf numFmtId="10" fontId="4" fillId="0" borderId="6" xfId="0" applyNumberFormat="1" applyFont="1" applyBorder="1" applyAlignment="1">
      <alignment horizontal="right" vertical="center" wrapText="1"/>
    </xf>
    <xf numFmtId="0" fontId="3" fillId="0" borderId="31" xfId="0" applyFont="1" applyBorder="1"/>
    <xf numFmtId="0" fontId="4" fillId="0" borderId="32" xfId="0" applyFont="1" applyBorder="1" applyAlignment="1">
      <alignment horizontal="left"/>
    </xf>
    <xf numFmtId="164" fontId="4" fillId="0" borderId="33" xfId="0" applyNumberFormat="1" applyFont="1" applyBorder="1"/>
    <xf numFmtId="10" fontId="4" fillId="0" borderId="34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/>
    <xf numFmtId="10" fontId="4" fillId="0" borderId="0" xfId="0" applyNumberFormat="1" applyFont="1" applyBorder="1" applyAlignment="1">
      <alignment horizontal="right" vertical="center" wrapText="1"/>
    </xf>
    <xf numFmtId="38" fontId="2" fillId="0" borderId="0" xfId="0" applyNumberFormat="1" applyFont="1" applyAlignment="1">
      <alignment horizontal="center"/>
    </xf>
    <xf numFmtId="38" fontId="3" fillId="0" borderId="0" xfId="0" applyNumberFormat="1" applyFont="1" applyFill="1" applyAlignment="1">
      <alignment horizontal="left" vertical="top" wrapText="1"/>
    </xf>
  </cellXfs>
  <cellStyles count="25">
    <cellStyle name="Comma 2" xfId="4"/>
    <cellStyle name="Comma 4" xfId="5"/>
    <cellStyle name="Comma 9" xfId="6"/>
    <cellStyle name="Normal" xfId="0" builtinId="0"/>
    <cellStyle name="Normal 10 2" xfId="7"/>
    <cellStyle name="Normal 11 2" xfId="8"/>
    <cellStyle name="Normal 16" xfId="9"/>
    <cellStyle name="Normal 16 2" xfId="10"/>
    <cellStyle name="Normal 19" xfId="11"/>
    <cellStyle name="Normal 19 2" xfId="12"/>
    <cellStyle name="Normal 2 2" xfId="13"/>
    <cellStyle name="Normal 2 3" xfId="14"/>
    <cellStyle name="Normal 2 4" xfId="15"/>
    <cellStyle name="Normal 3 2" xfId="16"/>
    <cellStyle name="Normal 33" xfId="17"/>
    <cellStyle name="Normal 4 2" xfId="18"/>
    <cellStyle name="Normal 4 3" xfId="19"/>
    <cellStyle name="Normal 4 4" xfId="20"/>
    <cellStyle name="Normal 4 5" xfId="21"/>
    <cellStyle name="Normal 4 6" xfId="22"/>
    <cellStyle name="Normal 7 2" xfId="23"/>
    <cellStyle name="Normal 8 2" xfId="24"/>
    <cellStyle name="Normal_Revenue" xfId="1"/>
    <cellStyle name="Normal_Sheet1" xfId="2"/>
    <cellStyle name="Normal_Total Revenu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Revenue/1-FY10-11%20Total%20Local%20State%20and%20Federal%20Revenue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Revenue/2-FY10-11%20Federal,%20State%20and%20Local%20Revenue%20by%20Perc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Revenue"/>
      <sheetName val="Fed -Hurricane Data"/>
      <sheetName val="State Hurricane Data"/>
      <sheetName val="Local Hurricane Data"/>
    </sheetNames>
    <sheetDataSet>
      <sheetData sheetId="0">
        <row r="5">
          <cell r="C5">
            <v>18415795</v>
          </cell>
        </row>
        <row r="74">
          <cell r="D74">
            <v>44296590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Revenue"/>
      <sheetName val="AFR-Data"/>
      <sheetName val="Hurricane"/>
      <sheetName val="Local Transfers"/>
    </sheetNames>
    <sheetDataSet>
      <sheetData sheetId="0"/>
      <sheetData sheetId="1"/>
      <sheetData sheetId="2">
        <row r="6">
          <cell r="F6">
            <v>-900893</v>
          </cell>
        </row>
        <row r="7">
          <cell r="F7">
            <v>30518120</v>
          </cell>
        </row>
        <row r="8">
          <cell r="F8">
            <v>52914154</v>
          </cell>
        </row>
        <row r="9">
          <cell r="F9">
            <v>4346052</v>
          </cell>
        </row>
        <row r="12">
          <cell r="F12">
            <v>44650</v>
          </cell>
        </row>
        <row r="13">
          <cell r="F13">
            <v>84115249</v>
          </cell>
        </row>
      </sheetData>
      <sheetData sheetId="3">
        <row r="7">
          <cell r="I7">
            <v>-2030</v>
          </cell>
        </row>
        <row r="8">
          <cell r="I8">
            <v>-2632</v>
          </cell>
        </row>
        <row r="9">
          <cell r="I9">
            <v>-690</v>
          </cell>
        </row>
        <row r="10">
          <cell r="I10">
            <v>-8529</v>
          </cell>
        </row>
        <row r="11">
          <cell r="I11">
            <v>-6104</v>
          </cell>
        </row>
        <row r="12">
          <cell r="I12">
            <v>-7895</v>
          </cell>
        </row>
        <row r="13">
          <cell r="I13">
            <v>0</v>
          </cell>
        </row>
        <row r="14">
          <cell r="I14">
            <v>-11506</v>
          </cell>
        </row>
        <row r="15">
          <cell r="I15">
            <v>-2489916.8199999998</v>
          </cell>
        </row>
        <row r="16">
          <cell r="I16">
            <v>-26099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-1205</v>
          </cell>
        </row>
        <row r="20">
          <cell r="I20">
            <v>-1029</v>
          </cell>
        </row>
        <row r="21">
          <cell r="I21">
            <v>-4701</v>
          </cell>
        </row>
        <row r="22">
          <cell r="I22">
            <v>-14775</v>
          </cell>
        </row>
        <row r="23">
          <cell r="I23">
            <v>-13526903.771974545</v>
          </cell>
        </row>
        <row r="24">
          <cell r="I24">
            <v>-1143</v>
          </cell>
        </row>
        <row r="25">
          <cell r="I25">
            <v>0</v>
          </cell>
        </row>
        <row r="26">
          <cell r="I26">
            <v>-19835</v>
          </cell>
        </row>
        <row r="27">
          <cell r="I27">
            <v>-19098</v>
          </cell>
        </row>
        <row r="28">
          <cell r="I28">
            <v>-3768</v>
          </cell>
        </row>
        <row r="29">
          <cell r="I29">
            <v>-25325</v>
          </cell>
        </row>
        <row r="30">
          <cell r="I30">
            <v>-34752</v>
          </cell>
        </row>
        <row r="31">
          <cell r="I31">
            <v>0</v>
          </cell>
        </row>
        <row r="32">
          <cell r="I32">
            <v>-255563.26624999999</v>
          </cell>
        </row>
        <row r="33">
          <cell r="I33">
            <v>-1660</v>
          </cell>
        </row>
        <row r="34">
          <cell r="I34">
            <v>-48582</v>
          </cell>
        </row>
        <row r="35">
          <cell r="I35">
            <v>-48166</v>
          </cell>
        </row>
        <row r="36">
          <cell r="I36">
            <v>0</v>
          </cell>
        </row>
        <row r="37">
          <cell r="I37">
            <v>-27269.834999999999</v>
          </cell>
        </row>
        <row r="38">
          <cell r="I38">
            <v>-4569</v>
          </cell>
        </row>
        <row r="39">
          <cell r="I39">
            <v>-19124</v>
          </cell>
        </row>
        <row r="40">
          <cell r="I40">
            <v>-8415</v>
          </cell>
        </row>
        <row r="41">
          <cell r="I41">
            <v>-9029</v>
          </cell>
        </row>
        <row r="42">
          <cell r="I42">
            <v>-111375536.49124999</v>
          </cell>
        </row>
        <row r="43">
          <cell r="I43">
            <v>-25245.58</v>
          </cell>
        </row>
        <row r="44">
          <cell r="I44">
            <v>0</v>
          </cell>
        </row>
        <row r="45">
          <cell r="I45">
            <v>-1179622.720786517</v>
          </cell>
        </row>
        <row r="46">
          <cell r="I46">
            <v>-24840</v>
          </cell>
        </row>
        <row r="47">
          <cell r="I47">
            <v>-1285</v>
          </cell>
        </row>
        <row r="48">
          <cell r="I48">
            <v>-10107</v>
          </cell>
        </row>
        <row r="49">
          <cell r="I49">
            <v>-9875</v>
          </cell>
        </row>
        <row r="50">
          <cell r="I50">
            <v>-10294</v>
          </cell>
        </row>
        <row r="51">
          <cell r="I51">
            <v>-8966</v>
          </cell>
        </row>
        <row r="52">
          <cell r="I52">
            <v>-419447</v>
          </cell>
        </row>
        <row r="53">
          <cell r="I53">
            <v>0</v>
          </cell>
        </row>
        <row r="54">
          <cell r="I54">
            <v>-5663</v>
          </cell>
        </row>
        <row r="55">
          <cell r="I55">
            <v>-20203</v>
          </cell>
        </row>
        <row r="56">
          <cell r="I56">
            <v>-8908</v>
          </cell>
        </row>
        <row r="57">
          <cell r="I57">
            <v>-20921</v>
          </cell>
        </row>
        <row r="58">
          <cell r="I58">
            <v>-46824.182500000003</v>
          </cell>
        </row>
        <row r="59">
          <cell r="I59">
            <v>-14894</v>
          </cell>
        </row>
        <row r="60">
          <cell r="I60">
            <v>0</v>
          </cell>
        </row>
        <row r="61">
          <cell r="I61">
            <v>-18973</v>
          </cell>
        </row>
        <row r="62">
          <cell r="I62">
            <v>-879450.20499999996</v>
          </cell>
        </row>
        <row r="63">
          <cell r="I63">
            <v>-14425</v>
          </cell>
        </row>
        <row r="64">
          <cell r="I64">
            <v>-787</v>
          </cell>
        </row>
        <row r="65">
          <cell r="I65">
            <v>-4263</v>
          </cell>
        </row>
        <row r="66">
          <cell r="I66">
            <v>-7331</v>
          </cell>
        </row>
        <row r="67">
          <cell r="I67">
            <v>-19763</v>
          </cell>
        </row>
        <row r="68">
          <cell r="I68">
            <v>-1069</v>
          </cell>
        </row>
        <row r="69">
          <cell r="I69">
            <v>-2640</v>
          </cell>
        </row>
        <row r="70">
          <cell r="I70">
            <v>-2567</v>
          </cell>
        </row>
        <row r="71">
          <cell r="I71">
            <v>-33556</v>
          </cell>
        </row>
        <row r="72">
          <cell r="I72">
            <v>-4676</v>
          </cell>
        </row>
        <row r="73">
          <cell r="I73">
            <v>-6756.1612500000001</v>
          </cell>
        </row>
        <row r="74">
          <cell r="I74">
            <v>-19663.612499999999</v>
          </cell>
        </row>
        <row r="75">
          <cell r="I75">
            <v>-7913.27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abSelected="1" view="pageBreakPreview" zoomScaleNormal="87" zoomScaleSheetLayoutView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I162" sqref="I162"/>
    </sheetView>
  </sheetViews>
  <sheetFormatPr defaultRowHeight="12.75" x14ac:dyDescent="0.2"/>
  <cols>
    <col min="1" max="1" width="5.85546875" style="1" customWidth="1"/>
    <col min="2" max="2" width="41.5703125" style="1" customWidth="1"/>
    <col min="3" max="3" width="12.7109375" style="1" customWidth="1"/>
    <col min="4" max="4" width="9.28515625" style="1" customWidth="1"/>
    <col min="5" max="5" width="12.85546875" style="1" customWidth="1"/>
    <col min="6" max="6" width="9.28515625" style="1" customWidth="1"/>
    <col min="7" max="7" width="12.7109375" style="1" customWidth="1"/>
    <col min="8" max="8" width="9.28515625" style="1" customWidth="1"/>
    <col min="9" max="9" width="13.42578125" style="1" customWidth="1"/>
    <col min="10" max="10" width="9.140625" style="1"/>
    <col min="11" max="11" width="11.7109375" style="1" bestFit="1" customWidth="1"/>
    <col min="12" max="16384" width="9.140625" style="1"/>
  </cols>
  <sheetData>
    <row r="1" spans="1:9" ht="24.75" customHeight="1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10.5" customHeight="1" thickBot="1" x14ac:dyDescent="0.25"/>
    <row r="3" spans="1:9" ht="80.25" customHeight="1" thickBot="1" x14ac:dyDescent="0.25">
      <c r="A3" s="2"/>
      <c r="B3" s="2"/>
      <c r="C3" s="3" t="s">
        <v>1</v>
      </c>
      <c r="D3" s="4" t="s">
        <v>2</v>
      </c>
      <c r="E3" s="5" t="s">
        <v>3</v>
      </c>
      <c r="F3" s="6" t="s">
        <v>4</v>
      </c>
      <c r="G3" s="7" t="s">
        <v>5</v>
      </c>
      <c r="H3" s="8" t="s">
        <v>6</v>
      </c>
      <c r="I3" s="9" t="s">
        <v>7</v>
      </c>
    </row>
    <row r="4" spans="1:9" x14ac:dyDescent="0.2">
      <c r="A4" s="10" t="s">
        <v>8</v>
      </c>
      <c r="B4" s="10" t="s">
        <v>9</v>
      </c>
      <c r="C4" s="11"/>
      <c r="D4" s="11"/>
      <c r="E4" s="12"/>
      <c r="F4" s="12"/>
      <c r="G4" s="13"/>
      <c r="H4" s="14"/>
      <c r="I4" s="13"/>
    </row>
    <row r="5" spans="1:9" x14ac:dyDescent="0.2">
      <c r="A5" s="15">
        <v>1</v>
      </c>
      <c r="B5" s="16" t="s">
        <v>10</v>
      </c>
      <c r="C5" s="17">
        <f>'[1]Total Revenue'!$C$5</f>
        <v>18415795</v>
      </c>
      <c r="D5" s="18">
        <f t="shared" ref="D5:D68" si="0">C5/$I5</f>
        <v>0.20130763312254898</v>
      </c>
      <c r="E5" s="17">
        <v>50744777</v>
      </c>
      <c r="F5" s="18">
        <f t="shared" ref="F5:F68" si="1">E5/$I5</f>
        <v>0.55470377201752963</v>
      </c>
      <c r="G5" s="19">
        <f>22322316+'[2]Local Transfers'!I7</f>
        <v>22320286</v>
      </c>
      <c r="H5" s="18">
        <f t="shared" ref="H5:H68" si="2">G5/$I5</f>
        <v>0.24398859485992141</v>
      </c>
      <c r="I5" s="20">
        <f t="shared" ref="I5:I68" si="3">C5+E5+G5</f>
        <v>91480858</v>
      </c>
    </row>
    <row r="6" spans="1:9" x14ac:dyDescent="0.2">
      <c r="A6" s="21">
        <v>2</v>
      </c>
      <c r="B6" s="22" t="s">
        <v>11</v>
      </c>
      <c r="C6" s="23">
        <v>6617619</v>
      </c>
      <c r="D6" s="24">
        <f t="shared" si="0"/>
        <v>0.14096381430763269</v>
      </c>
      <c r="E6" s="23">
        <v>27305832</v>
      </c>
      <c r="F6" s="24">
        <f t="shared" si="1"/>
        <v>0.58164941674088744</v>
      </c>
      <c r="G6" s="25">
        <f>13024697+'[2]Local Transfers'!I8</f>
        <v>13022065</v>
      </c>
      <c r="H6" s="24">
        <f t="shared" si="2"/>
        <v>0.27738676895147985</v>
      </c>
      <c r="I6" s="26">
        <f t="shared" si="3"/>
        <v>46945516</v>
      </c>
    </row>
    <row r="7" spans="1:9" x14ac:dyDescent="0.2">
      <c r="A7" s="21">
        <v>3</v>
      </c>
      <c r="B7" s="22" t="s">
        <v>12</v>
      </c>
      <c r="C7" s="23">
        <v>23893557</v>
      </c>
      <c r="D7" s="24">
        <f t="shared" si="0"/>
        <v>0.11220031742844389</v>
      </c>
      <c r="E7" s="23">
        <v>89474875</v>
      </c>
      <c r="F7" s="24">
        <f t="shared" si="1"/>
        <v>0.42015968475812698</v>
      </c>
      <c r="G7" s="25">
        <f>99586709+'[2]Local Transfers'!I9</f>
        <v>99586019</v>
      </c>
      <c r="H7" s="24">
        <f t="shared" si="2"/>
        <v>0.46763999781342913</v>
      </c>
      <c r="I7" s="26">
        <f t="shared" si="3"/>
        <v>212954451</v>
      </c>
    </row>
    <row r="8" spans="1:9" x14ac:dyDescent="0.2">
      <c r="A8" s="21">
        <v>4</v>
      </c>
      <c r="B8" s="22" t="s">
        <v>13</v>
      </c>
      <c r="C8" s="23">
        <v>7884397</v>
      </c>
      <c r="D8" s="24">
        <f t="shared" si="0"/>
        <v>0.1788066747683511</v>
      </c>
      <c r="E8" s="23">
        <v>23754048</v>
      </c>
      <c r="F8" s="24">
        <f t="shared" si="1"/>
        <v>0.53870731460729349</v>
      </c>
      <c r="G8" s="25">
        <f>12464618+'[2]Local Transfers'!I10</f>
        <v>12456089</v>
      </c>
      <c r="H8" s="24">
        <f t="shared" si="2"/>
        <v>0.28248601062435541</v>
      </c>
      <c r="I8" s="26">
        <f t="shared" si="3"/>
        <v>44094534</v>
      </c>
    </row>
    <row r="9" spans="1:9" x14ac:dyDescent="0.2">
      <c r="A9" s="27">
        <v>5</v>
      </c>
      <c r="B9" s="28" t="s">
        <v>14</v>
      </c>
      <c r="C9" s="29">
        <v>11848540</v>
      </c>
      <c r="D9" s="30">
        <f t="shared" si="0"/>
        <v>0.22443183809215872</v>
      </c>
      <c r="E9" s="29">
        <v>31427753</v>
      </c>
      <c r="F9" s="30">
        <f t="shared" si="1"/>
        <v>0.59529599198689076</v>
      </c>
      <c r="G9" s="31">
        <f>9523301+'[2]Local Transfers'!I11</f>
        <v>9517197</v>
      </c>
      <c r="H9" s="30">
        <f t="shared" si="2"/>
        <v>0.18027216992095049</v>
      </c>
      <c r="I9" s="32">
        <f t="shared" si="3"/>
        <v>52793490</v>
      </c>
    </row>
    <row r="10" spans="1:9" x14ac:dyDescent="0.2">
      <c r="A10" s="15">
        <v>6</v>
      </c>
      <c r="B10" s="16" t="s">
        <v>15</v>
      </c>
      <c r="C10" s="33">
        <v>7723804</v>
      </c>
      <c r="D10" s="18">
        <f t="shared" si="0"/>
        <v>0.12090265735099845</v>
      </c>
      <c r="E10" s="33">
        <v>35804690</v>
      </c>
      <c r="F10" s="18">
        <f t="shared" si="1"/>
        <v>0.56045986752495536</v>
      </c>
      <c r="G10" s="34">
        <f>20363886+'[2]Local Transfers'!I12</f>
        <v>20355991</v>
      </c>
      <c r="H10" s="18">
        <f t="shared" si="2"/>
        <v>0.31863747512404617</v>
      </c>
      <c r="I10" s="20">
        <f t="shared" si="3"/>
        <v>63884485</v>
      </c>
    </row>
    <row r="11" spans="1:9" x14ac:dyDescent="0.2">
      <c r="A11" s="21">
        <v>7</v>
      </c>
      <c r="B11" s="22" t="s">
        <v>16</v>
      </c>
      <c r="C11" s="23">
        <v>4371260</v>
      </c>
      <c r="D11" s="24">
        <f t="shared" si="0"/>
        <v>0.10849773137564533</v>
      </c>
      <c r="E11" s="23">
        <v>6158421</v>
      </c>
      <c r="F11" s="24">
        <f t="shared" si="1"/>
        <v>0.1528563177107134</v>
      </c>
      <c r="G11" s="25">
        <f>29759272+'[2]Local Transfers'!I13</f>
        <v>29759272</v>
      </c>
      <c r="H11" s="24">
        <f t="shared" si="2"/>
        <v>0.73864595091364127</v>
      </c>
      <c r="I11" s="26">
        <f t="shared" si="3"/>
        <v>40288953</v>
      </c>
    </row>
    <row r="12" spans="1:9" x14ac:dyDescent="0.2">
      <c r="A12" s="21">
        <v>8</v>
      </c>
      <c r="B12" s="22" t="s">
        <v>17</v>
      </c>
      <c r="C12" s="23">
        <v>26856931</v>
      </c>
      <c r="D12" s="24">
        <f t="shared" si="0"/>
        <v>0.12114773011933327</v>
      </c>
      <c r="E12" s="23">
        <v>98223444</v>
      </c>
      <c r="F12" s="24">
        <f t="shared" si="1"/>
        <v>0.44307174505915981</v>
      </c>
      <c r="G12" s="25">
        <f>96618578+'[2]Local Transfers'!I14</f>
        <v>96607072</v>
      </c>
      <c r="H12" s="24">
        <f t="shared" si="2"/>
        <v>0.43578052482150692</v>
      </c>
      <c r="I12" s="26">
        <f t="shared" si="3"/>
        <v>221687447</v>
      </c>
    </row>
    <row r="13" spans="1:9" x14ac:dyDescent="0.2">
      <c r="A13" s="21">
        <v>9</v>
      </c>
      <c r="B13" s="22" t="s">
        <v>18</v>
      </c>
      <c r="C13" s="23">
        <v>75415259</v>
      </c>
      <c r="D13" s="24">
        <f t="shared" si="0"/>
        <v>0.15619173586343874</v>
      </c>
      <c r="E13" s="23">
        <v>206618080</v>
      </c>
      <c r="F13" s="24">
        <f t="shared" si="1"/>
        <v>0.42792449437813185</v>
      </c>
      <c r="G13" s="25">
        <f>203294281+'[2]Local Transfers'!I15</f>
        <v>200804364.18000001</v>
      </c>
      <c r="H13" s="24">
        <f t="shared" si="2"/>
        <v>0.41588376975842944</v>
      </c>
      <c r="I13" s="26">
        <f t="shared" si="3"/>
        <v>482837703.18000001</v>
      </c>
    </row>
    <row r="14" spans="1:9" x14ac:dyDescent="0.2">
      <c r="A14" s="27">
        <v>10</v>
      </c>
      <c r="B14" s="28" t="s">
        <v>19</v>
      </c>
      <c r="C14" s="29">
        <v>52969387</v>
      </c>
      <c r="D14" s="30">
        <f t="shared" si="0"/>
        <v>0.15308206916026207</v>
      </c>
      <c r="E14" s="29">
        <v>148278058</v>
      </c>
      <c r="F14" s="30">
        <f t="shared" si="1"/>
        <v>0.42852510129493004</v>
      </c>
      <c r="G14" s="31">
        <f>144798193+'[2]Local Transfers'!I16</f>
        <v>144772094</v>
      </c>
      <c r="H14" s="30">
        <f t="shared" si="2"/>
        <v>0.41839282954480789</v>
      </c>
      <c r="I14" s="32">
        <f t="shared" si="3"/>
        <v>346019539</v>
      </c>
    </row>
    <row r="15" spans="1:9" x14ac:dyDescent="0.2">
      <c r="A15" s="15">
        <v>11</v>
      </c>
      <c r="B15" s="16" t="s">
        <v>20</v>
      </c>
      <c r="C15" s="17">
        <v>2826297</v>
      </c>
      <c r="D15" s="18">
        <f t="shared" si="0"/>
        <v>0.14093905714498148</v>
      </c>
      <c r="E15" s="17">
        <v>11549050</v>
      </c>
      <c r="F15" s="18">
        <f t="shared" si="1"/>
        <v>0.5759169039631179</v>
      </c>
      <c r="G15" s="19">
        <f>5677980+'[2]Local Transfers'!I17</f>
        <v>5677980</v>
      </c>
      <c r="H15" s="18">
        <f t="shared" si="2"/>
        <v>0.2831440388919006</v>
      </c>
      <c r="I15" s="20">
        <f t="shared" si="3"/>
        <v>20053327</v>
      </c>
    </row>
    <row r="16" spans="1:9" x14ac:dyDescent="0.2">
      <c r="A16" s="21">
        <v>12</v>
      </c>
      <c r="B16" s="22" t="s">
        <v>21</v>
      </c>
      <c r="C16" s="23">
        <v>13129487</v>
      </c>
      <c r="D16" s="24">
        <f t="shared" si="0"/>
        <v>0.41065972294117414</v>
      </c>
      <c r="E16" s="23">
        <v>3775667</v>
      </c>
      <c r="F16" s="24">
        <f t="shared" si="1"/>
        <v>0.11809405532281149</v>
      </c>
      <c r="G16" s="25">
        <f>15066540+'[2]Local Transfers'!I18</f>
        <v>15066540</v>
      </c>
      <c r="H16" s="24">
        <f t="shared" si="2"/>
        <v>0.47124622173601438</v>
      </c>
      <c r="I16" s="26">
        <f t="shared" si="3"/>
        <v>31971694</v>
      </c>
    </row>
    <row r="17" spans="1:9" x14ac:dyDescent="0.2">
      <c r="A17" s="21">
        <v>13</v>
      </c>
      <c r="B17" s="22" t="s">
        <v>22</v>
      </c>
      <c r="C17" s="23">
        <v>3543100</v>
      </c>
      <c r="D17" s="24">
        <f t="shared" si="0"/>
        <v>0.20108235210790559</v>
      </c>
      <c r="E17" s="23">
        <v>9881625</v>
      </c>
      <c r="F17" s="24">
        <f t="shared" si="1"/>
        <v>0.56081408869303229</v>
      </c>
      <c r="G17" s="25">
        <f>4196624+'[2]Local Transfers'!I19</f>
        <v>4195419</v>
      </c>
      <c r="H17" s="24">
        <f t="shared" si="2"/>
        <v>0.23810355919906218</v>
      </c>
      <c r="I17" s="26">
        <f t="shared" si="3"/>
        <v>17620144</v>
      </c>
    </row>
    <row r="18" spans="1:9" x14ac:dyDescent="0.2">
      <c r="A18" s="21">
        <v>14</v>
      </c>
      <c r="B18" s="22" t="s">
        <v>23</v>
      </c>
      <c r="C18" s="23">
        <v>4306455</v>
      </c>
      <c r="D18" s="24">
        <f t="shared" si="0"/>
        <v>0.17056733868088222</v>
      </c>
      <c r="E18" s="23">
        <v>13344880</v>
      </c>
      <c r="F18" s="24">
        <f t="shared" si="1"/>
        <v>0.52855554432026608</v>
      </c>
      <c r="G18" s="25">
        <f>7597523+'[2]Local Transfers'!I20</f>
        <v>7596494</v>
      </c>
      <c r="H18" s="24">
        <f t="shared" si="2"/>
        <v>0.30087711699885167</v>
      </c>
      <c r="I18" s="26">
        <f t="shared" si="3"/>
        <v>25247829</v>
      </c>
    </row>
    <row r="19" spans="1:9" x14ac:dyDescent="0.2">
      <c r="A19" s="27">
        <v>15</v>
      </c>
      <c r="B19" s="28" t="s">
        <v>24</v>
      </c>
      <c r="C19" s="29">
        <v>7550929</v>
      </c>
      <c r="D19" s="30">
        <f t="shared" si="0"/>
        <v>0.18672605852550705</v>
      </c>
      <c r="E19" s="29">
        <v>22107252</v>
      </c>
      <c r="F19" s="30">
        <f t="shared" si="1"/>
        <v>0.54668770303496872</v>
      </c>
      <c r="G19" s="31">
        <f>10785059+'[2]Local Transfers'!I21</f>
        <v>10780358</v>
      </c>
      <c r="H19" s="30">
        <f t="shared" si="2"/>
        <v>0.26658623843952423</v>
      </c>
      <c r="I19" s="32">
        <f t="shared" si="3"/>
        <v>40438539</v>
      </c>
    </row>
    <row r="20" spans="1:9" x14ac:dyDescent="0.2">
      <c r="A20" s="15">
        <v>16</v>
      </c>
      <c r="B20" s="16" t="s">
        <v>25</v>
      </c>
      <c r="C20" s="33">
        <v>9291655</v>
      </c>
      <c r="D20" s="18">
        <f t="shared" si="0"/>
        <v>7.206417157208421E-2</v>
      </c>
      <c r="E20" s="33">
        <v>21098201</v>
      </c>
      <c r="F20" s="18">
        <f t="shared" si="1"/>
        <v>0.16363332223660035</v>
      </c>
      <c r="G20" s="34">
        <f>98560766+'[2]Local Transfers'!I22</f>
        <v>98545991</v>
      </c>
      <c r="H20" s="18">
        <f t="shared" si="2"/>
        <v>0.76430250619131546</v>
      </c>
      <c r="I20" s="20">
        <f t="shared" si="3"/>
        <v>128935847</v>
      </c>
    </row>
    <row r="21" spans="1:9" ht="12.75" customHeight="1" x14ac:dyDescent="0.2">
      <c r="A21" s="21">
        <v>17</v>
      </c>
      <c r="B21" s="22" t="s">
        <v>26</v>
      </c>
      <c r="C21" s="23">
        <v>98564258</v>
      </c>
      <c r="D21" s="24">
        <f t="shared" si="0"/>
        <v>0.18058758322943663</v>
      </c>
      <c r="E21" s="23">
        <v>166353966</v>
      </c>
      <c r="F21" s="24">
        <f t="shared" si="1"/>
        <v>0.30479061365806531</v>
      </c>
      <c r="G21" s="25">
        <f>294406216+'[2]Local Transfers'!I23</f>
        <v>280879312.22802544</v>
      </c>
      <c r="H21" s="24">
        <f t="shared" si="2"/>
        <v>0.51462180311249806</v>
      </c>
      <c r="I21" s="26">
        <f t="shared" si="3"/>
        <v>545797536.22802544</v>
      </c>
    </row>
    <row r="22" spans="1:9" x14ac:dyDescent="0.2">
      <c r="A22" s="21">
        <v>18</v>
      </c>
      <c r="B22" s="22" t="s">
        <v>27</v>
      </c>
      <c r="C22" s="23">
        <v>3836023</v>
      </c>
      <c r="D22" s="24">
        <f t="shared" si="0"/>
        <v>0.26767938091908239</v>
      </c>
      <c r="E22" s="23">
        <v>7848611</v>
      </c>
      <c r="F22" s="24">
        <f t="shared" si="1"/>
        <v>0.5476795456009258</v>
      </c>
      <c r="G22" s="25">
        <f>2647172+'[2]Local Transfers'!I24</f>
        <v>2646029</v>
      </c>
      <c r="H22" s="24">
        <f t="shared" si="2"/>
        <v>0.18464107347999181</v>
      </c>
      <c r="I22" s="26">
        <f t="shared" si="3"/>
        <v>14330663</v>
      </c>
    </row>
    <row r="23" spans="1:9" x14ac:dyDescent="0.2">
      <c r="A23" s="21">
        <v>19</v>
      </c>
      <c r="B23" s="22" t="s">
        <v>28</v>
      </c>
      <c r="C23" s="23">
        <v>4980263</v>
      </c>
      <c r="D23" s="24">
        <f t="shared" si="0"/>
        <v>0.22402487750354821</v>
      </c>
      <c r="E23" s="23">
        <v>12302473</v>
      </c>
      <c r="F23" s="24">
        <f t="shared" si="1"/>
        <v>0.55339647862285779</v>
      </c>
      <c r="G23" s="25">
        <f>4948112+'[2]Local Transfers'!I25</f>
        <v>4948112</v>
      </c>
      <c r="H23" s="24">
        <f t="shared" si="2"/>
        <v>0.22257864387359402</v>
      </c>
      <c r="I23" s="26">
        <f t="shared" si="3"/>
        <v>22230848</v>
      </c>
    </row>
    <row r="24" spans="1:9" x14ac:dyDescent="0.2">
      <c r="A24" s="27">
        <v>20</v>
      </c>
      <c r="B24" s="28" t="s">
        <v>29</v>
      </c>
      <c r="C24" s="29">
        <v>12260517</v>
      </c>
      <c r="D24" s="30">
        <f t="shared" si="0"/>
        <v>0.20345596708201352</v>
      </c>
      <c r="E24" s="29">
        <v>34098980</v>
      </c>
      <c r="F24" s="30">
        <f t="shared" si="1"/>
        <v>0.56585223546529384</v>
      </c>
      <c r="G24" s="31">
        <f>13921618+'[2]Local Transfers'!I26</f>
        <v>13901783</v>
      </c>
      <c r="H24" s="30">
        <f t="shared" si="2"/>
        <v>0.23069179745269267</v>
      </c>
      <c r="I24" s="32">
        <f t="shared" si="3"/>
        <v>60261280</v>
      </c>
    </row>
    <row r="25" spans="1:9" x14ac:dyDescent="0.2">
      <c r="A25" s="15">
        <v>21</v>
      </c>
      <c r="B25" s="16" t="s">
        <v>30</v>
      </c>
      <c r="C25" s="17">
        <v>8834505</v>
      </c>
      <c r="D25" s="18">
        <f t="shared" si="0"/>
        <v>0.26322952967349994</v>
      </c>
      <c r="E25" s="17">
        <v>18060044</v>
      </c>
      <c r="F25" s="18">
        <f t="shared" si="1"/>
        <v>0.53811015874717538</v>
      </c>
      <c r="G25" s="19">
        <f>6686532+'[2]Local Transfers'!I27</f>
        <v>6667434</v>
      </c>
      <c r="H25" s="18">
        <f t="shared" si="2"/>
        <v>0.19866031157932473</v>
      </c>
      <c r="I25" s="20">
        <f t="shared" si="3"/>
        <v>33561983</v>
      </c>
    </row>
    <row r="26" spans="1:9" x14ac:dyDescent="0.2">
      <c r="A26" s="21">
        <v>22</v>
      </c>
      <c r="B26" s="22" t="s">
        <v>31</v>
      </c>
      <c r="C26" s="23">
        <v>4760406</v>
      </c>
      <c r="D26" s="24">
        <f t="shared" si="0"/>
        <v>0.15145484469407616</v>
      </c>
      <c r="E26" s="23">
        <v>20857802</v>
      </c>
      <c r="F26" s="24">
        <f t="shared" si="1"/>
        <v>0.66360204624769215</v>
      </c>
      <c r="G26" s="25">
        <f>5816750+'[2]Local Transfers'!I28</f>
        <v>5812982</v>
      </c>
      <c r="H26" s="24">
        <f t="shared" si="2"/>
        <v>0.18494310905823164</v>
      </c>
      <c r="I26" s="26">
        <f t="shared" si="3"/>
        <v>31431190</v>
      </c>
    </row>
    <row r="27" spans="1:9" x14ac:dyDescent="0.2">
      <c r="A27" s="21">
        <v>23</v>
      </c>
      <c r="B27" s="22" t="s">
        <v>32</v>
      </c>
      <c r="C27" s="23">
        <v>25299435</v>
      </c>
      <c r="D27" s="24">
        <f t="shared" si="0"/>
        <v>0.17582844970491054</v>
      </c>
      <c r="E27" s="23">
        <v>72580984</v>
      </c>
      <c r="F27" s="24">
        <f t="shared" si="1"/>
        <v>0.5044303121700906</v>
      </c>
      <c r="G27" s="25">
        <f>46031945+'[2]Local Transfers'!I29</f>
        <v>46006620</v>
      </c>
      <c r="H27" s="24">
        <f t="shared" si="2"/>
        <v>0.31974123812499888</v>
      </c>
      <c r="I27" s="26">
        <f t="shared" si="3"/>
        <v>143887039</v>
      </c>
    </row>
    <row r="28" spans="1:9" x14ac:dyDescent="0.2">
      <c r="A28" s="21">
        <v>24</v>
      </c>
      <c r="B28" s="22" t="s">
        <v>33</v>
      </c>
      <c r="C28" s="23">
        <v>8404918</v>
      </c>
      <c r="D28" s="24">
        <f t="shared" si="0"/>
        <v>0.12138066196127761</v>
      </c>
      <c r="E28" s="23">
        <v>15599189</v>
      </c>
      <c r="F28" s="24">
        <f t="shared" si="1"/>
        <v>0.22527761566252999</v>
      </c>
      <c r="G28" s="25">
        <f>45274937+'[2]Local Transfers'!I30</f>
        <v>45240185</v>
      </c>
      <c r="H28" s="24">
        <f t="shared" si="2"/>
        <v>0.65334172237619237</v>
      </c>
      <c r="I28" s="26">
        <f t="shared" si="3"/>
        <v>69244292</v>
      </c>
    </row>
    <row r="29" spans="1:9" x14ac:dyDescent="0.2">
      <c r="A29" s="27">
        <v>25</v>
      </c>
      <c r="B29" s="28" t="s">
        <v>34</v>
      </c>
      <c r="C29" s="29">
        <v>3296569</v>
      </c>
      <c r="D29" s="30">
        <f t="shared" si="0"/>
        <v>0.12059959701225097</v>
      </c>
      <c r="E29" s="29">
        <v>10497505</v>
      </c>
      <c r="F29" s="30">
        <f t="shared" si="1"/>
        <v>0.3840340889676781</v>
      </c>
      <c r="G29" s="31">
        <f>13540752+'[2]Local Transfers'!I31</f>
        <v>13540752</v>
      </c>
      <c r="H29" s="30">
        <f t="shared" si="2"/>
        <v>0.49536631402007097</v>
      </c>
      <c r="I29" s="32">
        <f t="shared" si="3"/>
        <v>27334826</v>
      </c>
    </row>
    <row r="30" spans="1:9" x14ac:dyDescent="0.2">
      <c r="A30" s="15">
        <v>26</v>
      </c>
      <c r="B30" s="16" t="s">
        <v>35</v>
      </c>
      <c r="C30" s="33">
        <v>122231182</v>
      </c>
      <c r="D30" s="18">
        <f t="shared" si="0"/>
        <v>0.21377784381945844</v>
      </c>
      <c r="E30" s="33">
        <v>174345245</v>
      </c>
      <c r="F30" s="18">
        <f t="shared" si="1"/>
        <v>0.30492342417399859</v>
      </c>
      <c r="G30" s="34">
        <f>275446443+'[2]Local Transfers'!I32</f>
        <v>275190879.73374999</v>
      </c>
      <c r="H30" s="18">
        <f t="shared" si="2"/>
        <v>0.481298732006543</v>
      </c>
      <c r="I30" s="20">
        <f t="shared" si="3"/>
        <v>571767306.73374999</v>
      </c>
    </row>
    <row r="31" spans="1:9" x14ac:dyDescent="0.2">
      <c r="A31" s="21">
        <v>27</v>
      </c>
      <c r="B31" s="22" t="s">
        <v>36</v>
      </c>
      <c r="C31" s="23">
        <v>8939961</v>
      </c>
      <c r="D31" s="24">
        <f t="shared" si="0"/>
        <v>0.14183960808688567</v>
      </c>
      <c r="E31" s="23">
        <v>35471704</v>
      </c>
      <c r="F31" s="24">
        <f t="shared" si="1"/>
        <v>0.56278686154604196</v>
      </c>
      <c r="G31" s="25">
        <f>18618659+'[2]Local Transfers'!I33</f>
        <v>18616999</v>
      </c>
      <c r="H31" s="24">
        <f t="shared" si="2"/>
        <v>0.29537353036707237</v>
      </c>
      <c r="I31" s="26">
        <f t="shared" si="3"/>
        <v>63028664</v>
      </c>
    </row>
    <row r="32" spans="1:9" x14ac:dyDescent="0.2">
      <c r="A32" s="21">
        <v>28</v>
      </c>
      <c r="B32" s="22" t="s">
        <v>37</v>
      </c>
      <c r="C32" s="23">
        <v>51016151</v>
      </c>
      <c r="D32" s="24">
        <f t="shared" si="0"/>
        <v>0.15560659761114629</v>
      </c>
      <c r="E32" s="23">
        <v>119529302</v>
      </c>
      <c r="F32" s="24">
        <f t="shared" si="1"/>
        <v>0.36458156161281513</v>
      </c>
      <c r="G32" s="25">
        <f>157356522+'[2]Local Transfers'!I34</f>
        <v>157307940</v>
      </c>
      <c r="H32" s="24">
        <f t="shared" si="2"/>
        <v>0.47981184077603856</v>
      </c>
      <c r="I32" s="26">
        <f t="shared" si="3"/>
        <v>327853393</v>
      </c>
    </row>
    <row r="33" spans="1:9" x14ac:dyDescent="0.2">
      <c r="A33" s="21">
        <v>29</v>
      </c>
      <c r="B33" s="22" t="s">
        <v>38</v>
      </c>
      <c r="C33" s="23">
        <f>25403455-[2]Hurricane!F6</f>
        <v>26304348</v>
      </c>
      <c r="D33" s="24">
        <f t="shared" si="0"/>
        <v>0.16556488649359805</v>
      </c>
      <c r="E33" s="23">
        <v>67409666</v>
      </c>
      <c r="F33" s="24">
        <f t="shared" si="1"/>
        <v>0.42429007173496014</v>
      </c>
      <c r="G33" s="25">
        <f>65210521+'[2]Local Transfers'!I35</f>
        <v>65162355</v>
      </c>
      <c r="H33" s="24">
        <f t="shared" si="2"/>
        <v>0.41014504177144179</v>
      </c>
      <c r="I33" s="26">
        <f t="shared" si="3"/>
        <v>158876369</v>
      </c>
    </row>
    <row r="34" spans="1:9" x14ac:dyDescent="0.2">
      <c r="A34" s="27">
        <v>30</v>
      </c>
      <c r="B34" s="28" t="s">
        <v>39</v>
      </c>
      <c r="C34" s="29">
        <v>3537038</v>
      </c>
      <c r="D34" s="30">
        <f t="shared" si="0"/>
        <v>0.12285123361701579</v>
      </c>
      <c r="E34" s="29">
        <v>15721939</v>
      </c>
      <c r="F34" s="30">
        <f t="shared" si="1"/>
        <v>0.54606696365757779</v>
      </c>
      <c r="G34" s="31">
        <f>9532252+'[2]Local Transfers'!I36</f>
        <v>9532252</v>
      </c>
      <c r="H34" s="30">
        <f t="shared" si="2"/>
        <v>0.33108180272540638</v>
      </c>
      <c r="I34" s="32">
        <f t="shared" si="3"/>
        <v>28791229</v>
      </c>
    </row>
    <row r="35" spans="1:9" x14ac:dyDescent="0.2">
      <c r="A35" s="15">
        <v>31</v>
      </c>
      <c r="B35" s="16" t="s">
        <v>40</v>
      </c>
      <c r="C35" s="17">
        <v>9829726</v>
      </c>
      <c r="D35" s="18">
        <f t="shared" si="0"/>
        <v>0.13519874629021364</v>
      </c>
      <c r="E35" s="17">
        <v>30580480</v>
      </c>
      <c r="F35" s="18">
        <f t="shared" si="1"/>
        <v>0.42060608372531977</v>
      </c>
      <c r="G35" s="19">
        <f>32322812+'[2]Local Transfers'!I37</f>
        <v>32295542.164999999</v>
      </c>
      <c r="H35" s="18">
        <f t="shared" si="2"/>
        <v>0.44419516998446668</v>
      </c>
      <c r="I35" s="20">
        <f t="shared" si="3"/>
        <v>72705748.164999992</v>
      </c>
    </row>
    <row r="36" spans="1:9" x14ac:dyDescent="0.2">
      <c r="A36" s="21">
        <v>32</v>
      </c>
      <c r="B36" s="22" t="s">
        <v>41</v>
      </c>
      <c r="C36" s="23">
        <v>26171705</v>
      </c>
      <c r="D36" s="24">
        <f t="shared" si="0"/>
        <v>0.11745436242747155</v>
      </c>
      <c r="E36" s="23">
        <v>142719925</v>
      </c>
      <c r="F36" s="24">
        <f t="shared" si="1"/>
        <v>0.6405038493507228</v>
      </c>
      <c r="G36" s="25">
        <f>53937400+'[2]Local Transfers'!I38</f>
        <v>53932831</v>
      </c>
      <c r="H36" s="24">
        <f t="shared" si="2"/>
        <v>0.24204178822180569</v>
      </c>
      <c r="I36" s="26">
        <f t="shared" si="3"/>
        <v>222824461</v>
      </c>
    </row>
    <row r="37" spans="1:9" x14ac:dyDescent="0.2">
      <c r="A37" s="21">
        <v>33</v>
      </c>
      <c r="B37" s="22" t="s">
        <v>42</v>
      </c>
      <c r="C37" s="23">
        <v>5477049</v>
      </c>
      <c r="D37" s="24">
        <f t="shared" si="0"/>
        <v>0.22632535824231606</v>
      </c>
      <c r="E37" s="23">
        <v>12599948</v>
      </c>
      <c r="F37" s="24">
        <f t="shared" si="1"/>
        <v>0.52066135339204622</v>
      </c>
      <c r="G37" s="25">
        <f>6142018+'[2]Local Transfers'!I39</f>
        <v>6122894</v>
      </c>
      <c r="H37" s="24">
        <f t="shared" si="2"/>
        <v>0.25301328836563769</v>
      </c>
      <c r="I37" s="26">
        <f t="shared" si="3"/>
        <v>24199891</v>
      </c>
    </row>
    <row r="38" spans="1:9" x14ac:dyDescent="0.2">
      <c r="A38" s="21">
        <v>34</v>
      </c>
      <c r="B38" s="22" t="s">
        <v>43</v>
      </c>
      <c r="C38" s="23">
        <v>11488840</v>
      </c>
      <c r="D38" s="24">
        <f t="shared" si="0"/>
        <v>0.22151812579134689</v>
      </c>
      <c r="E38" s="23">
        <v>27465091</v>
      </c>
      <c r="F38" s="24">
        <f t="shared" si="1"/>
        <v>0.52955872681739746</v>
      </c>
      <c r="G38" s="25">
        <f>12918592+'[2]Local Transfers'!I40</f>
        <v>12910177</v>
      </c>
      <c r="H38" s="24">
        <f t="shared" si="2"/>
        <v>0.24892314739125562</v>
      </c>
      <c r="I38" s="26">
        <f t="shared" si="3"/>
        <v>51864108</v>
      </c>
    </row>
    <row r="39" spans="1:9" x14ac:dyDescent="0.2">
      <c r="A39" s="27">
        <v>35</v>
      </c>
      <c r="B39" s="28" t="s">
        <v>44</v>
      </c>
      <c r="C39" s="29">
        <v>14841967</v>
      </c>
      <c r="D39" s="30">
        <f t="shared" si="0"/>
        <v>0.20131543557998216</v>
      </c>
      <c r="E39" s="29">
        <v>35702505</v>
      </c>
      <c r="F39" s="30">
        <f t="shared" si="1"/>
        <v>0.48426636074392904</v>
      </c>
      <c r="G39" s="31">
        <f>23189490+'[2]Local Transfers'!I41</f>
        <v>23180461</v>
      </c>
      <c r="H39" s="30">
        <f t="shared" si="2"/>
        <v>0.3144182036760888</v>
      </c>
      <c r="I39" s="32">
        <f t="shared" si="3"/>
        <v>73724933</v>
      </c>
    </row>
    <row r="40" spans="1:9" x14ac:dyDescent="0.2">
      <c r="A40" s="15">
        <v>36</v>
      </c>
      <c r="B40" s="16" t="s">
        <v>45</v>
      </c>
      <c r="C40" s="33">
        <v>51813414</v>
      </c>
      <c r="D40" s="18">
        <f t="shared" si="0"/>
        <v>0.24870852470457119</v>
      </c>
      <c r="E40" s="33">
        <v>44923033</v>
      </c>
      <c r="F40" s="18">
        <f t="shared" si="1"/>
        <v>0.21563414568059089</v>
      </c>
      <c r="G40" s="34">
        <f>222968957+'[2]Local Transfers'!I42</f>
        <v>111593420.50875001</v>
      </c>
      <c r="H40" s="18">
        <f t="shared" si="2"/>
        <v>0.53565732961483781</v>
      </c>
      <c r="I40" s="20">
        <f t="shared" si="3"/>
        <v>208329867.50875002</v>
      </c>
    </row>
    <row r="41" spans="1:9" x14ac:dyDescent="0.2">
      <c r="A41" s="21">
        <v>37</v>
      </c>
      <c r="B41" s="22" t="s">
        <v>46</v>
      </c>
      <c r="C41" s="23">
        <v>29072999</v>
      </c>
      <c r="D41" s="24">
        <f t="shared" si="0"/>
        <v>0.13832431936029496</v>
      </c>
      <c r="E41" s="23">
        <v>115542416</v>
      </c>
      <c r="F41" s="24">
        <f t="shared" si="1"/>
        <v>0.54973090496938593</v>
      </c>
      <c r="G41" s="25">
        <f>65589784+'[2]Local Transfers'!I43</f>
        <v>65564538.420000002</v>
      </c>
      <c r="H41" s="24">
        <f t="shared" si="2"/>
        <v>0.31194477567031897</v>
      </c>
      <c r="I41" s="26">
        <f t="shared" si="3"/>
        <v>210179953.42000002</v>
      </c>
    </row>
    <row r="42" spans="1:9" x14ac:dyDescent="0.2">
      <c r="A42" s="21">
        <v>38</v>
      </c>
      <c r="B42" s="22" t="s">
        <v>47</v>
      </c>
      <c r="C42" s="23">
        <f>37160004-[2]Hurricane!F7</f>
        <v>6641884</v>
      </c>
      <c r="D42" s="24">
        <f t="shared" si="0"/>
        <v>0.10453310814307304</v>
      </c>
      <c r="E42" s="23">
        <v>12413837</v>
      </c>
      <c r="F42" s="24">
        <f t="shared" si="1"/>
        <v>0.19537483123636026</v>
      </c>
      <c r="G42" s="25">
        <f>44482847+'[2]Local Transfers'!I44</f>
        <v>44482847</v>
      </c>
      <c r="H42" s="24">
        <f t="shared" si="2"/>
        <v>0.70009206062056673</v>
      </c>
      <c r="I42" s="26">
        <f t="shared" si="3"/>
        <v>63538568</v>
      </c>
    </row>
    <row r="43" spans="1:9" x14ac:dyDescent="0.2">
      <c r="A43" s="21">
        <v>39</v>
      </c>
      <c r="B43" s="22" t="s">
        <v>48</v>
      </c>
      <c r="C43" s="23">
        <v>7188262</v>
      </c>
      <c r="D43" s="24">
        <f t="shared" si="0"/>
        <v>0.24142625229395404</v>
      </c>
      <c r="E43" s="23">
        <v>11261257</v>
      </c>
      <c r="F43" s="24">
        <f t="shared" si="1"/>
        <v>0.37822259033255268</v>
      </c>
      <c r="G43" s="25">
        <f>12504256+'[2]Local Transfers'!I45</f>
        <v>11324633.279213483</v>
      </c>
      <c r="H43" s="24">
        <f t="shared" si="2"/>
        <v>0.38035115737349334</v>
      </c>
      <c r="I43" s="26">
        <f t="shared" si="3"/>
        <v>29774152.279213481</v>
      </c>
    </row>
    <row r="44" spans="1:9" x14ac:dyDescent="0.2">
      <c r="A44" s="27">
        <v>40</v>
      </c>
      <c r="B44" s="28" t="s">
        <v>49</v>
      </c>
      <c r="C44" s="29">
        <v>38659788</v>
      </c>
      <c r="D44" s="30">
        <f t="shared" si="0"/>
        <v>0.16604218542607191</v>
      </c>
      <c r="E44" s="29">
        <v>122913413</v>
      </c>
      <c r="F44" s="30">
        <f t="shared" si="1"/>
        <v>0.52790800903246959</v>
      </c>
      <c r="G44" s="31">
        <f>71282759+'[2]Local Transfers'!I46</f>
        <v>71257919</v>
      </c>
      <c r="H44" s="30">
        <f t="shared" si="2"/>
        <v>0.30604980554145855</v>
      </c>
      <c r="I44" s="32">
        <f t="shared" si="3"/>
        <v>232831120</v>
      </c>
    </row>
    <row r="45" spans="1:9" x14ac:dyDescent="0.2">
      <c r="A45" s="15">
        <v>41</v>
      </c>
      <c r="B45" s="16" t="s">
        <v>50</v>
      </c>
      <c r="C45" s="17">
        <v>3372277</v>
      </c>
      <c r="D45" s="18">
        <f t="shared" si="0"/>
        <v>8.8346060504588E-2</v>
      </c>
      <c r="E45" s="17">
        <v>9694949</v>
      </c>
      <c r="F45" s="18">
        <f t="shared" si="1"/>
        <v>0.25398582350823934</v>
      </c>
      <c r="G45" s="19">
        <f>25105280+'[2]Local Transfers'!I47</f>
        <v>25103995</v>
      </c>
      <c r="H45" s="18">
        <f t="shared" si="2"/>
        <v>0.65766811598717267</v>
      </c>
      <c r="I45" s="20">
        <f t="shared" si="3"/>
        <v>38171221</v>
      </c>
    </row>
    <row r="46" spans="1:9" x14ac:dyDescent="0.2">
      <c r="A46" s="21">
        <v>42</v>
      </c>
      <c r="B46" s="22" t="s">
        <v>51</v>
      </c>
      <c r="C46" s="23">
        <v>6748863</v>
      </c>
      <c r="D46" s="24">
        <f t="shared" si="0"/>
        <v>0.17659914174581254</v>
      </c>
      <c r="E46" s="23">
        <v>20550138</v>
      </c>
      <c r="F46" s="24">
        <f t="shared" si="1"/>
        <v>0.53774046584706325</v>
      </c>
      <c r="G46" s="25">
        <f>10926824+'[2]Local Transfers'!I48</f>
        <v>10916717</v>
      </c>
      <c r="H46" s="24">
        <f t="shared" si="2"/>
        <v>0.28566039240712421</v>
      </c>
      <c r="I46" s="26">
        <f t="shared" si="3"/>
        <v>38215718</v>
      </c>
    </row>
    <row r="47" spans="1:9" x14ac:dyDescent="0.2">
      <c r="A47" s="21">
        <v>43</v>
      </c>
      <c r="B47" s="22" t="s">
        <v>52</v>
      </c>
      <c r="C47" s="23">
        <v>10267031</v>
      </c>
      <c r="D47" s="24">
        <f t="shared" si="0"/>
        <v>0.17383519217230298</v>
      </c>
      <c r="E47" s="23">
        <v>26086575</v>
      </c>
      <c r="F47" s="24">
        <f t="shared" si="1"/>
        <v>0.44168219402884773</v>
      </c>
      <c r="G47" s="25">
        <f>22718136+'[2]Local Transfers'!I49</f>
        <v>22708261</v>
      </c>
      <c r="H47" s="24">
        <f t="shared" si="2"/>
        <v>0.38448261379884924</v>
      </c>
      <c r="I47" s="26">
        <f t="shared" si="3"/>
        <v>59061867</v>
      </c>
    </row>
    <row r="48" spans="1:9" x14ac:dyDescent="0.2">
      <c r="A48" s="21">
        <v>44</v>
      </c>
      <c r="B48" s="22" t="s">
        <v>53</v>
      </c>
      <c r="C48" s="23">
        <f>66930169-[2]Hurricane!F8</f>
        <v>14016015</v>
      </c>
      <c r="D48" s="24">
        <f t="shared" si="0"/>
        <v>0.1832109009323668</v>
      </c>
      <c r="E48" s="23">
        <v>28779721</v>
      </c>
      <c r="F48" s="24">
        <f t="shared" si="1"/>
        <v>0.37619527469057051</v>
      </c>
      <c r="G48" s="25">
        <f>33716638+'[2]Local Transfers'!I50</f>
        <v>33706344</v>
      </c>
      <c r="H48" s="24">
        <f t="shared" si="2"/>
        <v>0.44059382437706268</v>
      </c>
      <c r="I48" s="26">
        <f t="shared" si="3"/>
        <v>76502080</v>
      </c>
    </row>
    <row r="49" spans="1:9" x14ac:dyDescent="0.2">
      <c r="A49" s="27">
        <v>45</v>
      </c>
      <c r="B49" s="28" t="s">
        <v>54</v>
      </c>
      <c r="C49" s="29">
        <v>13639229</v>
      </c>
      <c r="D49" s="30">
        <f t="shared" si="0"/>
        <v>9.0758813185578865E-2</v>
      </c>
      <c r="E49" s="29">
        <v>29902360</v>
      </c>
      <c r="F49" s="30">
        <f t="shared" si="1"/>
        <v>0.19897772117822246</v>
      </c>
      <c r="G49" s="31">
        <f>106747317+'[2]Local Transfers'!I51</f>
        <v>106738351</v>
      </c>
      <c r="H49" s="30">
        <f t="shared" si="2"/>
        <v>0.71026346563619869</v>
      </c>
      <c r="I49" s="32">
        <f t="shared" si="3"/>
        <v>150279940</v>
      </c>
    </row>
    <row r="50" spans="1:9" x14ac:dyDescent="0.2">
      <c r="A50" s="15">
        <v>46</v>
      </c>
      <c r="B50" s="16" t="s">
        <v>55</v>
      </c>
      <c r="C50" s="33">
        <v>2292158</v>
      </c>
      <c r="D50" s="18">
        <f t="shared" si="0"/>
        <v>0.26032550483709821</v>
      </c>
      <c r="E50" s="33">
        <v>4748360</v>
      </c>
      <c r="F50" s="18">
        <f t="shared" si="1"/>
        <v>0.53928185323537203</v>
      </c>
      <c r="G50" s="34">
        <f>2183898+'[2]Local Transfers'!I52</f>
        <v>1764451</v>
      </c>
      <c r="H50" s="18">
        <f t="shared" si="2"/>
        <v>0.20039264192752979</v>
      </c>
      <c r="I50" s="20">
        <f t="shared" si="3"/>
        <v>8804969</v>
      </c>
    </row>
    <row r="51" spans="1:9" x14ac:dyDescent="0.2">
      <c r="A51" s="21">
        <v>47</v>
      </c>
      <c r="B51" s="22" t="s">
        <v>56</v>
      </c>
      <c r="C51" s="23">
        <v>6866771</v>
      </c>
      <c r="D51" s="24">
        <f t="shared" si="0"/>
        <v>0.11031771211138981</v>
      </c>
      <c r="E51" s="23">
        <v>18042856</v>
      </c>
      <c r="F51" s="24">
        <f t="shared" si="1"/>
        <v>0.28986645890408497</v>
      </c>
      <c r="G51" s="25">
        <f>37335781+'[2]Local Transfers'!I53</f>
        <v>37335781</v>
      </c>
      <c r="H51" s="24">
        <f t="shared" si="2"/>
        <v>0.59981582898452523</v>
      </c>
      <c r="I51" s="26">
        <f t="shared" si="3"/>
        <v>62245408</v>
      </c>
    </row>
    <row r="52" spans="1:9" x14ac:dyDescent="0.2">
      <c r="A52" s="21">
        <v>48</v>
      </c>
      <c r="B52" s="22" t="s">
        <v>57</v>
      </c>
      <c r="C52" s="23">
        <v>12903082</v>
      </c>
      <c r="D52" s="24">
        <f t="shared" si="0"/>
        <v>0.17512772889525779</v>
      </c>
      <c r="E52" s="23">
        <v>27115214</v>
      </c>
      <c r="F52" s="24">
        <f t="shared" si="1"/>
        <v>0.36802260470241904</v>
      </c>
      <c r="G52" s="25">
        <f>33665488+'[2]Local Transfers'!I54</f>
        <v>33659825</v>
      </c>
      <c r="H52" s="24">
        <f t="shared" si="2"/>
        <v>0.45684966640232316</v>
      </c>
      <c r="I52" s="26">
        <f t="shared" si="3"/>
        <v>73678121</v>
      </c>
    </row>
    <row r="53" spans="1:9" x14ac:dyDescent="0.2">
      <c r="A53" s="21">
        <v>49</v>
      </c>
      <c r="B53" s="22" t="s">
        <v>58</v>
      </c>
      <c r="C53" s="23">
        <v>35100951</v>
      </c>
      <c r="D53" s="24">
        <f t="shared" si="0"/>
        <v>0.23938957965801855</v>
      </c>
      <c r="E53" s="23">
        <v>76426651</v>
      </c>
      <c r="F53" s="24">
        <f t="shared" si="1"/>
        <v>0.52123214147559938</v>
      </c>
      <c r="G53" s="25">
        <f>35119497+'[2]Local Transfers'!I55</f>
        <v>35099294</v>
      </c>
      <c r="H53" s="24">
        <f t="shared" si="2"/>
        <v>0.23937827886638205</v>
      </c>
      <c r="I53" s="26">
        <f t="shared" si="3"/>
        <v>146626896</v>
      </c>
    </row>
    <row r="54" spans="1:9" x14ac:dyDescent="0.2">
      <c r="A54" s="27">
        <v>50</v>
      </c>
      <c r="B54" s="28" t="s">
        <v>59</v>
      </c>
      <c r="C54" s="29">
        <v>14989888</v>
      </c>
      <c r="D54" s="30">
        <f t="shared" si="0"/>
        <v>0.17598776158577828</v>
      </c>
      <c r="E54" s="29">
        <v>47414960</v>
      </c>
      <c r="F54" s="30">
        <f t="shared" si="1"/>
        <v>0.55667211630128344</v>
      </c>
      <c r="G54" s="31">
        <f>22779801+'[2]Local Transfers'!I56</f>
        <v>22770893</v>
      </c>
      <c r="H54" s="30">
        <f t="shared" si="2"/>
        <v>0.26734012211293823</v>
      </c>
      <c r="I54" s="32">
        <f t="shared" si="3"/>
        <v>85175741</v>
      </c>
    </row>
    <row r="55" spans="1:9" x14ac:dyDescent="0.2">
      <c r="A55" s="15">
        <v>51</v>
      </c>
      <c r="B55" s="16" t="s">
        <v>60</v>
      </c>
      <c r="C55" s="17">
        <v>16289668</v>
      </c>
      <c r="D55" s="18">
        <f t="shared" si="0"/>
        <v>0.15427378148030613</v>
      </c>
      <c r="E55" s="17">
        <v>48357388</v>
      </c>
      <c r="F55" s="18">
        <f t="shared" si="1"/>
        <v>0.45797600720102943</v>
      </c>
      <c r="G55" s="19">
        <f>40963213+'[2]Local Transfers'!I57</f>
        <v>40942292</v>
      </c>
      <c r="H55" s="18">
        <f t="shared" si="2"/>
        <v>0.38775021131866444</v>
      </c>
      <c r="I55" s="20">
        <f t="shared" si="3"/>
        <v>105589348</v>
      </c>
    </row>
    <row r="56" spans="1:9" x14ac:dyDescent="0.2">
      <c r="A56" s="21">
        <v>52</v>
      </c>
      <c r="B56" s="22" t="s">
        <v>61</v>
      </c>
      <c r="C56" s="23">
        <f>51453238-[2]Hurricane!F9</f>
        <v>47107186</v>
      </c>
      <c r="D56" s="24">
        <f t="shared" si="0"/>
        <v>0.10690227412332111</v>
      </c>
      <c r="E56" s="23">
        <v>203578459</v>
      </c>
      <c r="F56" s="24">
        <f t="shared" si="1"/>
        <v>0.46198896766241326</v>
      </c>
      <c r="G56" s="25">
        <f>190017717+'[2]Local Transfers'!I58</f>
        <v>189970892.8175</v>
      </c>
      <c r="H56" s="24">
        <f t="shared" si="2"/>
        <v>0.43110875821426559</v>
      </c>
      <c r="I56" s="26">
        <f t="shared" si="3"/>
        <v>440656537.8175</v>
      </c>
    </row>
    <row r="57" spans="1:9" x14ac:dyDescent="0.2">
      <c r="A57" s="21">
        <v>53</v>
      </c>
      <c r="B57" s="22" t="s">
        <v>62</v>
      </c>
      <c r="C57" s="23">
        <v>34268010</v>
      </c>
      <c r="D57" s="24">
        <f t="shared" si="0"/>
        <v>0.19352181890668541</v>
      </c>
      <c r="E57" s="23">
        <v>101527523</v>
      </c>
      <c r="F57" s="24">
        <f t="shared" si="1"/>
        <v>0.57335663553414207</v>
      </c>
      <c r="G57" s="25">
        <f>41295053+'[2]Local Transfers'!I59</f>
        <v>41280159</v>
      </c>
      <c r="H57" s="24">
        <f t="shared" si="2"/>
        <v>0.23312154555917253</v>
      </c>
      <c r="I57" s="26">
        <f t="shared" si="3"/>
        <v>177075692</v>
      </c>
    </row>
    <row r="58" spans="1:9" x14ac:dyDescent="0.2">
      <c r="A58" s="21">
        <v>54</v>
      </c>
      <c r="B58" s="22" t="s">
        <v>63</v>
      </c>
      <c r="C58" s="23">
        <v>2449881</v>
      </c>
      <c r="D58" s="24">
        <f t="shared" si="0"/>
        <v>0.26284866691701086</v>
      </c>
      <c r="E58" s="23">
        <v>4406929</v>
      </c>
      <c r="F58" s="24">
        <f t="shared" si="1"/>
        <v>0.47282109328898664</v>
      </c>
      <c r="G58" s="25">
        <f>2463690+'[2]Local Transfers'!I60</f>
        <v>2463690</v>
      </c>
      <c r="H58" s="24">
        <f t="shared" si="2"/>
        <v>0.26433023979400244</v>
      </c>
      <c r="I58" s="26">
        <f t="shared" si="3"/>
        <v>9320500</v>
      </c>
    </row>
    <row r="59" spans="1:9" x14ac:dyDescent="0.2">
      <c r="A59" s="27">
        <v>55</v>
      </c>
      <c r="B59" s="28" t="s">
        <v>64</v>
      </c>
      <c r="C59" s="29">
        <v>35776852</v>
      </c>
      <c r="D59" s="30">
        <f t="shared" si="0"/>
        <v>0.20040736015921609</v>
      </c>
      <c r="E59" s="29">
        <v>84624486</v>
      </c>
      <c r="F59" s="30">
        <f t="shared" si="1"/>
        <v>0.47403191997134181</v>
      </c>
      <c r="G59" s="31">
        <f>58138284+'[2]Local Transfers'!I61</f>
        <v>58119311</v>
      </c>
      <c r="H59" s="30">
        <f t="shared" si="2"/>
        <v>0.32556071986944213</v>
      </c>
      <c r="I59" s="32">
        <f t="shared" si="3"/>
        <v>178520649</v>
      </c>
    </row>
    <row r="60" spans="1:9" x14ac:dyDescent="0.2">
      <c r="A60" s="15">
        <v>56</v>
      </c>
      <c r="B60" s="16" t="s">
        <v>65</v>
      </c>
      <c r="C60" s="33">
        <v>4802960</v>
      </c>
      <c r="D60" s="18">
        <f t="shared" si="0"/>
        <v>0.17313466966771446</v>
      </c>
      <c r="E60" s="33">
        <v>14890039</v>
      </c>
      <c r="F60" s="18">
        <f t="shared" si="1"/>
        <v>0.53674858495685684</v>
      </c>
      <c r="G60" s="34">
        <f>8927631+'[2]Local Transfers'!I62</f>
        <v>8048180.7949999999</v>
      </c>
      <c r="H60" s="18">
        <f t="shared" si="2"/>
        <v>0.29011674537542859</v>
      </c>
      <c r="I60" s="20">
        <f t="shared" si="3"/>
        <v>27741179.795000002</v>
      </c>
    </row>
    <row r="61" spans="1:9" x14ac:dyDescent="0.2">
      <c r="A61" s="21">
        <v>57</v>
      </c>
      <c r="B61" s="22" t="s">
        <v>66</v>
      </c>
      <c r="C61" s="23">
        <v>24961383</v>
      </c>
      <c r="D61" s="24">
        <f t="shared" si="0"/>
        <v>0.25801566105500606</v>
      </c>
      <c r="E61" s="23">
        <v>41280109</v>
      </c>
      <c r="F61" s="24">
        <f t="shared" si="1"/>
        <v>0.42669569278503938</v>
      </c>
      <c r="G61" s="25">
        <f>30516607+'[2]Local Transfers'!I63</f>
        <v>30502182</v>
      </c>
      <c r="H61" s="24">
        <f t="shared" si="2"/>
        <v>0.31528864615995461</v>
      </c>
      <c r="I61" s="26">
        <f t="shared" si="3"/>
        <v>96743674</v>
      </c>
    </row>
    <row r="62" spans="1:9" x14ac:dyDescent="0.2">
      <c r="A62" s="21">
        <v>58</v>
      </c>
      <c r="B62" s="22" t="s">
        <v>67</v>
      </c>
      <c r="C62" s="23">
        <v>22890949</v>
      </c>
      <c r="D62" s="24">
        <f t="shared" si="0"/>
        <v>0.23383378635346619</v>
      </c>
      <c r="E62" s="23">
        <v>55710483</v>
      </c>
      <c r="F62" s="24">
        <f t="shared" si="1"/>
        <v>0.56908925791894471</v>
      </c>
      <c r="G62" s="25">
        <f>19293459+'[2]Local Transfers'!I64</f>
        <v>19292672</v>
      </c>
      <c r="H62" s="24">
        <f t="shared" si="2"/>
        <v>0.19707695572758907</v>
      </c>
      <c r="I62" s="26">
        <f t="shared" si="3"/>
        <v>97894104</v>
      </c>
    </row>
    <row r="63" spans="1:9" x14ac:dyDescent="0.2">
      <c r="A63" s="21">
        <v>59</v>
      </c>
      <c r="B63" s="22" t="s">
        <v>68</v>
      </c>
      <c r="C63" s="23">
        <v>10498877</v>
      </c>
      <c r="D63" s="24">
        <f t="shared" si="0"/>
        <v>0.18559804193981519</v>
      </c>
      <c r="E63" s="23">
        <v>35237174</v>
      </c>
      <c r="F63" s="24">
        <f t="shared" si="1"/>
        <v>0.62291905104637046</v>
      </c>
      <c r="G63" s="25">
        <f>10836034+'[2]Local Transfers'!I65</f>
        <v>10831771</v>
      </c>
      <c r="H63" s="24">
        <f t="shared" si="2"/>
        <v>0.19148290701381432</v>
      </c>
      <c r="I63" s="26">
        <f t="shared" si="3"/>
        <v>56567822</v>
      </c>
    </row>
    <row r="64" spans="1:9" x14ac:dyDescent="0.2">
      <c r="A64" s="27">
        <v>60</v>
      </c>
      <c r="B64" s="28" t="s">
        <v>69</v>
      </c>
      <c r="C64" s="29">
        <v>11655647</v>
      </c>
      <c r="D64" s="30">
        <f t="shared" si="0"/>
        <v>0.15328782824772805</v>
      </c>
      <c r="E64" s="29">
        <v>37134775</v>
      </c>
      <c r="F64" s="30">
        <f t="shared" si="1"/>
        <v>0.48837349073955527</v>
      </c>
      <c r="G64" s="31">
        <f>27254564+'[2]Local Transfers'!I66</f>
        <v>27247233</v>
      </c>
      <c r="H64" s="30">
        <f t="shared" si="2"/>
        <v>0.35833868101271665</v>
      </c>
      <c r="I64" s="32">
        <f t="shared" si="3"/>
        <v>76037655</v>
      </c>
    </row>
    <row r="65" spans="1:9" ht="15" customHeight="1" x14ac:dyDescent="0.2">
      <c r="A65" s="15">
        <v>61</v>
      </c>
      <c r="B65" s="16" t="s">
        <v>70</v>
      </c>
      <c r="C65" s="17">
        <v>7556980</v>
      </c>
      <c r="D65" s="18">
        <f t="shared" si="0"/>
        <v>0.17358959516327618</v>
      </c>
      <c r="E65" s="17">
        <v>12576131</v>
      </c>
      <c r="F65" s="18">
        <f t="shared" si="1"/>
        <v>0.28888332230736719</v>
      </c>
      <c r="G65" s="19">
        <f>23420252+'[2]Local Transfers'!I67</f>
        <v>23400489</v>
      </c>
      <c r="H65" s="18">
        <f t="shared" si="2"/>
        <v>0.53752708252935666</v>
      </c>
      <c r="I65" s="20">
        <f t="shared" si="3"/>
        <v>43533600</v>
      </c>
    </row>
    <row r="66" spans="1:9" x14ac:dyDescent="0.2">
      <c r="A66" s="21">
        <v>62</v>
      </c>
      <c r="B66" s="22" t="s">
        <v>71</v>
      </c>
      <c r="C66" s="23">
        <v>4215567</v>
      </c>
      <c r="D66" s="24">
        <f t="shared" si="0"/>
        <v>0.19877976485748441</v>
      </c>
      <c r="E66" s="23">
        <v>12985688</v>
      </c>
      <c r="F66" s="24">
        <f t="shared" si="1"/>
        <v>0.61232380060681213</v>
      </c>
      <c r="G66" s="25">
        <f>4007038+'[2]Local Transfers'!I68</f>
        <v>4005969</v>
      </c>
      <c r="H66" s="24">
        <f t="shared" si="2"/>
        <v>0.18889643453570348</v>
      </c>
      <c r="I66" s="26">
        <f t="shared" si="3"/>
        <v>21207224</v>
      </c>
    </row>
    <row r="67" spans="1:9" x14ac:dyDescent="0.2">
      <c r="A67" s="21">
        <v>63</v>
      </c>
      <c r="B67" s="22" t="s">
        <v>72</v>
      </c>
      <c r="C67" s="23">
        <v>3669644</v>
      </c>
      <c r="D67" s="24">
        <f t="shared" si="0"/>
        <v>0.1233654633489859</v>
      </c>
      <c r="E67" s="23">
        <v>11135672</v>
      </c>
      <c r="F67" s="24">
        <f t="shared" si="1"/>
        <v>0.37435711365525609</v>
      </c>
      <c r="G67" s="25">
        <f>14943445+'[2]Local Transfers'!I69</f>
        <v>14940805</v>
      </c>
      <c r="H67" s="24">
        <f t="shared" si="2"/>
        <v>0.50227742299575795</v>
      </c>
      <c r="I67" s="26">
        <f t="shared" si="3"/>
        <v>29746121</v>
      </c>
    </row>
    <row r="68" spans="1:9" x14ac:dyDescent="0.2">
      <c r="A68" s="21">
        <v>64</v>
      </c>
      <c r="B68" s="22" t="s">
        <v>73</v>
      </c>
      <c r="C68" s="23">
        <v>4826331</v>
      </c>
      <c r="D68" s="24">
        <f t="shared" si="0"/>
        <v>0.17755462465333974</v>
      </c>
      <c r="E68" s="23">
        <v>15382105</v>
      </c>
      <c r="F68" s="24">
        <f t="shared" si="1"/>
        <v>0.56588822433713315</v>
      </c>
      <c r="G68" s="25">
        <f>6976363+'[2]Local Transfers'!I70</f>
        <v>6973796</v>
      </c>
      <c r="H68" s="24">
        <f t="shared" si="2"/>
        <v>0.25655715100952708</v>
      </c>
      <c r="I68" s="26">
        <f t="shared" si="3"/>
        <v>27182232</v>
      </c>
    </row>
    <row r="69" spans="1:9" x14ac:dyDescent="0.2">
      <c r="A69" s="27">
        <v>65</v>
      </c>
      <c r="B69" s="28" t="s">
        <v>74</v>
      </c>
      <c r="C69" s="29">
        <v>26227334</v>
      </c>
      <c r="D69" s="30">
        <f t="shared" ref="D69:D75" si="4">C69/$I69</f>
        <v>0.23639560910234536</v>
      </c>
      <c r="E69" s="29">
        <v>43744397</v>
      </c>
      <c r="F69" s="30">
        <f t="shared" ref="F69:F75" si="5">E69/$I69</f>
        <v>0.3942826737033131</v>
      </c>
      <c r="G69" s="31">
        <f>41008615+'[2]Local Transfers'!I71</f>
        <v>40975059</v>
      </c>
      <c r="H69" s="30">
        <f t="shared" ref="H69:H75" si="6">G69/$I69</f>
        <v>0.36932171719434154</v>
      </c>
      <c r="I69" s="32">
        <f t="shared" ref="I69:I73" si="7">C69+E69+G69</f>
        <v>110946790</v>
      </c>
    </row>
    <row r="70" spans="1:9" x14ac:dyDescent="0.2">
      <c r="A70" s="15">
        <v>66</v>
      </c>
      <c r="B70" s="16" t="s">
        <v>75</v>
      </c>
      <c r="C70" s="33">
        <v>6259242</v>
      </c>
      <c r="D70" s="18">
        <f t="shared" si="4"/>
        <v>0.21873869152631242</v>
      </c>
      <c r="E70" s="33">
        <v>14550293</v>
      </c>
      <c r="F70" s="18">
        <f t="shared" si="5"/>
        <v>0.50848202580192026</v>
      </c>
      <c r="G70" s="34">
        <f>7810298+'[2]Local Transfers'!I72</f>
        <v>7805622</v>
      </c>
      <c r="H70" s="18">
        <f t="shared" si="6"/>
        <v>0.27277928267176726</v>
      </c>
      <c r="I70" s="20">
        <f t="shared" si="7"/>
        <v>28615157</v>
      </c>
    </row>
    <row r="71" spans="1:9" ht="12" customHeight="1" x14ac:dyDescent="0.2">
      <c r="A71" s="21">
        <v>67</v>
      </c>
      <c r="B71" s="22" t="s">
        <v>76</v>
      </c>
      <c r="C71" s="23">
        <v>5053499</v>
      </c>
      <c r="D71" s="24">
        <f t="shared" si="4"/>
        <v>8.7755342990362806E-2</v>
      </c>
      <c r="E71" s="23">
        <v>27433375</v>
      </c>
      <c r="F71" s="24">
        <f t="shared" si="5"/>
        <v>0.47638779240052176</v>
      </c>
      <c r="G71" s="25">
        <f>25106108+'[2]Local Transfers'!I73</f>
        <v>25099351.838750001</v>
      </c>
      <c r="H71" s="24">
        <f t="shared" si="6"/>
        <v>0.43585686460911538</v>
      </c>
      <c r="I71" s="26">
        <f t="shared" si="7"/>
        <v>57586225.838750005</v>
      </c>
    </row>
    <row r="72" spans="1:9" s="35" customFormat="1" x14ac:dyDescent="0.2">
      <c r="A72" s="21">
        <v>68</v>
      </c>
      <c r="B72" s="22" t="s">
        <v>77</v>
      </c>
      <c r="C72" s="23">
        <v>3919835</v>
      </c>
      <c r="D72" s="24">
        <f t="shared" si="4"/>
        <v>0.18456991414214263</v>
      </c>
      <c r="E72" s="23">
        <v>11899190</v>
      </c>
      <c r="F72" s="24">
        <f t="shared" si="5"/>
        <v>0.56028697041101017</v>
      </c>
      <c r="G72" s="25">
        <f>5438309+'[2]Local Transfers'!I74</f>
        <v>5418645.3875000002</v>
      </c>
      <c r="H72" s="24">
        <f t="shared" si="6"/>
        <v>0.2551431154468472</v>
      </c>
      <c r="I72" s="26">
        <f t="shared" si="7"/>
        <v>21237670.387499999</v>
      </c>
    </row>
    <row r="73" spans="1:9" x14ac:dyDescent="0.2">
      <c r="A73" s="21">
        <v>69</v>
      </c>
      <c r="B73" s="22" t="s">
        <v>78</v>
      </c>
      <c r="C73" s="23">
        <v>5215352</v>
      </c>
      <c r="D73" s="24">
        <f t="shared" si="4"/>
        <v>0.11950772265133702</v>
      </c>
      <c r="E73" s="23">
        <v>23589898</v>
      </c>
      <c r="F73" s="24">
        <f t="shared" si="5"/>
        <v>0.54055315682571947</v>
      </c>
      <c r="G73" s="25">
        <f>14842956+'[2]Local Transfers'!I75</f>
        <v>14835042.73</v>
      </c>
      <c r="H73" s="24">
        <f t="shared" si="6"/>
        <v>0.33993912052294334</v>
      </c>
      <c r="I73" s="26">
        <f t="shared" si="7"/>
        <v>43640292.730000004</v>
      </c>
    </row>
    <row r="74" spans="1:9" x14ac:dyDescent="0.2">
      <c r="A74" s="21">
        <v>396</v>
      </c>
      <c r="B74" s="22" t="s">
        <v>79</v>
      </c>
      <c r="C74" s="23">
        <f>116259460-[2]Hurricane!F13</f>
        <v>32144211</v>
      </c>
      <c r="D74" s="24">
        <f>C74/$I74</f>
        <v>0.27053919924743736</v>
      </c>
      <c r="E74" s="23">
        <f>'[1]Total Revenue'!$D$74</f>
        <v>44296590</v>
      </c>
      <c r="F74" s="24">
        <f>E74/$I74</f>
        <v>0.37281873205698035</v>
      </c>
      <c r="G74" s="25">
        <f>45509058-3134504</f>
        <v>42374554</v>
      </c>
      <c r="H74" s="24">
        <f>G74/$I74</f>
        <v>0.35664206869558229</v>
      </c>
      <c r="I74" s="26">
        <f>C74+E74+G74</f>
        <v>118815355</v>
      </c>
    </row>
    <row r="75" spans="1:9" x14ac:dyDescent="0.2">
      <c r="A75" s="36"/>
      <c r="B75" s="37" t="s">
        <v>80</v>
      </c>
      <c r="C75" s="38">
        <f>SUM(C5:C74)</f>
        <v>1290081353</v>
      </c>
      <c r="D75" s="39">
        <f t="shared" si="4"/>
        <v>0.16835103983659674</v>
      </c>
      <c r="E75" s="38">
        <f>SUM(E5:E74)</f>
        <v>3259448456</v>
      </c>
      <c r="F75" s="39">
        <f t="shared" si="5"/>
        <v>0.42534646019442912</v>
      </c>
      <c r="G75" s="38">
        <f>SUM(G5:G74)</f>
        <v>3113513759.0834889</v>
      </c>
      <c r="H75" s="39">
        <f t="shared" si="6"/>
        <v>0.40630249996897405</v>
      </c>
      <c r="I75" s="38">
        <f>SUM(I5:I74)</f>
        <v>7663043568.0834894</v>
      </c>
    </row>
    <row r="76" spans="1:9" x14ac:dyDescent="0.2">
      <c r="A76" s="40"/>
      <c r="B76" s="41"/>
      <c r="C76" s="41"/>
      <c r="D76" s="41"/>
      <c r="E76" s="41"/>
      <c r="F76" s="41"/>
      <c r="G76" s="41"/>
      <c r="H76" s="41"/>
      <c r="I76" s="42"/>
    </row>
    <row r="77" spans="1:9" x14ac:dyDescent="0.2">
      <c r="A77" s="43">
        <v>318</v>
      </c>
      <c r="B77" s="44" t="s">
        <v>81</v>
      </c>
      <c r="C77" s="20">
        <v>175387</v>
      </c>
      <c r="D77" s="45">
        <f>C77/$I77</f>
        <v>1.3856507676868836E-2</v>
      </c>
      <c r="E77" s="20">
        <v>6507319</v>
      </c>
      <c r="F77" s="45">
        <f>E77/$I77</f>
        <v>0.51411287997020549</v>
      </c>
      <c r="G77" s="20">
        <v>5974668</v>
      </c>
      <c r="H77" s="45">
        <f>G77/$I77</f>
        <v>0.47203061235292565</v>
      </c>
      <c r="I77" s="46">
        <f>C77+E77+G77</f>
        <v>12657374</v>
      </c>
    </row>
    <row r="78" spans="1:9" x14ac:dyDescent="0.2">
      <c r="A78" s="27">
        <v>319</v>
      </c>
      <c r="B78" s="47" t="s">
        <v>82</v>
      </c>
      <c r="C78" s="32">
        <v>0</v>
      </c>
      <c r="D78" s="48">
        <f>C78/$I78</f>
        <v>0</v>
      </c>
      <c r="E78" s="32">
        <v>1472871</v>
      </c>
      <c r="F78" s="48">
        <f>E78/$I78</f>
        <v>0.63529687309944194</v>
      </c>
      <c r="G78" s="32">
        <v>845527</v>
      </c>
      <c r="H78" s="48">
        <f>G78/$I78</f>
        <v>0.36470312690055806</v>
      </c>
      <c r="I78" s="32">
        <f>C78+E78+G78</f>
        <v>2318398</v>
      </c>
    </row>
    <row r="79" spans="1:9" x14ac:dyDescent="0.2">
      <c r="A79" s="49"/>
      <c r="B79" s="50" t="s">
        <v>83</v>
      </c>
      <c r="C79" s="51">
        <f>SUM(C77:C78)</f>
        <v>175387</v>
      </c>
      <c r="D79" s="52">
        <f>C79/$I79</f>
        <v>1.1711382892314333E-2</v>
      </c>
      <c r="E79" s="51">
        <f>SUM(E77:E78)</f>
        <v>7980190</v>
      </c>
      <c r="F79" s="52">
        <f>E79/$I79</f>
        <v>0.53287336372375327</v>
      </c>
      <c r="G79" s="38">
        <f>SUM(G77:G78)</f>
        <v>6820195</v>
      </c>
      <c r="H79" s="52">
        <f>G79/$I79</f>
        <v>0.45541525338393241</v>
      </c>
      <c r="I79" s="38">
        <f>SUM(I77:I78)</f>
        <v>14975772</v>
      </c>
    </row>
    <row r="80" spans="1:9" x14ac:dyDescent="0.2">
      <c r="A80" s="40"/>
      <c r="B80" s="41"/>
      <c r="C80" s="41"/>
      <c r="D80" s="41"/>
      <c r="E80" s="41"/>
      <c r="F80" s="41"/>
      <c r="G80" s="41"/>
      <c r="H80" s="41"/>
      <c r="I80" s="42"/>
    </row>
    <row r="81" spans="1:9" x14ac:dyDescent="0.2">
      <c r="A81" s="53">
        <v>321001</v>
      </c>
      <c r="B81" s="54" t="s">
        <v>84</v>
      </c>
      <c r="C81" s="20">
        <v>951561</v>
      </c>
      <c r="D81" s="55">
        <f t="shared" ref="D81:D93" si="8">C81/$I81</f>
        <v>0.23405105207996924</v>
      </c>
      <c r="E81" s="20">
        <v>3073942</v>
      </c>
      <c r="F81" s="55">
        <f t="shared" ref="F81:F93" si="9">E81/$I81</f>
        <v>0.75608327698676681</v>
      </c>
      <c r="G81" s="20">
        <v>40110</v>
      </c>
      <c r="H81" s="55">
        <f t="shared" ref="H81:H93" si="10">G81/$I81</f>
        <v>9.8656709332639383E-3</v>
      </c>
      <c r="I81" s="26">
        <f t="shared" ref="I81:I87" si="11">C81+E81+G81</f>
        <v>4065613</v>
      </c>
    </row>
    <row r="82" spans="1:9" x14ac:dyDescent="0.2">
      <c r="A82" s="56">
        <v>329001</v>
      </c>
      <c r="B82" s="22" t="s">
        <v>85</v>
      </c>
      <c r="C82" s="26">
        <v>503451</v>
      </c>
      <c r="D82" s="24">
        <f t="shared" si="8"/>
        <v>0.12869049849607897</v>
      </c>
      <c r="E82" s="26">
        <v>3318518</v>
      </c>
      <c r="F82" s="24">
        <f t="shared" si="9"/>
        <v>0.84826872066638259</v>
      </c>
      <c r="G82" s="26">
        <v>90138</v>
      </c>
      <c r="H82" s="24">
        <f t="shared" si="10"/>
        <v>2.3040780837538442E-2</v>
      </c>
      <c r="I82" s="26">
        <f t="shared" si="11"/>
        <v>3912107</v>
      </c>
    </row>
    <row r="83" spans="1:9" x14ac:dyDescent="0.2">
      <c r="A83" s="56">
        <v>331001</v>
      </c>
      <c r="B83" s="22" t="s">
        <v>86</v>
      </c>
      <c r="C83" s="26">
        <v>701326</v>
      </c>
      <c r="D83" s="24">
        <f t="shared" si="8"/>
        <v>0.12507934209242688</v>
      </c>
      <c r="E83" s="26">
        <v>4297308</v>
      </c>
      <c r="F83" s="24">
        <f t="shared" si="9"/>
        <v>0.76641170783419232</v>
      </c>
      <c r="G83" s="26">
        <v>608415</v>
      </c>
      <c r="H83" s="24">
        <f t="shared" si="10"/>
        <v>0.10850895007338085</v>
      </c>
      <c r="I83" s="26">
        <f t="shared" si="11"/>
        <v>5607049</v>
      </c>
    </row>
    <row r="84" spans="1:9" x14ac:dyDescent="0.2">
      <c r="A84" s="56">
        <v>333001</v>
      </c>
      <c r="B84" s="22" t="s">
        <v>87</v>
      </c>
      <c r="C84" s="26">
        <v>481879</v>
      </c>
      <c r="D84" s="24">
        <f t="shared" si="8"/>
        <v>8.7623747343124558E-2</v>
      </c>
      <c r="E84" s="26">
        <v>4614935</v>
      </c>
      <c r="F84" s="24">
        <f t="shared" si="9"/>
        <v>0.83916895827571347</v>
      </c>
      <c r="G84" s="26">
        <v>402597</v>
      </c>
      <c r="H84" s="24">
        <f t="shared" si="10"/>
        <v>7.3207294381161914E-2</v>
      </c>
      <c r="I84" s="26">
        <f t="shared" si="11"/>
        <v>5499411</v>
      </c>
    </row>
    <row r="85" spans="1:9" x14ac:dyDescent="0.2">
      <c r="A85" s="57">
        <v>336001</v>
      </c>
      <c r="B85" s="47" t="s">
        <v>88</v>
      </c>
      <c r="C85" s="32">
        <v>488530</v>
      </c>
      <c r="D85" s="30">
        <f t="shared" si="8"/>
        <v>7.1321704935188093E-2</v>
      </c>
      <c r="E85" s="32">
        <v>6217764</v>
      </c>
      <c r="F85" s="30">
        <f t="shared" si="9"/>
        <v>0.90774676962445477</v>
      </c>
      <c r="G85" s="32">
        <v>143374</v>
      </c>
      <c r="H85" s="30">
        <f t="shared" si="10"/>
        <v>2.0931525440357108E-2</v>
      </c>
      <c r="I85" s="32">
        <f t="shared" si="11"/>
        <v>6849668</v>
      </c>
    </row>
    <row r="86" spans="1:9" x14ac:dyDescent="0.2">
      <c r="A86" s="53">
        <v>337001</v>
      </c>
      <c r="B86" s="54" t="s">
        <v>89</v>
      </c>
      <c r="C86" s="20">
        <v>2721129</v>
      </c>
      <c r="D86" s="55">
        <f t="shared" si="8"/>
        <v>0.18229450267111424</v>
      </c>
      <c r="E86" s="20">
        <v>11894120</v>
      </c>
      <c r="F86" s="55">
        <f t="shared" si="9"/>
        <v>0.79681363511636283</v>
      </c>
      <c r="G86" s="20">
        <v>311855</v>
      </c>
      <c r="H86" s="55">
        <f t="shared" si="10"/>
        <v>2.0891862212522937E-2</v>
      </c>
      <c r="I86" s="26">
        <f t="shared" si="11"/>
        <v>14927104</v>
      </c>
    </row>
    <row r="87" spans="1:9" x14ac:dyDescent="0.2">
      <c r="A87" s="56">
        <v>339001</v>
      </c>
      <c r="B87" s="22" t="s">
        <v>90</v>
      </c>
      <c r="C87" s="26">
        <v>582479</v>
      </c>
      <c r="D87" s="24">
        <f t="shared" si="8"/>
        <v>0.13890931863536288</v>
      </c>
      <c r="E87" s="26">
        <v>3533474</v>
      </c>
      <c r="F87" s="24">
        <f t="shared" si="9"/>
        <v>0.84266122170201885</v>
      </c>
      <c r="G87" s="26">
        <v>77279</v>
      </c>
      <c r="H87" s="24">
        <f t="shared" si="10"/>
        <v>1.8429459662618237E-2</v>
      </c>
      <c r="I87" s="26">
        <f t="shared" si="11"/>
        <v>4193232</v>
      </c>
    </row>
    <row r="88" spans="1:9" x14ac:dyDescent="0.2">
      <c r="A88" s="56">
        <v>340001</v>
      </c>
      <c r="B88" s="22" t="s">
        <v>91</v>
      </c>
      <c r="C88" s="26">
        <v>71053</v>
      </c>
      <c r="D88" s="24">
        <f t="shared" si="8"/>
        <v>6.4888702993064831E-2</v>
      </c>
      <c r="E88" s="26">
        <v>915134</v>
      </c>
      <c r="F88" s="24">
        <f>E88/$I88</f>
        <v>0.83574033925176117</v>
      </c>
      <c r="G88" s="26">
        <v>108811</v>
      </c>
      <c r="H88" s="24">
        <f>G88/$I88</f>
        <v>9.9370957755173989E-2</v>
      </c>
      <c r="I88" s="26">
        <f>C88+E88+G88</f>
        <v>1094998</v>
      </c>
    </row>
    <row r="89" spans="1:9" x14ac:dyDescent="0.2">
      <c r="A89" s="56">
        <v>341001</v>
      </c>
      <c r="B89" s="22" t="s">
        <v>92</v>
      </c>
      <c r="C89" s="26">
        <v>510321</v>
      </c>
      <c r="D89" s="24">
        <f t="shared" si="8"/>
        <v>0.15531699127789306</v>
      </c>
      <c r="E89" s="26">
        <v>1713269</v>
      </c>
      <c r="F89" s="24">
        <f>E89/$I89</f>
        <v>0.52143608891204662</v>
      </c>
      <c r="G89" s="26">
        <v>1062084</v>
      </c>
      <c r="H89" s="24">
        <f>G89/$I89</f>
        <v>0.32324691981006026</v>
      </c>
      <c r="I89" s="26">
        <f>C89+E89+G89</f>
        <v>3285674</v>
      </c>
    </row>
    <row r="90" spans="1:9" x14ac:dyDescent="0.2">
      <c r="A90" s="57">
        <v>342001</v>
      </c>
      <c r="B90" s="47" t="s">
        <v>93</v>
      </c>
      <c r="C90" s="32">
        <v>296955</v>
      </c>
      <c r="D90" s="30">
        <f t="shared" si="8"/>
        <v>0.25212063890428915</v>
      </c>
      <c r="E90" s="32">
        <v>817324</v>
      </c>
      <c r="F90" s="30">
        <f>E90/$I90</f>
        <v>0.69392416046811545</v>
      </c>
      <c r="G90" s="32">
        <v>63550</v>
      </c>
      <c r="H90" s="30">
        <f>G90/$I90</f>
        <v>5.3955200627595346E-2</v>
      </c>
      <c r="I90" s="32">
        <f>C90+E90+G90</f>
        <v>1177829</v>
      </c>
    </row>
    <row r="91" spans="1:9" x14ac:dyDescent="0.2">
      <c r="A91" s="58">
        <v>343001</v>
      </c>
      <c r="B91" s="16" t="s">
        <v>94</v>
      </c>
      <c r="C91" s="20">
        <v>276905</v>
      </c>
      <c r="D91" s="18">
        <f t="shared" si="8"/>
        <v>0.1288670468850712</v>
      </c>
      <c r="E91" s="20">
        <v>703242</v>
      </c>
      <c r="F91" s="18">
        <f>E91/$I91</f>
        <v>0.32727729649356724</v>
      </c>
      <c r="G91" s="20">
        <v>1168618</v>
      </c>
      <c r="H91" s="18">
        <f>G91/$I91</f>
        <v>0.54385565662136159</v>
      </c>
      <c r="I91" s="20">
        <f>C91+E91+G91</f>
        <v>2148765</v>
      </c>
    </row>
    <row r="92" spans="1:9" s="35" customFormat="1" x14ac:dyDescent="0.2">
      <c r="A92" s="57">
        <v>344001</v>
      </c>
      <c r="B92" s="47" t="s">
        <v>95</v>
      </c>
      <c r="C92" s="32">
        <v>504962</v>
      </c>
      <c r="D92" s="30">
        <f t="shared" si="8"/>
        <v>0.22150020879610621</v>
      </c>
      <c r="E92" s="32">
        <v>668454</v>
      </c>
      <c r="F92" s="30">
        <f>E92/$I92</f>
        <v>0.29321553021928853</v>
      </c>
      <c r="G92" s="32">
        <v>1106320</v>
      </c>
      <c r="H92" s="30">
        <f>G92/$I92</f>
        <v>0.48528426098460525</v>
      </c>
      <c r="I92" s="32">
        <f>C92+E92+G92</f>
        <v>2279736</v>
      </c>
    </row>
    <row r="93" spans="1:9" x14ac:dyDescent="0.2">
      <c r="A93" s="49"/>
      <c r="B93" s="50" t="s">
        <v>96</v>
      </c>
      <c r="C93" s="59">
        <f>SUM(C81:C92)</f>
        <v>8090551</v>
      </c>
      <c r="D93" s="60">
        <f t="shared" si="8"/>
        <v>0.14699085517525004</v>
      </c>
      <c r="E93" s="59">
        <f>SUM(E81:E92)</f>
        <v>41767484</v>
      </c>
      <c r="F93" s="61">
        <f t="shared" si="9"/>
        <v>0.75884055260001115</v>
      </c>
      <c r="G93" s="59">
        <f>SUM(G81:G92)</f>
        <v>5183151</v>
      </c>
      <c r="H93" s="61">
        <f t="shared" si="10"/>
        <v>9.4168592224738765E-2</v>
      </c>
      <c r="I93" s="59">
        <f>SUM(I81:I92)</f>
        <v>55041186</v>
      </c>
    </row>
    <row r="94" spans="1:9" x14ac:dyDescent="0.2">
      <c r="A94" s="62"/>
      <c r="B94" s="41"/>
      <c r="C94" s="41"/>
      <c r="D94" s="41"/>
      <c r="E94" s="41"/>
      <c r="F94" s="41"/>
      <c r="G94" s="41"/>
      <c r="H94" s="41"/>
      <c r="I94" s="42"/>
    </row>
    <row r="95" spans="1:9" x14ac:dyDescent="0.2">
      <c r="A95" s="63">
        <v>300001</v>
      </c>
      <c r="B95" s="63" t="s">
        <v>97</v>
      </c>
      <c r="C95" s="20">
        <v>1326292</v>
      </c>
      <c r="D95" s="55">
        <f>C95/$I95</f>
        <v>0.32503285147896599</v>
      </c>
      <c r="E95" s="20">
        <v>1192602</v>
      </c>
      <c r="F95" s="55">
        <f>E95/$I95</f>
        <v>0.29226959729796892</v>
      </c>
      <c r="G95" s="20">
        <v>1561592</v>
      </c>
      <c r="H95" s="55">
        <f>G95/$I95</f>
        <v>0.38269755122306509</v>
      </c>
      <c r="I95" s="26">
        <f>C95+E95+G95</f>
        <v>4080486</v>
      </c>
    </row>
    <row r="96" spans="1:9" x14ac:dyDescent="0.2">
      <c r="A96" s="56">
        <v>300002</v>
      </c>
      <c r="B96" s="64" t="s">
        <v>98</v>
      </c>
      <c r="C96" s="26">
        <v>1234831</v>
      </c>
      <c r="D96" s="24">
        <f>C96/$I96</f>
        <v>0.27623970866256403</v>
      </c>
      <c r="E96" s="26">
        <v>1474550</v>
      </c>
      <c r="F96" s="24">
        <f>E96/$I96</f>
        <v>0.3298664047212807</v>
      </c>
      <c r="G96" s="26">
        <v>1760762</v>
      </c>
      <c r="H96" s="24">
        <f>G96/$I96</f>
        <v>0.39389388661615521</v>
      </c>
      <c r="I96" s="26">
        <f>C96+E96+G96</f>
        <v>4470143</v>
      </c>
    </row>
    <row r="97" spans="1:9" x14ac:dyDescent="0.2">
      <c r="A97" s="56">
        <v>300003</v>
      </c>
      <c r="B97" s="64" t="s">
        <v>99</v>
      </c>
      <c r="C97" s="26">
        <v>666747</v>
      </c>
      <c r="D97" s="24">
        <f t="shared" ref="D97:D149" si="12">C97/$I97</f>
        <v>0.18313170215606106</v>
      </c>
      <c r="E97" s="26">
        <v>1371474</v>
      </c>
      <c r="F97" s="24">
        <f t="shared" ref="F97:F149" si="13">E97/$I97</f>
        <v>0.37669516035734946</v>
      </c>
      <c r="G97" s="26">
        <v>1602585</v>
      </c>
      <c r="H97" s="24">
        <f t="shared" ref="H97:H149" si="14">G97/$I97</f>
        <v>0.44017313748658948</v>
      </c>
      <c r="I97" s="26">
        <f t="shared" ref="I97:I148" si="15">C97+E97+G97</f>
        <v>3640806</v>
      </c>
    </row>
    <row r="98" spans="1:9" x14ac:dyDescent="0.2">
      <c r="A98" s="65">
        <v>300004</v>
      </c>
      <c r="B98" s="66" t="s">
        <v>100</v>
      </c>
      <c r="C98" s="26">
        <v>848783</v>
      </c>
      <c r="D98" s="24">
        <f t="shared" si="12"/>
        <v>0.21668132426391845</v>
      </c>
      <c r="E98" s="26">
        <v>1424159</v>
      </c>
      <c r="F98" s="24">
        <f t="shared" si="13"/>
        <v>0.3635660210941758</v>
      </c>
      <c r="G98" s="26">
        <v>1644253</v>
      </c>
      <c r="H98" s="24">
        <f t="shared" si="14"/>
        <v>0.41975265464190575</v>
      </c>
      <c r="I98" s="26">
        <f t="shared" si="15"/>
        <v>3917195</v>
      </c>
    </row>
    <row r="99" spans="1:9" x14ac:dyDescent="0.2">
      <c r="A99" s="67">
        <v>366001</v>
      </c>
      <c r="B99" s="68" t="s">
        <v>101</v>
      </c>
      <c r="C99" s="32">
        <v>350960</v>
      </c>
      <c r="D99" s="30">
        <f t="shared" si="12"/>
        <v>0.22135589949170642</v>
      </c>
      <c r="E99" s="32">
        <v>186088</v>
      </c>
      <c r="F99" s="30">
        <f t="shared" si="13"/>
        <v>0.11736857939540878</v>
      </c>
      <c r="G99" s="32">
        <v>1048453</v>
      </c>
      <c r="H99" s="30">
        <f t="shared" si="14"/>
        <v>0.66127552111288479</v>
      </c>
      <c r="I99" s="32">
        <f t="shared" si="15"/>
        <v>1585501</v>
      </c>
    </row>
    <row r="100" spans="1:9" x14ac:dyDescent="0.2">
      <c r="A100" s="65">
        <v>367001</v>
      </c>
      <c r="B100" s="66" t="s">
        <v>102</v>
      </c>
      <c r="C100" s="20">
        <v>1076266</v>
      </c>
      <c r="D100" s="55">
        <f t="shared" si="12"/>
        <v>0.27050640559699279</v>
      </c>
      <c r="E100" s="20">
        <v>1385044</v>
      </c>
      <c r="F100" s="55">
        <f t="shared" si="13"/>
        <v>0.34811401087991378</v>
      </c>
      <c r="G100" s="20">
        <v>1517398</v>
      </c>
      <c r="H100" s="55">
        <f t="shared" si="14"/>
        <v>0.38137958352309342</v>
      </c>
      <c r="I100" s="26">
        <f t="shared" si="15"/>
        <v>3978708</v>
      </c>
    </row>
    <row r="101" spans="1:9" x14ac:dyDescent="0.2">
      <c r="A101" s="65">
        <v>368001</v>
      </c>
      <c r="B101" s="66" t="s">
        <v>103</v>
      </c>
      <c r="C101" s="26">
        <v>479948</v>
      </c>
      <c r="D101" s="24">
        <f t="shared" si="12"/>
        <v>0.24007927476198312</v>
      </c>
      <c r="E101" s="26">
        <v>610604</v>
      </c>
      <c r="F101" s="24">
        <f t="shared" si="13"/>
        <v>0.30543593365690858</v>
      </c>
      <c r="G101" s="26">
        <v>908571</v>
      </c>
      <c r="H101" s="24">
        <f t="shared" si="14"/>
        <v>0.45448479158110833</v>
      </c>
      <c r="I101" s="26">
        <f t="shared" si="15"/>
        <v>1999123</v>
      </c>
    </row>
    <row r="102" spans="1:9" x14ac:dyDescent="0.2">
      <c r="A102" s="65">
        <v>369001</v>
      </c>
      <c r="B102" s="66" t="s">
        <v>104</v>
      </c>
      <c r="C102" s="26">
        <v>2374111</v>
      </c>
      <c r="D102" s="24">
        <f t="shared" si="12"/>
        <v>0.31663201970975513</v>
      </c>
      <c r="E102" s="26">
        <v>2357184</v>
      </c>
      <c r="F102" s="24">
        <f t="shared" si="13"/>
        <v>0.31437448828109527</v>
      </c>
      <c r="G102" s="26">
        <v>2766718</v>
      </c>
      <c r="H102" s="24">
        <f t="shared" si="14"/>
        <v>0.3689934920091496</v>
      </c>
      <c r="I102" s="26">
        <f t="shared" si="15"/>
        <v>7498013</v>
      </c>
    </row>
    <row r="103" spans="1:9" x14ac:dyDescent="0.2">
      <c r="A103" s="65">
        <v>369002</v>
      </c>
      <c r="B103" s="66" t="s">
        <v>105</v>
      </c>
      <c r="C103" s="26">
        <v>2487516</v>
      </c>
      <c r="D103" s="24">
        <f t="shared" si="12"/>
        <v>0.32569379533415704</v>
      </c>
      <c r="E103" s="26">
        <v>2325304</v>
      </c>
      <c r="F103" s="24">
        <f t="shared" si="13"/>
        <v>0.30445516131984546</v>
      </c>
      <c r="G103" s="26">
        <v>2824771</v>
      </c>
      <c r="H103" s="24">
        <f t="shared" si="14"/>
        <v>0.36985104334599744</v>
      </c>
      <c r="I103" s="26">
        <f t="shared" si="15"/>
        <v>7637591</v>
      </c>
    </row>
    <row r="104" spans="1:9" x14ac:dyDescent="0.2">
      <c r="A104" s="57">
        <v>371001</v>
      </c>
      <c r="B104" s="28" t="s">
        <v>106</v>
      </c>
      <c r="C104" s="32">
        <v>1545128</v>
      </c>
      <c r="D104" s="30">
        <f t="shared" si="12"/>
        <v>0.28895625863874913</v>
      </c>
      <c r="E104" s="32">
        <v>2108114</v>
      </c>
      <c r="F104" s="30">
        <f t="shared" si="13"/>
        <v>0.39424095235085249</v>
      </c>
      <c r="G104" s="32">
        <v>1694031</v>
      </c>
      <c r="H104" s="30">
        <f t="shared" si="14"/>
        <v>0.31680278901039838</v>
      </c>
      <c r="I104" s="32">
        <f t="shared" si="15"/>
        <v>5347273</v>
      </c>
    </row>
    <row r="105" spans="1:9" x14ac:dyDescent="0.2">
      <c r="A105" s="64">
        <v>372001</v>
      </c>
      <c r="B105" s="64" t="s">
        <v>107</v>
      </c>
      <c r="C105" s="20">
        <v>785304</v>
      </c>
      <c r="D105" s="55">
        <f t="shared" si="12"/>
        <v>0.16375596252795546</v>
      </c>
      <c r="E105" s="20">
        <v>1683687</v>
      </c>
      <c r="F105" s="55">
        <f t="shared" si="13"/>
        <v>0.35109178774182448</v>
      </c>
      <c r="G105" s="20">
        <v>2326584</v>
      </c>
      <c r="H105" s="55">
        <f t="shared" si="14"/>
        <v>0.48515224973022003</v>
      </c>
      <c r="I105" s="26">
        <f t="shared" si="15"/>
        <v>4795575</v>
      </c>
    </row>
    <row r="106" spans="1:9" x14ac:dyDescent="0.2">
      <c r="A106" s="56">
        <v>373001</v>
      </c>
      <c r="B106" s="64" t="s">
        <v>108</v>
      </c>
      <c r="C106" s="26">
        <v>881086</v>
      </c>
      <c r="D106" s="24">
        <f t="shared" si="12"/>
        <v>0.31441204797866346</v>
      </c>
      <c r="E106" s="26">
        <v>806445</v>
      </c>
      <c r="F106" s="24">
        <f t="shared" si="13"/>
        <v>0.28777670287821311</v>
      </c>
      <c r="G106" s="26">
        <v>1114798</v>
      </c>
      <c r="H106" s="24">
        <f t="shared" si="14"/>
        <v>0.39781124914312344</v>
      </c>
      <c r="I106" s="26">
        <f t="shared" si="15"/>
        <v>2802329</v>
      </c>
    </row>
    <row r="107" spans="1:9" x14ac:dyDescent="0.2">
      <c r="A107" s="56">
        <v>374001</v>
      </c>
      <c r="B107" s="64" t="s">
        <v>109</v>
      </c>
      <c r="C107" s="26">
        <v>1064802</v>
      </c>
      <c r="D107" s="24">
        <f t="shared" si="12"/>
        <v>0.28496730696766237</v>
      </c>
      <c r="E107" s="26">
        <v>1142978</v>
      </c>
      <c r="F107" s="24">
        <f t="shared" si="13"/>
        <v>0.30588913486571662</v>
      </c>
      <c r="G107" s="26">
        <v>1528796</v>
      </c>
      <c r="H107" s="24">
        <f t="shared" si="14"/>
        <v>0.40914355816662101</v>
      </c>
      <c r="I107" s="26">
        <f t="shared" si="15"/>
        <v>3736576</v>
      </c>
    </row>
    <row r="108" spans="1:9" x14ac:dyDescent="0.2">
      <c r="A108" s="56">
        <v>375001</v>
      </c>
      <c r="B108" s="64" t="s">
        <v>110</v>
      </c>
      <c r="C108" s="26">
        <v>709719</v>
      </c>
      <c r="D108" s="24">
        <f t="shared" si="12"/>
        <v>0.32295567748799359</v>
      </c>
      <c r="E108" s="26">
        <v>616068</v>
      </c>
      <c r="F108" s="24">
        <f t="shared" si="13"/>
        <v>0.28034004770715343</v>
      </c>
      <c r="G108" s="26">
        <v>871787</v>
      </c>
      <c r="H108" s="24">
        <f t="shared" si="14"/>
        <v>0.39670427480485299</v>
      </c>
      <c r="I108" s="26">
        <f t="shared" si="15"/>
        <v>2197574</v>
      </c>
    </row>
    <row r="109" spans="1:9" x14ac:dyDescent="0.2">
      <c r="A109" s="57">
        <v>376001</v>
      </c>
      <c r="B109" s="28" t="s">
        <v>111</v>
      </c>
      <c r="C109" s="32">
        <v>734206</v>
      </c>
      <c r="D109" s="30">
        <f t="shared" si="12"/>
        <v>0.32671149457050158</v>
      </c>
      <c r="E109" s="32">
        <v>681319</v>
      </c>
      <c r="F109" s="30">
        <f t="shared" si="13"/>
        <v>0.30317751253637204</v>
      </c>
      <c r="G109" s="32">
        <v>831736</v>
      </c>
      <c r="H109" s="30">
        <f t="shared" si="14"/>
        <v>0.37011099289312632</v>
      </c>
      <c r="I109" s="32">
        <f t="shared" si="15"/>
        <v>2247261</v>
      </c>
    </row>
    <row r="110" spans="1:9" x14ac:dyDescent="0.2">
      <c r="A110" s="64">
        <v>377001</v>
      </c>
      <c r="B110" s="64" t="s">
        <v>112</v>
      </c>
      <c r="C110" s="20">
        <v>1104794</v>
      </c>
      <c r="D110" s="55">
        <f t="shared" si="12"/>
        <v>0.26948028902454579</v>
      </c>
      <c r="E110" s="20">
        <v>1023784</v>
      </c>
      <c r="F110" s="55">
        <f t="shared" si="13"/>
        <v>0.24972040780336027</v>
      </c>
      <c r="G110" s="20">
        <v>1971143</v>
      </c>
      <c r="H110" s="55">
        <f t="shared" si="14"/>
        <v>0.48079930317209391</v>
      </c>
      <c r="I110" s="26">
        <f t="shared" si="15"/>
        <v>4099721</v>
      </c>
    </row>
    <row r="111" spans="1:9" x14ac:dyDescent="0.2">
      <c r="A111" s="56">
        <v>377002</v>
      </c>
      <c r="B111" s="64" t="s">
        <v>113</v>
      </c>
      <c r="C111" s="26">
        <v>706172</v>
      </c>
      <c r="D111" s="24">
        <f t="shared" si="12"/>
        <v>0.18572950641386604</v>
      </c>
      <c r="E111" s="26">
        <v>1042447</v>
      </c>
      <c r="F111" s="24">
        <f t="shared" si="13"/>
        <v>0.27417281734848648</v>
      </c>
      <c r="G111" s="26">
        <v>2053534</v>
      </c>
      <c r="H111" s="24">
        <f t="shared" si="14"/>
        <v>0.54009767623764748</v>
      </c>
      <c r="I111" s="26">
        <f t="shared" si="15"/>
        <v>3802153</v>
      </c>
    </row>
    <row r="112" spans="1:9" x14ac:dyDescent="0.2">
      <c r="A112" s="56">
        <v>377003</v>
      </c>
      <c r="B112" s="64" t="s">
        <v>114</v>
      </c>
      <c r="C112" s="26">
        <v>1051079</v>
      </c>
      <c r="D112" s="24">
        <f t="shared" si="12"/>
        <v>0.26548466253019948</v>
      </c>
      <c r="E112" s="26">
        <v>1275693</v>
      </c>
      <c r="F112" s="24">
        <f t="shared" si="13"/>
        <v>0.32221833525085908</v>
      </c>
      <c r="G112" s="26">
        <v>1632323</v>
      </c>
      <c r="H112" s="24">
        <f t="shared" si="14"/>
        <v>0.41229700221894144</v>
      </c>
      <c r="I112" s="26">
        <f t="shared" si="15"/>
        <v>3959095</v>
      </c>
    </row>
    <row r="113" spans="1:9" x14ac:dyDescent="0.2">
      <c r="A113" s="56">
        <v>377004</v>
      </c>
      <c r="B113" s="64" t="s">
        <v>115</v>
      </c>
      <c r="C113" s="26">
        <v>1450232</v>
      </c>
      <c r="D113" s="24">
        <f t="shared" si="12"/>
        <v>0.29009333710194307</v>
      </c>
      <c r="E113" s="26">
        <v>1373064</v>
      </c>
      <c r="F113" s="24">
        <f t="shared" si="13"/>
        <v>0.27465723954135779</v>
      </c>
      <c r="G113" s="26">
        <v>2175895</v>
      </c>
      <c r="H113" s="24">
        <f t="shared" si="14"/>
        <v>0.43524942335669914</v>
      </c>
      <c r="I113" s="26">
        <f t="shared" si="15"/>
        <v>4999191</v>
      </c>
    </row>
    <row r="114" spans="1:9" x14ac:dyDescent="0.2">
      <c r="A114" s="57">
        <v>377005</v>
      </c>
      <c r="B114" s="28" t="s">
        <v>116</v>
      </c>
      <c r="C114" s="32">
        <v>1099005</v>
      </c>
      <c r="D114" s="30">
        <f t="shared" si="12"/>
        <v>0.20765316524147459</v>
      </c>
      <c r="E114" s="32">
        <v>1489862</v>
      </c>
      <c r="F114" s="30">
        <f t="shared" si="13"/>
        <v>0.2815042334411525</v>
      </c>
      <c r="G114" s="32">
        <v>2703636</v>
      </c>
      <c r="H114" s="30">
        <f t="shared" si="14"/>
        <v>0.51084260131737291</v>
      </c>
      <c r="I114" s="32">
        <f t="shared" si="15"/>
        <v>5292503</v>
      </c>
    </row>
    <row r="115" spans="1:9" x14ac:dyDescent="0.2">
      <c r="A115" s="56">
        <v>379001</v>
      </c>
      <c r="B115" s="64" t="s">
        <v>117</v>
      </c>
      <c r="C115" s="26">
        <v>532717</v>
      </c>
      <c r="D115" s="24">
        <f t="shared" si="12"/>
        <v>0.2582755096499938</v>
      </c>
      <c r="E115" s="26">
        <v>742724</v>
      </c>
      <c r="F115" s="24">
        <f t="shared" si="13"/>
        <v>0.36009254375077571</v>
      </c>
      <c r="G115" s="26">
        <v>787151</v>
      </c>
      <c r="H115" s="24">
        <f t="shared" si="14"/>
        <v>0.3816319465992305</v>
      </c>
      <c r="I115" s="26">
        <f t="shared" si="15"/>
        <v>2062592</v>
      </c>
    </row>
    <row r="116" spans="1:9" x14ac:dyDescent="0.2">
      <c r="A116" s="56">
        <v>380001</v>
      </c>
      <c r="B116" s="64" t="s">
        <v>118</v>
      </c>
      <c r="C116" s="26">
        <v>1228966</v>
      </c>
      <c r="D116" s="24">
        <f t="shared" si="12"/>
        <v>0.30010031295297113</v>
      </c>
      <c r="E116" s="26">
        <v>1374777</v>
      </c>
      <c r="F116" s="24">
        <f t="shared" si="13"/>
        <v>0.33570579490445362</v>
      </c>
      <c r="G116" s="26">
        <v>1491441</v>
      </c>
      <c r="H116" s="24">
        <f t="shared" si="14"/>
        <v>0.3641938921425753</v>
      </c>
      <c r="I116" s="26">
        <f t="shared" si="15"/>
        <v>4095184</v>
      </c>
    </row>
    <row r="117" spans="1:9" x14ac:dyDescent="0.2">
      <c r="A117" s="56">
        <v>381001</v>
      </c>
      <c r="B117" s="69" t="s">
        <v>119</v>
      </c>
      <c r="C117" s="26">
        <v>843366</v>
      </c>
      <c r="D117" s="24">
        <f t="shared" si="12"/>
        <v>0.32341857319643924</v>
      </c>
      <c r="E117" s="26">
        <v>754377</v>
      </c>
      <c r="F117" s="24">
        <f t="shared" si="13"/>
        <v>0.28929258826204785</v>
      </c>
      <c r="G117" s="26">
        <v>1009918</v>
      </c>
      <c r="H117" s="24">
        <f t="shared" si="14"/>
        <v>0.38728883854151286</v>
      </c>
      <c r="I117" s="26">
        <f t="shared" si="15"/>
        <v>2607661</v>
      </c>
    </row>
    <row r="118" spans="1:9" x14ac:dyDescent="0.2">
      <c r="A118" s="64">
        <v>382001</v>
      </c>
      <c r="B118" s="64" t="s">
        <v>120</v>
      </c>
      <c r="C118" s="26">
        <v>670349</v>
      </c>
      <c r="D118" s="24">
        <f t="shared" si="12"/>
        <v>0.16291829672293981</v>
      </c>
      <c r="E118" s="26">
        <v>1037915</v>
      </c>
      <c r="F118" s="24">
        <f t="shared" si="13"/>
        <v>0.25224971461610307</v>
      </c>
      <c r="G118" s="26">
        <v>2406369</v>
      </c>
      <c r="H118" s="24">
        <f t="shared" si="14"/>
        <v>0.58483198866095709</v>
      </c>
      <c r="I118" s="26">
        <f t="shared" si="15"/>
        <v>4114633</v>
      </c>
    </row>
    <row r="119" spans="1:9" x14ac:dyDescent="0.2">
      <c r="A119" s="57">
        <v>383001</v>
      </c>
      <c r="B119" s="70" t="s">
        <v>121</v>
      </c>
      <c r="C119" s="32">
        <v>548822</v>
      </c>
      <c r="D119" s="30">
        <f t="shared" si="12"/>
        <v>0.19782188381746327</v>
      </c>
      <c r="E119" s="32">
        <v>969784</v>
      </c>
      <c r="F119" s="30">
        <f t="shared" si="13"/>
        <v>0.34955686502369587</v>
      </c>
      <c r="G119" s="32">
        <v>1255718</v>
      </c>
      <c r="H119" s="30">
        <f t="shared" si="14"/>
        <v>0.45262125115884083</v>
      </c>
      <c r="I119" s="32">
        <f t="shared" si="15"/>
        <v>2774324</v>
      </c>
    </row>
    <row r="120" spans="1:9" x14ac:dyDescent="0.2">
      <c r="A120" s="56">
        <v>384001</v>
      </c>
      <c r="B120" s="64" t="s">
        <v>122</v>
      </c>
      <c r="C120" s="26">
        <v>976783</v>
      </c>
      <c r="D120" s="24">
        <f t="shared" si="12"/>
        <v>0.18914796922845145</v>
      </c>
      <c r="E120" s="26">
        <v>1862769</v>
      </c>
      <c r="F120" s="24">
        <f t="shared" si="13"/>
        <v>0.36071366259620952</v>
      </c>
      <c r="G120" s="26">
        <v>2324569</v>
      </c>
      <c r="H120" s="24">
        <f t="shared" si="14"/>
        <v>0.45013836817533903</v>
      </c>
      <c r="I120" s="26">
        <f t="shared" si="15"/>
        <v>5164121</v>
      </c>
    </row>
    <row r="121" spans="1:9" x14ac:dyDescent="0.2">
      <c r="A121" s="56">
        <v>385001</v>
      </c>
      <c r="B121" s="64" t="s">
        <v>123</v>
      </c>
      <c r="C121" s="26">
        <v>1117217</v>
      </c>
      <c r="D121" s="24">
        <f t="shared" si="12"/>
        <v>0.18077184455022927</v>
      </c>
      <c r="E121" s="26">
        <v>2220078</v>
      </c>
      <c r="F121" s="24">
        <f t="shared" si="13"/>
        <v>0.35922080948050727</v>
      </c>
      <c r="G121" s="26">
        <v>2842965</v>
      </c>
      <c r="H121" s="24">
        <f t="shared" si="14"/>
        <v>0.4600073459692634</v>
      </c>
      <c r="I121" s="26">
        <f t="shared" si="15"/>
        <v>6180260</v>
      </c>
    </row>
    <row r="122" spans="1:9" x14ac:dyDescent="0.2">
      <c r="A122" s="64">
        <v>387001</v>
      </c>
      <c r="B122" s="64" t="s">
        <v>124</v>
      </c>
      <c r="C122" s="26">
        <v>1129356</v>
      </c>
      <c r="D122" s="24">
        <f t="shared" si="12"/>
        <v>0.18661285626614998</v>
      </c>
      <c r="E122" s="26">
        <v>2144463</v>
      </c>
      <c r="F122" s="24">
        <f t="shared" si="13"/>
        <v>0.35434740293324407</v>
      </c>
      <c r="G122" s="26">
        <v>2778047</v>
      </c>
      <c r="H122" s="24">
        <f t="shared" si="14"/>
        <v>0.45903974080060594</v>
      </c>
      <c r="I122" s="26">
        <f t="shared" si="15"/>
        <v>6051866</v>
      </c>
    </row>
    <row r="123" spans="1:9" x14ac:dyDescent="0.2">
      <c r="A123" s="56">
        <v>388001</v>
      </c>
      <c r="B123" s="64" t="s">
        <v>125</v>
      </c>
      <c r="C123" s="26">
        <v>1276145</v>
      </c>
      <c r="D123" s="24">
        <f t="shared" si="12"/>
        <v>0.22746932587784538</v>
      </c>
      <c r="E123" s="26">
        <v>2044264</v>
      </c>
      <c r="F123" s="24">
        <f t="shared" si="13"/>
        <v>0.36438441869564014</v>
      </c>
      <c r="G123" s="26">
        <v>2289776</v>
      </c>
      <c r="H123" s="24">
        <f t="shared" si="14"/>
        <v>0.40814625542651445</v>
      </c>
      <c r="I123" s="26">
        <f t="shared" si="15"/>
        <v>5610185</v>
      </c>
    </row>
    <row r="124" spans="1:9" x14ac:dyDescent="0.2">
      <c r="A124" s="57">
        <v>389001</v>
      </c>
      <c r="B124" s="70" t="s">
        <v>126</v>
      </c>
      <c r="C124" s="32">
        <f>1086174-[2]Hurricane!F12</f>
        <v>1041524</v>
      </c>
      <c r="D124" s="30">
        <f t="shared" si="12"/>
        <v>0.1897625681325753</v>
      </c>
      <c r="E124" s="32">
        <v>1900665</v>
      </c>
      <c r="F124" s="30">
        <f t="shared" si="13"/>
        <v>0.3462954973286273</v>
      </c>
      <c r="G124" s="32">
        <v>2546375</v>
      </c>
      <c r="H124" s="30">
        <f t="shared" si="14"/>
        <v>0.4639419345387974</v>
      </c>
      <c r="I124" s="32">
        <f t="shared" si="15"/>
        <v>5488564</v>
      </c>
    </row>
    <row r="125" spans="1:9" x14ac:dyDescent="0.2">
      <c r="A125" s="56">
        <v>389002</v>
      </c>
      <c r="B125" s="64" t="s">
        <v>127</v>
      </c>
      <c r="C125" s="26">
        <v>652345</v>
      </c>
      <c r="D125" s="24">
        <f t="shared" si="12"/>
        <v>0.14377909050074342</v>
      </c>
      <c r="E125" s="26">
        <v>1623293</v>
      </c>
      <c r="F125" s="24">
        <f t="shared" si="13"/>
        <v>0.35777938231491507</v>
      </c>
      <c r="G125" s="26">
        <v>2261496</v>
      </c>
      <c r="H125" s="24">
        <f t="shared" si="14"/>
        <v>0.49844152718434148</v>
      </c>
      <c r="I125" s="26">
        <f t="shared" si="15"/>
        <v>4537134</v>
      </c>
    </row>
    <row r="126" spans="1:9" x14ac:dyDescent="0.2">
      <c r="A126" s="56">
        <v>390001</v>
      </c>
      <c r="B126" s="69" t="s">
        <v>128</v>
      </c>
      <c r="C126" s="26">
        <v>1572161</v>
      </c>
      <c r="D126" s="24">
        <f t="shared" si="12"/>
        <v>0.24992397334608049</v>
      </c>
      <c r="E126" s="26">
        <v>2239029</v>
      </c>
      <c r="F126" s="24">
        <f t="shared" si="13"/>
        <v>0.35593493549140404</v>
      </c>
      <c r="G126" s="26">
        <v>2479367</v>
      </c>
      <c r="H126" s="24">
        <f t="shared" si="14"/>
        <v>0.3941410911625155</v>
      </c>
      <c r="I126" s="26">
        <f t="shared" si="15"/>
        <v>6290557</v>
      </c>
    </row>
    <row r="127" spans="1:9" x14ac:dyDescent="0.2">
      <c r="A127" s="64">
        <v>391001</v>
      </c>
      <c r="B127" s="64" t="s">
        <v>129</v>
      </c>
      <c r="C127" s="26">
        <v>1956594</v>
      </c>
      <c r="D127" s="24">
        <f t="shared" si="12"/>
        <v>0.2782696427738417</v>
      </c>
      <c r="E127" s="26">
        <v>2241915</v>
      </c>
      <c r="F127" s="24">
        <f t="shared" si="13"/>
        <v>0.31884841013481457</v>
      </c>
      <c r="G127" s="26">
        <v>2832779</v>
      </c>
      <c r="H127" s="24">
        <f t="shared" si="14"/>
        <v>0.40288194709134373</v>
      </c>
      <c r="I127" s="26">
        <f t="shared" si="15"/>
        <v>7031288</v>
      </c>
    </row>
    <row r="128" spans="1:9" x14ac:dyDescent="0.2">
      <c r="A128" s="56">
        <v>392001</v>
      </c>
      <c r="B128" s="64" t="s">
        <v>130</v>
      </c>
      <c r="C128" s="26">
        <v>884142</v>
      </c>
      <c r="D128" s="24">
        <f t="shared" si="12"/>
        <v>0.21448933899617159</v>
      </c>
      <c r="E128" s="26">
        <v>1419993</v>
      </c>
      <c r="F128" s="24">
        <f t="shared" si="13"/>
        <v>0.34448466417067697</v>
      </c>
      <c r="G128" s="26">
        <v>1817944</v>
      </c>
      <c r="H128" s="24">
        <f t="shared" si="14"/>
        <v>0.44102599683315141</v>
      </c>
      <c r="I128" s="26">
        <f t="shared" si="15"/>
        <v>4122079</v>
      </c>
    </row>
    <row r="129" spans="1:9" x14ac:dyDescent="0.2">
      <c r="A129" s="57">
        <v>393001</v>
      </c>
      <c r="B129" s="70" t="s">
        <v>131</v>
      </c>
      <c r="C129" s="32">
        <v>1669309</v>
      </c>
      <c r="D129" s="30">
        <f t="shared" si="12"/>
        <v>0.19947479369413065</v>
      </c>
      <c r="E129" s="32">
        <v>3000243</v>
      </c>
      <c r="F129" s="30">
        <f t="shared" si="13"/>
        <v>0.35851532188304241</v>
      </c>
      <c r="G129" s="32">
        <v>3698969</v>
      </c>
      <c r="H129" s="30">
        <f t="shared" si="14"/>
        <v>0.4420098844228269</v>
      </c>
      <c r="I129" s="32">
        <f t="shared" si="15"/>
        <v>8368521</v>
      </c>
    </row>
    <row r="130" spans="1:9" x14ac:dyDescent="0.2">
      <c r="A130" s="56">
        <v>393002</v>
      </c>
      <c r="B130" s="64" t="s">
        <v>132</v>
      </c>
      <c r="C130" s="26">
        <v>1457831</v>
      </c>
      <c r="D130" s="24">
        <f t="shared" si="12"/>
        <v>0.31844381316234105</v>
      </c>
      <c r="E130" s="26">
        <v>1337954</v>
      </c>
      <c r="F130" s="24">
        <f t="shared" si="13"/>
        <v>0.29225827520186282</v>
      </c>
      <c r="G130" s="26">
        <v>1782200</v>
      </c>
      <c r="H130" s="24">
        <f t="shared" si="14"/>
        <v>0.38929791163579608</v>
      </c>
      <c r="I130" s="26">
        <f t="shared" si="15"/>
        <v>4577985</v>
      </c>
    </row>
    <row r="131" spans="1:9" x14ac:dyDescent="0.2">
      <c r="A131" s="56">
        <v>394003</v>
      </c>
      <c r="B131" s="64" t="s">
        <v>133</v>
      </c>
      <c r="C131" s="26">
        <v>933590</v>
      </c>
      <c r="D131" s="24">
        <f t="shared" si="12"/>
        <v>0.19023704286635032</v>
      </c>
      <c r="E131" s="26">
        <v>1689820</v>
      </c>
      <c r="F131" s="24">
        <f t="shared" si="13"/>
        <v>0.34433355089109363</v>
      </c>
      <c r="G131" s="26">
        <v>2284099</v>
      </c>
      <c r="H131" s="24">
        <f t="shared" si="14"/>
        <v>0.46542940624255608</v>
      </c>
      <c r="I131" s="26">
        <f t="shared" si="15"/>
        <v>4907509</v>
      </c>
    </row>
    <row r="132" spans="1:9" x14ac:dyDescent="0.2">
      <c r="A132" s="56">
        <v>395001</v>
      </c>
      <c r="B132" s="69" t="s">
        <v>134</v>
      </c>
      <c r="C132" s="26">
        <v>1948504</v>
      </c>
      <c r="D132" s="24">
        <f t="shared" si="12"/>
        <v>0.28972055443047762</v>
      </c>
      <c r="E132" s="26">
        <v>2200979</v>
      </c>
      <c r="F132" s="24">
        <f t="shared" si="13"/>
        <v>0.32726073755549806</v>
      </c>
      <c r="G132" s="26">
        <v>2575977</v>
      </c>
      <c r="H132" s="24">
        <f t="shared" si="14"/>
        <v>0.38301870801402432</v>
      </c>
      <c r="I132" s="26">
        <f t="shared" si="15"/>
        <v>6725460</v>
      </c>
    </row>
    <row r="133" spans="1:9" x14ac:dyDescent="0.2">
      <c r="A133" s="64">
        <v>395002</v>
      </c>
      <c r="B133" s="64" t="s">
        <v>135</v>
      </c>
      <c r="C133" s="26">
        <v>1784568</v>
      </c>
      <c r="D133" s="24">
        <f t="shared" si="12"/>
        <v>0.28018547901648516</v>
      </c>
      <c r="E133" s="26">
        <v>2094084</v>
      </c>
      <c r="F133" s="24">
        <f t="shared" si="13"/>
        <v>0.32878093109411205</v>
      </c>
      <c r="G133" s="26">
        <v>2490586</v>
      </c>
      <c r="H133" s="24">
        <f t="shared" si="14"/>
        <v>0.39103358988940279</v>
      </c>
      <c r="I133" s="26">
        <f t="shared" si="15"/>
        <v>6369238</v>
      </c>
    </row>
    <row r="134" spans="1:9" x14ac:dyDescent="0.2">
      <c r="A134" s="57">
        <v>395003</v>
      </c>
      <c r="B134" s="70" t="s">
        <v>136</v>
      </c>
      <c r="C134" s="32">
        <v>1459192</v>
      </c>
      <c r="D134" s="30">
        <f t="shared" si="12"/>
        <v>0.29005012495957422</v>
      </c>
      <c r="E134" s="32">
        <v>1618352</v>
      </c>
      <c r="F134" s="30">
        <f t="shared" si="13"/>
        <v>0.32168707053532153</v>
      </c>
      <c r="G134" s="32">
        <v>1953283</v>
      </c>
      <c r="H134" s="30">
        <f t="shared" si="14"/>
        <v>0.38826280450510425</v>
      </c>
      <c r="I134" s="32">
        <f t="shared" si="15"/>
        <v>5030827</v>
      </c>
    </row>
    <row r="135" spans="1:9" x14ac:dyDescent="0.2">
      <c r="A135" s="56">
        <v>395004</v>
      </c>
      <c r="B135" s="64" t="s">
        <v>137</v>
      </c>
      <c r="C135" s="20">
        <v>1735529</v>
      </c>
      <c r="D135" s="55">
        <f t="shared" si="12"/>
        <v>0.28678968479935962</v>
      </c>
      <c r="E135" s="20">
        <v>2103689</v>
      </c>
      <c r="F135" s="55">
        <f t="shared" si="13"/>
        <v>0.34762674966876383</v>
      </c>
      <c r="G135" s="20">
        <v>2212356</v>
      </c>
      <c r="H135" s="55">
        <f t="shared" si="14"/>
        <v>0.36558356553187649</v>
      </c>
      <c r="I135" s="26">
        <f t="shared" si="15"/>
        <v>6051574</v>
      </c>
    </row>
    <row r="136" spans="1:9" x14ac:dyDescent="0.2">
      <c r="A136" s="56">
        <v>395005</v>
      </c>
      <c r="B136" s="64" t="s">
        <v>138</v>
      </c>
      <c r="C136" s="26">
        <v>2190182</v>
      </c>
      <c r="D136" s="24">
        <f t="shared" si="12"/>
        <v>0.22791872240422409</v>
      </c>
      <c r="E136" s="26">
        <v>3695922</v>
      </c>
      <c r="F136" s="24">
        <f t="shared" si="13"/>
        <v>0.38461179041087207</v>
      </c>
      <c r="G136" s="26">
        <v>3723383</v>
      </c>
      <c r="H136" s="24">
        <f t="shared" si="14"/>
        <v>0.38746948718490382</v>
      </c>
      <c r="I136" s="26">
        <f t="shared" si="15"/>
        <v>9609487</v>
      </c>
    </row>
    <row r="137" spans="1:9" x14ac:dyDescent="0.2">
      <c r="A137" s="56">
        <v>395006</v>
      </c>
      <c r="B137" s="69" t="s">
        <v>139</v>
      </c>
      <c r="C137" s="26">
        <v>1917829</v>
      </c>
      <c r="D137" s="24">
        <f t="shared" si="12"/>
        <v>0.34653168192710476</v>
      </c>
      <c r="E137" s="26">
        <v>1730461</v>
      </c>
      <c r="F137" s="24">
        <f t="shared" si="13"/>
        <v>0.31267624008149825</v>
      </c>
      <c r="G137" s="26">
        <v>1886064</v>
      </c>
      <c r="H137" s="24">
        <f t="shared" si="14"/>
        <v>0.34079207799139699</v>
      </c>
      <c r="I137" s="26">
        <f t="shared" si="15"/>
        <v>5534354</v>
      </c>
    </row>
    <row r="138" spans="1:9" x14ac:dyDescent="0.2">
      <c r="A138" s="64">
        <v>395007</v>
      </c>
      <c r="B138" s="64" t="s">
        <v>140</v>
      </c>
      <c r="C138" s="26">
        <v>1194904</v>
      </c>
      <c r="D138" s="24">
        <f t="shared" si="12"/>
        <v>0.30097799258501928</v>
      </c>
      <c r="E138" s="26">
        <v>1322768</v>
      </c>
      <c r="F138" s="24">
        <f t="shared" si="13"/>
        <v>0.33318497326622121</v>
      </c>
      <c r="G138" s="26">
        <v>1452399</v>
      </c>
      <c r="H138" s="24">
        <f t="shared" si="14"/>
        <v>0.36583703414875957</v>
      </c>
      <c r="I138" s="26">
        <f t="shared" si="15"/>
        <v>3970071</v>
      </c>
    </row>
    <row r="139" spans="1:9" x14ac:dyDescent="0.2">
      <c r="A139" s="57">
        <v>397001</v>
      </c>
      <c r="B139" s="70" t="s">
        <v>141</v>
      </c>
      <c r="C139" s="32">
        <v>1477224</v>
      </c>
      <c r="D139" s="30">
        <f t="shared" si="12"/>
        <v>0.32110905596732098</v>
      </c>
      <c r="E139" s="32">
        <v>1413814</v>
      </c>
      <c r="F139" s="30">
        <f t="shared" si="13"/>
        <v>0.30732541500367033</v>
      </c>
      <c r="G139" s="32">
        <v>1709343</v>
      </c>
      <c r="H139" s="30">
        <f t="shared" si="14"/>
        <v>0.37156552902900869</v>
      </c>
      <c r="I139" s="32">
        <f t="shared" si="15"/>
        <v>4600381</v>
      </c>
    </row>
    <row r="140" spans="1:9" x14ac:dyDescent="0.2">
      <c r="A140" s="56">
        <v>398001</v>
      </c>
      <c r="B140" s="64" t="s">
        <v>142</v>
      </c>
      <c r="C140" s="20">
        <v>767813</v>
      </c>
      <c r="D140" s="55">
        <f t="shared" si="12"/>
        <v>0.19999760361187785</v>
      </c>
      <c r="E140" s="20">
        <v>1280918</v>
      </c>
      <c r="F140" s="55">
        <f t="shared" si="13"/>
        <v>0.33364963920032531</v>
      </c>
      <c r="G140" s="20">
        <v>1790380</v>
      </c>
      <c r="H140" s="55">
        <f t="shared" si="14"/>
        <v>0.46635275718779684</v>
      </c>
      <c r="I140" s="26">
        <f t="shared" si="15"/>
        <v>3839111</v>
      </c>
    </row>
    <row r="141" spans="1:9" x14ac:dyDescent="0.2">
      <c r="A141" s="56">
        <v>398002</v>
      </c>
      <c r="B141" s="64" t="s">
        <v>143</v>
      </c>
      <c r="C141" s="26">
        <v>1340069</v>
      </c>
      <c r="D141" s="24">
        <f t="shared" si="12"/>
        <v>0.24971628845293073</v>
      </c>
      <c r="E141" s="26">
        <v>1701001</v>
      </c>
      <c r="F141" s="24">
        <f t="shared" si="13"/>
        <v>0.31697446651980132</v>
      </c>
      <c r="G141" s="26">
        <v>2325296</v>
      </c>
      <c r="H141" s="24">
        <f t="shared" si="14"/>
        <v>0.43330924502726798</v>
      </c>
      <c r="I141" s="26">
        <f t="shared" si="15"/>
        <v>5366366</v>
      </c>
    </row>
    <row r="142" spans="1:9" x14ac:dyDescent="0.2">
      <c r="A142" s="56">
        <v>398003</v>
      </c>
      <c r="B142" s="69" t="s">
        <v>144</v>
      </c>
      <c r="C142" s="26">
        <v>848921</v>
      </c>
      <c r="D142" s="24">
        <f t="shared" si="12"/>
        <v>0.22071968071968073</v>
      </c>
      <c r="E142" s="26">
        <v>1324214</v>
      </c>
      <c r="F142" s="24">
        <f t="shared" si="13"/>
        <v>0.34429598429598429</v>
      </c>
      <c r="G142" s="26">
        <v>1673015</v>
      </c>
      <c r="H142" s="24">
        <f t="shared" si="14"/>
        <v>0.43498433498433497</v>
      </c>
      <c r="I142" s="26">
        <f t="shared" si="15"/>
        <v>3846150</v>
      </c>
    </row>
    <row r="143" spans="1:9" x14ac:dyDescent="0.2">
      <c r="A143" s="64">
        <v>398004</v>
      </c>
      <c r="B143" s="64" t="s">
        <v>145</v>
      </c>
      <c r="C143" s="26">
        <v>878178</v>
      </c>
      <c r="D143" s="24">
        <f t="shared" si="12"/>
        <v>0.27389849158681401</v>
      </c>
      <c r="E143" s="26">
        <v>1007774</v>
      </c>
      <c r="F143" s="24">
        <f t="shared" si="13"/>
        <v>0.31431871267602912</v>
      </c>
      <c r="G143" s="26">
        <v>1320265</v>
      </c>
      <c r="H143" s="24">
        <f t="shared" si="14"/>
        <v>0.41178279573715693</v>
      </c>
      <c r="I143" s="26">
        <f t="shared" si="15"/>
        <v>3206217</v>
      </c>
    </row>
    <row r="144" spans="1:9" x14ac:dyDescent="0.2">
      <c r="A144" s="67">
        <v>398004</v>
      </c>
      <c r="B144" s="68" t="s">
        <v>146</v>
      </c>
      <c r="C144" s="32">
        <v>499291</v>
      </c>
      <c r="D144" s="30">
        <f t="shared" si="12"/>
        <v>0.23714634610881571</v>
      </c>
      <c r="E144" s="32">
        <v>562668</v>
      </c>
      <c r="F144" s="30">
        <f t="shared" si="13"/>
        <v>0.26724827860377037</v>
      </c>
      <c r="G144" s="32">
        <v>1043454</v>
      </c>
      <c r="H144" s="30">
        <f t="shared" si="14"/>
        <v>0.49560537528741394</v>
      </c>
      <c r="I144" s="32">
        <f t="shared" si="15"/>
        <v>2105413</v>
      </c>
    </row>
    <row r="145" spans="1:9" x14ac:dyDescent="0.2">
      <c r="A145" s="65">
        <v>398005</v>
      </c>
      <c r="B145" s="66" t="s">
        <v>147</v>
      </c>
      <c r="C145" s="20">
        <v>438581</v>
      </c>
      <c r="D145" s="18">
        <f>C145/$I145</f>
        <v>0.27160872282014648</v>
      </c>
      <c r="E145" s="20">
        <v>347491</v>
      </c>
      <c r="F145" s="18">
        <f>E145/$I145</f>
        <v>0.21519761845929378</v>
      </c>
      <c r="G145" s="20">
        <v>828681</v>
      </c>
      <c r="H145" s="18">
        <f>G145/$I145</f>
        <v>0.51319365872055978</v>
      </c>
      <c r="I145" s="20">
        <f>C145+E145+G145</f>
        <v>1614753</v>
      </c>
    </row>
    <row r="146" spans="1:9" x14ac:dyDescent="0.2">
      <c r="A146" s="56">
        <v>399001</v>
      </c>
      <c r="B146" s="64" t="s">
        <v>148</v>
      </c>
      <c r="C146" s="26">
        <v>1263486</v>
      </c>
      <c r="D146" s="24">
        <f t="shared" si="12"/>
        <v>0.22974958200023457</v>
      </c>
      <c r="E146" s="26">
        <v>1995257</v>
      </c>
      <c r="F146" s="24">
        <f t="shared" si="13"/>
        <v>0.36281324979702351</v>
      </c>
      <c r="G146" s="26">
        <v>2240662</v>
      </c>
      <c r="H146" s="24">
        <f t="shared" si="14"/>
        <v>0.40743716820274195</v>
      </c>
      <c r="I146" s="26">
        <f t="shared" si="15"/>
        <v>5499405</v>
      </c>
    </row>
    <row r="147" spans="1:9" x14ac:dyDescent="0.2">
      <c r="A147" s="56">
        <v>399002</v>
      </c>
      <c r="B147" s="64" t="s">
        <v>149</v>
      </c>
      <c r="C147" s="26">
        <v>933297</v>
      </c>
      <c r="D147" s="24">
        <f t="shared" si="12"/>
        <v>0.23883623197974455</v>
      </c>
      <c r="E147" s="26">
        <v>1525576</v>
      </c>
      <c r="F147" s="24">
        <f t="shared" si="13"/>
        <v>0.39040393726619793</v>
      </c>
      <c r="G147" s="26">
        <v>1448813</v>
      </c>
      <c r="H147" s="24">
        <f t="shared" si="14"/>
        <v>0.3707598307540575</v>
      </c>
      <c r="I147" s="26">
        <f t="shared" si="15"/>
        <v>3907686</v>
      </c>
    </row>
    <row r="148" spans="1:9" x14ac:dyDescent="0.2">
      <c r="A148" s="67">
        <v>399004</v>
      </c>
      <c r="B148" s="68" t="s">
        <v>150</v>
      </c>
      <c r="C148" s="32">
        <v>1517833</v>
      </c>
      <c r="D148" s="30">
        <f t="shared" si="12"/>
        <v>0.31146146286849813</v>
      </c>
      <c r="E148" s="32">
        <v>1569884</v>
      </c>
      <c r="F148" s="30">
        <f t="shared" si="13"/>
        <v>0.32214240115602261</v>
      </c>
      <c r="G148" s="32">
        <v>1785544</v>
      </c>
      <c r="H148" s="30">
        <f t="shared" si="14"/>
        <v>0.36639613597547926</v>
      </c>
      <c r="I148" s="32">
        <f t="shared" si="15"/>
        <v>4873261</v>
      </c>
    </row>
    <row r="149" spans="1:9" x14ac:dyDescent="0.2">
      <c r="A149" s="49"/>
      <c r="B149" s="50" t="s">
        <v>151</v>
      </c>
      <c r="C149" s="71">
        <f>SUM(C95:C148)</f>
        <v>62663599</v>
      </c>
      <c r="D149" s="72">
        <f t="shared" si="12"/>
        <v>0.25245080157066785</v>
      </c>
      <c r="E149" s="73">
        <f>SUM(E95:E148)</f>
        <v>81669385</v>
      </c>
      <c r="F149" s="72">
        <f t="shared" si="13"/>
        <v>0.32901879298432057</v>
      </c>
      <c r="G149" s="73">
        <f>SUM(G95:G148)</f>
        <v>103888050</v>
      </c>
      <c r="H149" s="74">
        <f t="shared" si="14"/>
        <v>0.41853040544501158</v>
      </c>
      <c r="I149" s="73">
        <f>SUM(I95:I148)</f>
        <v>248221034</v>
      </c>
    </row>
    <row r="150" spans="1:9" x14ac:dyDescent="0.2">
      <c r="A150" s="40"/>
      <c r="B150" s="41"/>
      <c r="C150" s="41"/>
      <c r="D150" s="41"/>
      <c r="E150" s="41"/>
      <c r="F150" s="41"/>
      <c r="G150" s="41"/>
      <c r="H150" s="41"/>
      <c r="I150" s="42"/>
    </row>
    <row r="151" spans="1:9" x14ac:dyDescent="0.2">
      <c r="A151" s="67" t="s">
        <v>152</v>
      </c>
      <c r="B151" s="68" t="s">
        <v>153</v>
      </c>
      <c r="C151" s="32">
        <v>893405</v>
      </c>
      <c r="D151" s="30">
        <f>C151/$I151</f>
        <v>0.17572464373866936</v>
      </c>
      <c r="E151" s="32">
        <v>2873919</v>
      </c>
      <c r="F151" s="30">
        <f>E151/$I151</f>
        <v>0.56527374752636594</v>
      </c>
      <c r="G151" s="32">
        <v>1316795</v>
      </c>
      <c r="H151" s="30">
        <f>G151/$I151</f>
        <v>0.25900160873496469</v>
      </c>
      <c r="I151" s="32">
        <f>C151+E151+G151</f>
        <v>5084119</v>
      </c>
    </row>
    <row r="152" spans="1:9" x14ac:dyDescent="0.2">
      <c r="A152" s="49"/>
      <c r="B152" s="50" t="s">
        <v>154</v>
      </c>
      <c r="C152" s="71">
        <f>SUM(C151)</f>
        <v>893405</v>
      </c>
      <c r="D152" s="72">
        <f>C152/$I152</f>
        <v>0.17572464373866936</v>
      </c>
      <c r="E152" s="73">
        <f>SUM(E151)</f>
        <v>2873919</v>
      </c>
      <c r="F152" s="72">
        <f>E152/$I152</f>
        <v>0.56527374752636594</v>
      </c>
      <c r="G152" s="73">
        <f>SUM(G151)</f>
        <v>1316795</v>
      </c>
      <c r="H152" s="74">
        <f>G152/$I152</f>
        <v>0.25900160873496469</v>
      </c>
      <c r="I152" s="73">
        <f>SUM(I151)</f>
        <v>5084119</v>
      </c>
    </row>
    <row r="153" spans="1:9" x14ac:dyDescent="0.2">
      <c r="A153" s="40"/>
      <c r="B153" s="41"/>
      <c r="C153" s="41"/>
      <c r="D153" s="41"/>
      <c r="E153" s="41"/>
      <c r="F153" s="41"/>
      <c r="G153" s="41"/>
      <c r="H153" s="41"/>
      <c r="I153" s="42"/>
    </row>
    <row r="154" spans="1:9" ht="13.5" thickBot="1" x14ac:dyDescent="0.25">
      <c r="A154" s="75"/>
      <c r="B154" s="76" t="s">
        <v>155</v>
      </c>
      <c r="C154" s="77">
        <f>C75+C79+C93+C149+C152</f>
        <v>1361904295</v>
      </c>
      <c r="D154" s="78">
        <f>C154/$I154</f>
        <v>0.17052866719675316</v>
      </c>
      <c r="E154" s="77">
        <f>E75+E79+E93+E149+E152</f>
        <v>3393739434</v>
      </c>
      <c r="F154" s="78">
        <f>E154/$I154</f>
        <v>0.4249416531086595</v>
      </c>
      <c r="G154" s="77">
        <f>G75+G79+G93+G149+G152</f>
        <v>3230721950.0834889</v>
      </c>
      <c r="H154" s="78">
        <f>G154/$I154</f>
        <v>0.40452967969458725</v>
      </c>
      <c r="I154" s="77">
        <f>I75+I79+I93+I149+I152</f>
        <v>7986365679.0834894</v>
      </c>
    </row>
    <row r="155" spans="1:9" ht="13.5" thickTop="1" x14ac:dyDescent="0.2">
      <c r="A155" s="79"/>
      <c r="B155" s="80"/>
      <c r="C155" s="81"/>
      <c r="D155" s="82"/>
      <c r="E155" s="81"/>
      <c r="F155" s="82"/>
      <c r="G155" s="81"/>
      <c r="H155" s="82"/>
      <c r="I155" s="81"/>
    </row>
    <row r="156" spans="1:9" ht="82.5" customHeight="1" x14ac:dyDescent="0.2">
      <c r="C156" s="84" t="s">
        <v>156</v>
      </c>
      <c r="D156" s="84"/>
      <c r="E156" s="84"/>
      <c r="F156" s="84"/>
      <c r="G156" s="84"/>
    </row>
    <row r="158" spans="1:9" x14ac:dyDescent="0.2">
      <c r="C158" s="1" t="s">
        <v>157</v>
      </c>
    </row>
  </sheetData>
  <mergeCells count="2">
    <mergeCell ref="A1:I1"/>
    <mergeCell ref="C156:G156"/>
  </mergeCells>
  <printOptions horizontalCentered="1"/>
  <pageMargins left="0.17" right="0.16" top="0.56000000000000005" bottom="0.25" header="0.49" footer="0.48"/>
  <pageSetup paperSize="5" scale="75" fitToHeight="2" orientation="portrait" r:id="rId1"/>
  <headerFooter alignWithMargins="0"/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Revenue</vt:lpstr>
      <vt:lpstr>'Total Revenue'!Print_Area</vt:lpstr>
      <vt:lpstr>'Total Revenue'!Print_Titles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2012-07-03T18:32:40Z</dcterms:created>
  <dcterms:modified xsi:type="dcterms:W3CDTF">2012-07-09T18:44:17Z</dcterms:modified>
</cp:coreProperties>
</file>