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35" yWindow="465" windowWidth="13605" windowHeight="7395" tabRatio="805"/>
  </bookViews>
  <sheets>
    <sheet name="Table 1 State Summary " sheetId="81" r:id="rId1"/>
    <sheet name="Table 2_State with Midyear Adjs" sheetId="33" r:id="rId2"/>
    <sheet name="Table 2A-1_EFT (Annual)" sheetId="100" r:id="rId3"/>
    <sheet name="Table 2A-2 EFT (Monthly)" sheetId="72" r:id="rId4"/>
    <sheet name="Table 3 Levels 1&amp;2" sheetId="1" r:id="rId5"/>
    <sheet name="Table 4 Level 3" sheetId="2" r:id="rId6"/>
    <sheet name="Table 4A Stipends" sheetId="49" r:id="rId7"/>
    <sheet name="Table 5A1 Labs, LSMSA, NOCCA " sheetId="131" r:id="rId8"/>
    <sheet name="Table 5A1 Labs " sheetId="5" state="hidden" r:id="rId9"/>
    <sheet name="Table 5A2 LSMSA" sheetId="83" state="hidden" r:id="rId10"/>
    <sheet name="Table 5A3 NOCCA" sheetId="84" state="hidden" r:id="rId11"/>
    <sheet name="Table 5B1_RSD_Orleans" sheetId="31" r:id="rId12"/>
    <sheet name="Table 5B2_RSD_LA" sheetId="46" r:id="rId13"/>
    <sheet name="Table 5C- Legacy Type 2" sheetId="130" r:id="rId14"/>
    <sheet name="Table 5C1A-Madison Prep" sheetId="113" r:id="rId15"/>
    <sheet name="Table 5C1B-DArbonne" sheetId="114" r:id="rId16"/>
    <sheet name="Table 5C1C-Intl_VIBE" sheetId="115" r:id="rId17"/>
    <sheet name="Table 5C1D-NOMMA" sheetId="116" r:id="rId18"/>
    <sheet name="Table 5C1E-LFNO" sheetId="117" r:id="rId19"/>
    <sheet name="Table 5C1F-Lake Charles Charter" sheetId="118" r:id="rId20"/>
    <sheet name="Table 5C1G-JS Clark Academy" sheetId="119" r:id="rId21"/>
    <sheet name="Table 5C1H-Southwest LA Charter" sheetId="120" r:id="rId22"/>
    <sheet name="Table 5C2 - LA Virtual Admy" sheetId="76" r:id="rId23"/>
    <sheet name="Table 5C3 - LA Connections EBR" sheetId="80" r:id="rId24"/>
    <sheet name="Table 5E_OJJ" sheetId="67" r:id="rId25"/>
    <sheet name="Table 6 (Local Deduct Calc.)" sheetId="25" r:id="rId26"/>
    <sheet name="Table 7 Local Revenue" sheetId="13" r:id="rId27"/>
    <sheet name="Table 8 2.1.12 MFP Funded" sheetId="121" r:id="rId28"/>
    <sheet name="2-1-12 MFP Funded by site" sheetId="108" r:id="rId29"/>
    <sheet name="Sheet1" sheetId="129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1_2004_2005_AFR_4_Ad_Valorem_Taxes" localSheetId="0">#REF!</definedName>
    <definedName name="_1_2004_2005_AFR_4_Ad_Valorem_Taxes" localSheetId="2">#REF!</definedName>
    <definedName name="_1_2004_2005_AFR_4_Ad_Valorem_Taxes" localSheetId="7">#REF!</definedName>
    <definedName name="_1_2004_2005_AFR_4_Ad_Valorem_Taxes" localSheetId="9">#REF!</definedName>
    <definedName name="_1_2004_2005_AFR_4_Ad_Valorem_Taxes" localSheetId="10">#REF!</definedName>
    <definedName name="_1_2004_2005_AFR_4_Ad_Valorem_Taxes" localSheetId="13">#REF!</definedName>
    <definedName name="_1_2004_2005_AFR_4_Ad_Valorem_Taxes" localSheetId="15">#REF!</definedName>
    <definedName name="_1_2004_2005_AFR_4_Ad_Valorem_Taxes" localSheetId="16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19">#REF!</definedName>
    <definedName name="_1_2004_2005_AFR_4_Ad_Valorem_Taxes" localSheetId="20">#REF!</definedName>
    <definedName name="_1_2004_2005_AFR_4_Ad_Valorem_Taxes" localSheetId="21">#REF!</definedName>
    <definedName name="_1_2004_2005_AFR_4_Ad_Valorem_Taxes">#REF!</definedName>
    <definedName name="_2004_2005_AFR_4_Ad_Valorem_Taxes" localSheetId="7">#REF!</definedName>
    <definedName name="_2004_2005_AFR_4_Ad_Valorem_Taxes">#REF!</definedName>
    <definedName name="Import_Elem_Secondary_ByLEA" localSheetId="0">#REF!</definedName>
    <definedName name="Import_Elem_Secondary_ByLEA" localSheetId="2">#REF!</definedName>
    <definedName name="Import_Elem_Secondary_ByLEA" localSheetId="7">#REF!</definedName>
    <definedName name="Import_Elem_Secondary_ByLEA" localSheetId="9">#REF!</definedName>
    <definedName name="Import_Elem_Secondary_ByLEA" localSheetId="10">#REF!</definedName>
    <definedName name="Import_Elem_Secondary_ByLEA" localSheetId="15">#REF!</definedName>
    <definedName name="Import_Elem_Secondary_ByLEA" localSheetId="16">#REF!</definedName>
    <definedName name="Import_Elem_Secondary_ByLEA" localSheetId="17">#REF!</definedName>
    <definedName name="Import_Elem_Secondary_ByLEA" localSheetId="18">#REF!</definedName>
    <definedName name="Import_Elem_Secondary_ByLEA" localSheetId="19">#REF!</definedName>
    <definedName name="Import_Elem_Secondary_ByLEA" localSheetId="20">#REF!</definedName>
    <definedName name="Import_Elem_Secondary_ByLEA" localSheetId="21">#REF!</definedName>
    <definedName name="Import_Elem_Secondary_ByLEA">#REF!</definedName>
    <definedName name="Import_K_12_ByLEA" localSheetId="0">#REF!</definedName>
    <definedName name="Import_K_12_ByLEA" localSheetId="2">#REF!</definedName>
    <definedName name="Import_K_12_ByLEA" localSheetId="7">#REF!</definedName>
    <definedName name="Import_K_12_ByLEA" localSheetId="9">#REF!</definedName>
    <definedName name="Import_K_12_ByLEA" localSheetId="10">#REF!</definedName>
    <definedName name="Import_K_12_ByLEA" localSheetId="15">#REF!</definedName>
    <definedName name="Import_K_12_ByLEA" localSheetId="16">#REF!</definedName>
    <definedName name="Import_K_12_ByLEA" localSheetId="17">#REF!</definedName>
    <definedName name="Import_K_12_ByLEA" localSheetId="18">#REF!</definedName>
    <definedName name="Import_K_12_ByLEA" localSheetId="19">#REF!</definedName>
    <definedName name="Import_K_12_ByLEA" localSheetId="20">#REF!</definedName>
    <definedName name="Import_K_12_ByLEA" localSheetId="21">#REF!</definedName>
    <definedName name="Import_K_12_ByLEA">#REF!</definedName>
    <definedName name="Import_MFP_and_Other_Funded_ByLEA" localSheetId="0">#REF!</definedName>
    <definedName name="Import_MFP_and_Other_Funded_ByLEA" localSheetId="2">#REF!</definedName>
    <definedName name="Import_MFP_and_Other_Funded_ByLEA" localSheetId="7">#REF!</definedName>
    <definedName name="Import_MFP_and_Other_Funded_ByLEA" localSheetId="15">#REF!</definedName>
    <definedName name="Import_MFP_and_Other_Funded_ByLEA" localSheetId="16">#REF!</definedName>
    <definedName name="Import_MFP_and_Other_Funded_ByLEA" localSheetId="17">#REF!</definedName>
    <definedName name="Import_MFP_and_Other_Funded_ByLEA" localSheetId="18">#REF!</definedName>
    <definedName name="Import_MFP_and_Other_Funded_ByLEA" localSheetId="19">#REF!</definedName>
    <definedName name="Import_MFP_and_Other_Funded_ByLEA" localSheetId="20">#REF!</definedName>
    <definedName name="Import_MFP_and_Other_Funded_ByLEA" localSheetId="21">#REF!</definedName>
    <definedName name="Import_MFP_and_Other_Funded_ByLEA">#REF!</definedName>
    <definedName name="Import_Total_Reported_ByLEA" localSheetId="0">#REF!</definedName>
    <definedName name="Import_Total_Reported_ByLEA" localSheetId="2">#REF!</definedName>
    <definedName name="Import_Total_Reported_ByLEA" localSheetId="7">#REF!</definedName>
    <definedName name="Import_Total_Reported_ByLEA" localSheetId="15">#REF!</definedName>
    <definedName name="Import_Total_Reported_ByLEA" localSheetId="16">#REF!</definedName>
    <definedName name="Import_Total_Reported_ByLEA" localSheetId="17">#REF!</definedName>
    <definedName name="Import_Total_Reported_ByLEA" localSheetId="18">#REF!</definedName>
    <definedName name="Import_Total_Reported_ByLEA" localSheetId="19">#REF!</definedName>
    <definedName name="Import_Total_Reported_ByLEA" localSheetId="20">#REF!</definedName>
    <definedName name="Import_Total_Reported_ByLEA" localSheetId="21">#REF!</definedName>
    <definedName name="Import_Total_Reported_ByLEA">#REF!</definedName>
    <definedName name="_xlnm.Print_Area" localSheetId="0">'Table 1 State Summary '!$A$1:$H$99</definedName>
    <definedName name="_xlnm.Print_Area" localSheetId="1">'Table 2_State with Midyear Adjs'!$A$1:$AS$77</definedName>
    <definedName name="_xlnm.Print_Area" localSheetId="2">'Table 2A-1_EFT (Annual)'!$A$1:$R$75</definedName>
    <definedName name="_xlnm.Print_Area" localSheetId="3">'Table 2A-2 EFT (Monthly)'!$A$1:$AF$75</definedName>
    <definedName name="_xlnm.Print_Area" localSheetId="4">'Table 3 Levels 1&amp;2'!$A$4:$BA$78</definedName>
    <definedName name="_xlnm.Print_Area" localSheetId="5">'Table 4 Level 3'!$A$1:$S$75</definedName>
    <definedName name="_xlnm.Print_Area" localSheetId="6">'Table 4A Stipends'!$A$1:$G$78</definedName>
    <definedName name="_xlnm.Print_Area" localSheetId="8">'Table 5A1 Labs '!$A$1:$P$12</definedName>
    <definedName name="_xlnm.Print_Area" localSheetId="7">'Table 5A1 Labs, LSMSA, NOCCA '!$A$1:$P$29</definedName>
    <definedName name="_xlnm.Print_Area" localSheetId="9">'Table 5A2 LSMSA'!$A$1:$AB$110</definedName>
    <definedName name="_xlnm.Print_Area" localSheetId="10">'Table 5A3 NOCCA'!$A$1:$AB$109</definedName>
    <definedName name="_xlnm.Print_Area" localSheetId="11">'Table 5B1_RSD_Orleans'!$A$1:$AB$76</definedName>
    <definedName name="_xlnm.Print_Area" localSheetId="12">'Table 5B2_RSD_LA'!$A$3:$AN$44</definedName>
    <definedName name="_xlnm.Print_Area" localSheetId="13">'Table 5C- Legacy Type 2'!$A$1:$T$23</definedName>
    <definedName name="_xlnm.Print_Area" localSheetId="14">'Table 5C1A-Madison Prep'!$A$2:$AO$76</definedName>
    <definedName name="_xlnm.Print_Area" localSheetId="15">'Table 5C1B-DArbonne'!$A$2:$AO$77</definedName>
    <definedName name="_xlnm.Print_Area" localSheetId="16">'Table 5C1C-Intl_VIBE'!$A$2:$AO$77</definedName>
    <definedName name="_xlnm.Print_Area" localSheetId="17">'Table 5C1D-NOMMA'!$A$2:$AO$76</definedName>
    <definedName name="_xlnm.Print_Area" localSheetId="18">'Table 5C1E-LFNO'!$A$2:$AQ$76</definedName>
    <definedName name="_xlnm.Print_Area" localSheetId="19">'Table 5C1F-Lake Charles Charter'!$A$2:$AO$76</definedName>
    <definedName name="_xlnm.Print_Area" localSheetId="20">'Table 5C1G-JS Clark Academy'!$A$2:$AO$76</definedName>
    <definedName name="_xlnm.Print_Area" localSheetId="21">'Table 5C1H-Southwest LA Charter'!$A$2:$AO$76</definedName>
    <definedName name="_xlnm.Print_Area" localSheetId="22">'Table 5C2 - LA Virtual Admy'!$A$1:$AP$75</definedName>
    <definedName name="_xlnm.Print_Area" localSheetId="23">'Table 5C3 - LA Connections EBR'!$A$1:$AP$74</definedName>
    <definedName name="_xlnm.Print_Area" localSheetId="24">'Table 5E_OJJ'!$A$2:$AK$78</definedName>
    <definedName name="_xlnm.Print_Area" localSheetId="25">'Table 6 (Local Deduct Calc.)'!$A$3:$J$78</definedName>
    <definedName name="_xlnm.Print_Area" localSheetId="26">'Table 7 Local Revenue'!$A$3:$AR$77</definedName>
    <definedName name="_xlnm.Print_Area" localSheetId="27">'Table 8 2.1.12 MFP Funded'!$A$3:$AD$77</definedName>
    <definedName name="_xlnm.Print_Titles" localSheetId="28">'2-1-12 MFP Funded by site'!$8:$10</definedName>
    <definedName name="_xlnm.Print_Titles" localSheetId="0">'Table 1 State Summary '!$1:$8</definedName>
    <definedName name="_xlnm.Print_Titles" localSheetId="1">'Table 2_State with Midyear Adjs'!$A:$B</definedName>
    <definedName name="_xlnm.Print_Titles" localSheetId="2">'Table 2A-1_EFT (Annual)'!$B:$B</definedName>
    <definedName name="_xlnm.Print_Titles" localSheetId="3">'Table 2A-2 EFT (Monthly)'!$A:$B</definedName>
    <definedName name="_xlnm.Print_Titles" localSheetId="4">'Table 3 Levels 1&amp;2'!$A:$B,'Table 3 Levels 1&amp;2'!$2:$7</definedName>
    <definedName name="_xlnm.Print_Titles" localSheetId="5">'Table 4 Level 3'!$A:$B</definedName>
    <definedName name="_xlnm.Print_Titles" localSheetId="8">'Table 5A1 Labs '!$1:$1</definedName>
    <definedName name="_xlnm.Print_Titles" localSheetId="7">'Table 5A1 Labs, LSMSA, NOCCA '!$1:$1</definedName>
    <definedName name="_xlnm.Print_Titles" localSheetId="9">'Table 5A2 LSMSA'!$B:$B,'Table 5A2 LSMSA'!$2:$5</definedName>
    <definedName name="_xlnm.Print_Titles" localSheetId="10">'Table 5A3 NOCCA'!$B:$B,'Table 5A3 NOCCA'!$2:$5</definedName>
    <definedName name="_xlnm.Print_Titles" localSheetId="11">'Table 5B1_RSD_Orleans'!$B:$B,'Table 5B1_RSD_Orleans'!$3:$6</definedName>
    <definedName name="_xlnm.Print_Titles" localSheetId="12">'Table 5B2_RSD_LA'!$A:$B</definedName>
    <definedName name="_xlnm.Print_Titles" localSheetId="14">'Table 5C1A-Madison Prep'!$A:$B,'Table 5C1A-Madison Prep'!$2:$6</definedName>
    <definedName name="_xlnm.Print_Titles" localSheetId="15">'Table 5C1B-DArbonne'!$A:$B,'Table 5C1B-DArbonne'!$2:$6</definedName>
    <definedName name="_xlnm.Print_Titles" localSheetId="16">'Table 5C1C-Intl_VIBE'!$A:$B,'Table 5C1C-Intl_VIBE'!$2:$6</definedName>
    <definedName name="_xlnm.Print_Titles" localSheetId="17">'Table 5C1D-NOMMA'!$A:$B,'Table 5C1D-NOMMA'!$2:$6</definedName>
    <definedName name="_xlnm.Print_Titles" localSheetId="18">'Table 5C1E-LFNO'!$A:$B,'Table 5C1E-LFNO'!$2:$6</definedName>
    <definedName name="_xlnm.Print_Titles" localSheetId="19">'Table 5C1F-Lake Charles Charter'!$A:$B,'Table 5C1F-Lake Charles Charter'!$2:$6</definedName>
    <definedName name="_xlnm.Print_Titles" localSheetId="20">'Table 5C1G-JS Clark Academy'!$A:$B,'Table 5C1G-JS Clark Academy'!$2:$6</definedName>
    <definedName name="_xlnm.Print_Titles" localSheetId="21">'Table 5C1H-Southwest LA Charter'!$A:$B,'Table 5C1H-Southwest LA Charter'!$2:$6</definedName>
    <definedName name="_xlnm.Print_Titles" localSheetId="22">'Table 5C2 - LA Virtual Admy'!$B:$B</definedName>
    <definedName name="_xlnm.Print_Titles" localSheetId="23">'Table 5C3 - LA Connections EBR'!$A:$B</definedName>
    <definedName name="_xlnm.Print_Titles" localSheetId="24">'Table 5E_OJJ'!$B:$B,'Table 5E_OJJ'!$2:$5</definedName>
    <definedName name="_xlnm.Print_Titles" localSheetId="25">'Table 6 (Local Deduct Calc.)'!$A:$B,'Table 6 (Local Deduct Calc.)'!$3:$8</definedName>
    <definedName name="_xlnm.Print_Titles" localSheetId="26">'Table 7 Local Revenue'!$A:$B,'Table 7 Local Revenue'!$1:$6</definedName>
    <definedName name="_xlnm.Print_Titles" localSheetId="27">'Table 8 2.1.12 MFP Funded'!$E:$F,'Table 8 2.1.12 MFP Funded'!$1:$3</definedName>
  </definedNames>
  <calcPr calcId="145621"/>
</workbook>
</file>

<file path=xl/calcChain.xml><?xml version="1.0" encoding="utf-8"?>
<calcChain xmlns="http://schemas.openxmlformats.org/spreadsheetml/2006/main">
  <c r="E80" i="81" l="1"/>
  <c r="E79" i="81"/>
  <c r="AN59" i="33" l="1"/>
  <c r="AP75" i="33" l="1"/>
  <c r="AP74" i="33"/>
  <c r="AP73" i="33"/>
  <c r="AP72" i="33"/>
  <c r="AP71" i="33"/>
  <c r="AP70" i="33"/>
  <c r="AP69" i="33"/>
  <c r="AP68" i="33"/>
  <c r="AP67" i="33"/>
  <c r="AP66" i="33"/>
  <c r="AP65" i="33"/>
  <c r="AP64" i="33"/>
  <c r="AP63" i="33"/>
  <c r="AP62" i="33"/>
  <c r="AP61" i="33"/>
  <c r="AP60" i="33"/>
  <c r="AP58" i="33"/>
  <c r="AP57" i="33"/>
  <c r="AP56" i="33"/>
  <c r="AP55" i="33"/>
  <c r="AP54" i="33"/>
  <c r="AP53" i="33"/>
  <c r="AP52" i="33"/>
  <c r="AP51" i="33"/>
  <c r="AP50" i="33"/>
  <c r="AP49" i="33"/>
  <c r="AP48" i="33"/>
  <c r="AP47" i="33"/>
  <c r="AP46" i="33"/>
  <c r="AP45" i="33"/>
  <c r="AP44" i="33"/>
  <c r="AP43" i="33"/>
  <c r="AP42" i="33"/>
  <c r="AP41" i="33"/>
  <c r="AP40" i="33"/>
  <c r="AP39" i="33"/>
  <c r="AP38" i="33"/>
  <c r="AP37" i="33"/>
  <c r="AP36" i="33"/>
  <c r="AP35" i="33"/>
  <c r="AP34" i="33"/>
  <c r="AP33" i="33"/>
  <c r="AP32" i="33"/>
  <c r="AP31" i="33"/>
  <c r="AP30" i="33"/>
  <c r="AP29" i="33"/>
  <c r="AP28" i="33"/>
  <c r="AP27" i="33"/>
  <c r="AP26" i="33"/>
  <c r="AP25" i="33"/>
  <c r="AP24" i="33"/>
  <c r="AP23" i="33"/>
  <c r="AP22" i="33"/>
  <c r="AP21" i="33"/>
  <c r="AP20" i="33"/>
  <c r="AP19" i="33"/>
  <c r="AP18" i="33"/>
  <c r="AP17" i="33"/>
  <c r="AP16" i="33"/>
  <c r="AP15" i="33"/>
  <c r="AP14" i="33"/>
  <c r="AP13" i="33"/>
  <c r="AP12" i="33"/>
  <c r="AP11" i="33"/>
  <c r="AP10" i="33"/>
  <c r="AP9" i="33"/>
  <c r="AP8" i="33"/>
  <c r="AP7" i="33"/>
  <c r="AN75" i="33"/>
  <c r="AN74" i="33"/>
  <c r="AN73" i="33"/>
  <c r="AN72" i="33"/>
  <c r="AN71" i="33"/>
  <c r="AN70" i="33"/>
  <c r="AN69" i="33"/>
  <c r="AN68" i="33"/>
  <c r="AN67" i="33"/>
  <c r="AN66" i="33"/>
  <c r="AN65" i="33"/>
  <c r="AN64" i="33"/>
  <c r="AN63" i="33"/>
  <c r="AN62" i="33"/>
  <c r="AN61" i="33"/>
  <c r="AN60" i="33"/>
  <c r="AN58" i="33"/>
  <c r="AN57" i="33"/>
  <c r="AN56" i="33"/>
  <c r="AN55" i="33"/>
  <c r="AN54" i="33"/>
  <c r="AN53" i="33"/>
  <c r="AN52" i="33"/>
  <c r="AN51" i="33"/>
  <c r="AN50" i="33"/>
  <c r="AN49" i="33"/>
  <c r="AN48" i="33"/>
  <c r="AN47" i="33"/>
  <c r="AN46" i="33"/>
  <c r="AN45" i="33"/>
  <c r="AN44" i="33"/>
  <c r="AN43" i="33"/>
  <c r="AN42" i="33"/>
  <c r="AN41" i="33"/>
  <c r="AN40" i="33"/>
  <c r="AN39" i="33"/>
  <c r="AN38" i="33"/>
  <c r="AN37" i="33"/>
  <c r="AN36" i="33"/>
  <c r="AN35" i="33"/>
  <c r="AN34" i="33"/>
  <c r="AN33" i="33"/>
  <c r="AN32" i="33"/>
  <c r="AN31" i="33"/>
  <c r="AN30" i="33"/>
  <c r="AN29" i="33"/>
  <c r="AN28" i="33"/>
  <c r="AN27" i="33"/>
  <c r="AN26" i="33"/>
  <c r="AN25" i="33"/>
  <c r="AN24" i="33"/>
  <c r="AN23" i="33"/>
  <c r="AN22" i="33"/>
  <c r="AN21" i="33"/>
  <c r="AN20" i="33"/>
  <c r="AN19" i="33"/>
  <c r="AN18" i="33"/>
  <c r="AN17" i="33"/>
  <c r="AN16" i="33"/>
  <c r="AN15" i="33"/>
  <c r="AN14" i="33"/>
  <c r="AN13" i="33"/>
  <c r="AN12" i="33"/>
  <c r="AN11" i="33"/>
  <c r="AN10" i="33"/>
  <c r="AN9" i="33"/>
  <c r="AN8" i="33"/>
  <c r="AN7" i="33"/>
  <c r="AM75" i="33"/>
  <c r="AL75" i="33"/>
  <c r="AK75" i="33"/>
  <c r="AJ75" i="33"/>
  <c r="AI75" i="33"/>
  <c r="AH75" i="33"/>
  <c r="AG75" i="33"/>
  <c r="AF75" i="33"/>
  <c r="AM74" i="33"/>
  <c r="AL74" i="33"/>
  <c r="AK74" i="33"/>
  <c r="AJ74" i="33"/>
  <c r="AI74" i="33"/>
  <c r="AH74" i="33"/>
  <c r="AG74" i="33"/>
  <c r="AF74" i="33"/>
  <c r="AM73" i="33"/>
  <c r="AL73" i="33"/>
  <c r="AK73" i="33"/>
  <c r="AJ73" i="33"/>
  <c r="AI73" i="33"/>
  <c r="AH73" i="33"/>
  <c r="AG73" i="33"/>
  <c r="AF73" i="33"/>
  <c r="AM72" i="33"/>
  <c r="AL72" i="33"/>
  <c r="AK72" i="33"/>
  <c r="AJ72" i="33"/>
  <c r="AI72" i="33"/>
  <c r="AH72" i="33"/>
  <c r="AG72" i="33"/>
  <c r="AF72" i="33"/>
  <c r="AM71" i="33"/>
  <c r="AL71" i="33"/>
  <c r="AK71" i="33"/>
  <c r="AJ71" i="33"/>
  <c r="AI71" i="33"/>
  <c r="AH71" i="33"/>
  <c r="AG71" i="33"/>
  <c r="AF71" i="33"/>
  <c r="AM70" i="33"/>
  <c r="AL70" i="33"/>
  <c r="AK70" i="33"/>
  <c r="AJ70" i="33"/>
  <c r="AI70" i="33"/>
  <c r="AH70" i="33"/>
  <c r="AG70" i="33"/>
  <c r="AF70" i="33"/>
  <c r="AM69" i="33"/>
  <c r="AL69" i="33"/>
  <c r="AK69" i="33"/>
  <c r="AJ69" i="33"/>
  <c r="AI69" i="33"/>
  <c r="AH69" i="33"/>
  <c r="AG69" i="33"/>
  <c r="AF69" i="33"/>
  <c r="AM68" i="33"/>
  <c r="AL68" i="33"/>
  <c r="AK68" i="33"/>
  <c r="AJ68" i="33"/>
  <c r="AI68" i="33"/>
  <c r="AH68" i="33"/>
  <c r="AG68" i="33"/>
  <c r="AF68" i="33"/>
  <c r="AM67" i="33"/>
  <c r="AL67" i="33"/>
  <c r="AK67" i="33"/>
  <c r="AJ67" i="33"/>
  <c r="AI67" i="33"/>
  <c r="AH67" i="33"/>
  <c r="AG67" i="33"/>
  <c r="AF67" i="33"/>
  <c r="AM66" i="33"/>
  <c r="AL66" i="33"/>
  <c r="AK66" i="33"/>
  <c r="AJ66" i="33"/>
  <c r="AI66" i="33"/>
  <c r="AH66" i="33"/>
  <c r="AG66" i="33"/>
  <c r="AF66" i="33"/>
  <c r="AM65" i="33"/>
  <c r="AL65" i="33"/>
  <c r="AK65" i="33"/>
  <c r="AJ65" i="33"/>
  <c r="AI65" i="33"/>
  <c r="AH65" i="33"/>
  <c r="AG65" i="33"/>
  <c r="AF65" i="33"/>
  <c r="AM64" i="33"/>
  <c r="AL64" i="33"/>
  <c r="AK64" i="33"/>
  <c r="AJ64" i="33"/>
  <c r="AI64" i="33"/>
  <c r="AH64" i="33"/>
  <c r="AG64" i="33"/>
  <c r="AF64" i="33"/>
  <c r="AM63" i="33"/>
  <c r="AL63" i="33"/>
  <c r="AK63" i="33"/>
  <c r="AJ63" i="33"/>
  <c r="AI63" i="33"/>
  <c r="AH63" i="33"/>
  <c r="AG63" i="33"/>
  <c r="AF63" i="33"/>
  <c r="AM62" i="33"/>
  <c r="AL62" i="33"/>
  <c r="AK62" i="33"/>
  <c r="AJ62" i="33"/>
  <c r="AI62" i="33"/>
  <c r="AH62" i="33"/>
  <c r="AG62" i="33"/>
  <c r="AF62" i="33"/>
  <c r="AM61" i="33"/>
  <c r="AL61" i="33"/>
  <c r="AK61" i="33"/>
  <c r="AJ61" i="33"/>
  <c r="AI61" i="33"/>
  <c r="AH61" i="33"/>
  <c r="AG61" i="33"/>
  <c r="AF61" i="33"/>
  <c r="AM60" i="33"/>
  <c r="AL60" i="33"/>
  <c r="AK60" i="33"/>
  <c r="AJ60" i="33"/>
  <c r="AI60" i="33"/>
  <c r="AH60" i="33"/>
  <c r="AG60" i="33"/>
  <c r="AF60" i="33"/>
  <c r="AM59" i="33"/>
  <c r="AL59" i="33"/>
  <c r="AK59" i="33"/>
  <c r="AJ59" i="33"/>
  <c r="AI59" i="33"/>
  <c r="AH59" i="33"/>
  <c r="AG59" i="33"/>
  <c r="AF59" i="33"/>
  <c r="AO59" i="33" s="1"/>
  <c r="AP59" i="33" s="1"/>
  <c r="AM58" i="33"/>
  <c r="AL58" i="33"/>
  <c r="AK58" i="33"/>
  <c r="AJ58" i="33"/>
  <c r="AI58" i="33"/>
  <c r="AH58" i="33"/>
  <c r="AG58" i="33"/>
  <c r="AF58" i="33"/>
  <c r="AM57" i="33"/>
  <c r="AL57" i="33"/>
  <c r="AK57" i="33"/>
  <c r="AJ57" i="33"/>
  <c r="AI57" i="33"/>
  <c r="AH57" i="33"/>
  <c r="AG57" i="33"/>
  <c r="AF57" i="33"/>
  <c r="AM56" i="33"/>
  <c r="AL56" i="33"/>
  <c r="AK56" i="33"/>
  <c r="AJ56" i="33"/>
  <c r="AI56" i="33"/>
  <c r="AH56" i="33"/>
  <c r="AG56" i="33"/>
  <c r="AF56" i="33"/>
  <c r="AM55" i="33"/>
  <c r="AL55" i="33"/>
  <c r="AK55" i="33"/>
  <c r="AJ55" i="33"/>
  <c r="AI55" i="33"/>
  <c r="AH55" i="33"/>
  <c r="AG55" i="33"/>
  <c r="AF55" i="33"/>
  <c r="AM54" i="33"/>
  <c r="AL54" i="33"/>
  <c r="AK54" i="33"/>
  <c r="AJ54" i="33"/>
  <c r="AI54" i="33"/>
  <c r="AH54" i="33"/>
  <c r="AG54" i="33"/>
  <c r="AF54" i="33"/>
  <c r="AM53" i="33"/>
  <c r="AL53" i="33"/>
  <c r="AK53" i="33"/>
  <c r="AJ53" i="33"/>
  <c r="AI53" i="33"/>
  <c r="AH53" i="33"/>
  <c r="AG53" i="33"/>
  <c r="AF53" i="33"/>
  <c r="AM52" i="33"/>
  <c r="AL52" i="33"/>
  <c r="AK52" i="33"/>
  <c r="AJ52" i="33"/>
  <c r="AI52" i="33"/>
  <c r="AH52" i="33"/>
  <c r="AG52" i="33"/>
  <c r="AF52" i="33"/>
  <c r="AM51" i="33"/>
  <c r="AL51" i="33"/>
  <c r="AK51" i="33"/>
  <c r="AJ51" i="33"/>
  <c r="AI51" i="33"/>
  <c r="AH51" i="33"/>
  <c r="AG51" i="33"/>
  <c r="AF51" i="33"/>
  <c r="AM50" i="33"/>
  <c r="AL50" i="33"/>
  <c r="AK50" i="33"/>
  <c r="AJ50" i="33"/>
  <c r="AI50" i="33"/>
  <c r="AH50" i="33"/>
  <c r="AG50" i="33"/>
  <c r="AF50" i="33"/>
  <c r="AM49" i="33"/>
  <c r="AL49" i="33"/>
  <c r="AK49" i="33"/>
  <c r="AJ49" i="33"/>
  <c r="AI49" i="33"/>
  <c r="AH49" i="33"/>
  <c r="AG49" i="33"/>
  <c r="AF49" i="33"/>
  <c r="AM48" i="33"/>
  <c r="AL48" i="33"/>
  <c r="AK48" i="33"/>
  <c r="AJ48" i="33"/>
  <c r="AI48" i="33"/>
  <c r="AH48" i="33"/>
  <c r="AG48" i="33"/>
  <c r="AF48" i="33"/>
  <c r="AM47" i="33"/>
  <c r="AL47" i="33"/>
  <c r="AK47" i="33"/>
  <c r="AJ47" i="33"/>
  <c r="AI47" i="33"/>
  <c r="AH47" i="33"/>
  <c r="AG47" i="33"/>
  <c r="AF47" i="33"/>
  <c r="AM46" i="33"/>
  <c r="AL46" i="33"/>
  <c r="AK46" i="33"/>
  <c r="AJ46" i="33"/>
  <c r="AI46" i="33"/>
  <c r="AH46" i="33"/>
  <c r="AG46" i="33"/>
  <c r="AF46" i="33"/>
  <c r="AM45" i="33"/>
  <c r="AL45" i="33"/>
  <c r="AK45" i="33"/>
  <c r="AJ45" i="33"/>
  <c r="AI45" i="33"/>
  <c r="AH45" i="33"/>
  <c r="AG45" i="33"/>
  <c r="AF45" i="33"/>
  <c r="AM44" i="33"/>
  <c r="AL44" i="33"/>
  <c r="AK44" i="33"/>
  <c r="AJ44" i="33"/>
  <c r="AI44" i="33"/>
  <c r="AH44" i="33"/>
  <c r="AG44" i="33"/>
  <c r="AF44" i="33"/>
  <c r="AM43" i="33"/>
  <c r="AL43" i="33"/>
  <c r="AK43" i="33"/>
  <c r="AJ43" i="33"/>
  <c r="AI43" i="33"/>
  <c r="AH43" i="33"/>
  <c r="AG43" i="33"/>
  <c r="AF43" i="33"/>
  <c r="AM42" i="33"/>
  <c r="AL42" i="33"/>
  <c r="AK42" i="33"/>
  <c r="AJ42" i="33"/>
  <c r="AI42" i="33"/>
  <c r="AH42" i="33"/>
  <c r="AG42" i="33"/>
  <c r="AF42" i="33"/>
  <c r="AM41" i="33"/>
  <c r="AL41" i="33"/>
  <c r="AK41" i="33"/>
  <c r="AJ41" i="33"/>
  <c r="AI41" i="33"/>
  <c r="AH41" i="33"/>
  <c r="AG41" i="33"/>
  <c r="AF41" i="33"/>
  <c r="AM40" i="33"/>
  <c r="AL40" i="33"/>
  <c r="AK40" i="33"/>
  <c r="AJ40" i="33"/>
  <c r="AI40" i="33"/>
  <c r="AH40" i="33"/>
  <c r="AG40" i="33"/>
  <c r="AF40" i="33"/>
  <c r="AM39" i="33"/>
  <c r="AL39" i="33"/>
  <c r="AK39" i="33"/>
  <c r="AJ39" i="33"/>
  <c r="AI39" i="33"/>
  <c r="AH39" i="33"/>
  <c r="AG39" i="33"/>
  <c r="AF39" i="33"/>
  <c r="AM38" i="33"/>
  <c r="AL38" i="33"/>
  <c r="AK38" i="33"/>
  <c r="AJ38" i="33"/>
  <c r="AI38" i="33"/>
  <c r="AH38" i="33"/>
  <c r="AG38" i="33"/>
  <c r="AF38" i="33"/>
  <c r="AM37" i="33"/>
  <c r="AL37" i="33"/>
  <c r="AK37" i="33"/>
  <c r="AJ37" i="33"/>
  <c r="AI37" i="33"/>
  <c r="AH37" i="33"/>
  <c r="AG37" i="33"/>
  <c r="AF37" i="33"/>
  <c r="AM36" i="33"/>
  <c r="AL36" i="33"/>
  <c r="AK36" i="33"/>
  <c r="AJ36" i="33"/>
  <c r="AI36" i="33"/>
  <c r="AH36" i="33"/>
  <c r="AG36" i="33"/>
  <c r="AF36" i="33"/>
  <c r="AM35" i="33"/>
  <c r="AL35" i="33"/>
  <c r="AK35" i="33"/>
  <c r="AJ35" i="33"/>
  <c r="AI35" i="33"/>
  <c r="AH35" i="33"/>
  <c r="AG35" i="33"/>
  <c r="AF35" i="33"/>
  <c r="AM34" i="33"/>
  <c r="AL34" i="33"/>
  <c r="AK34" i="33"/>
  <c r="AJ34" i="33"/>
  <c r="AI34" i="33"/>
  <c r="AH34" i="33"/>
  <c r="AG34" i="33"/>
  <c r="AF34" i="33"/>
  <c r="AM33" i="33"/>
  <c r="AL33" i="33"/>
  <c r="AK33" i="33"/>
  <c r="AJ33" i="33"/>
  <c r="AI33" i="33"/>
  <c r="AH33" i="33"/>
  <c r="AG33" i="33"/>
  <c r="AF33" i="33"/>
  <c r="AM32" i="33"/>
  <c r="AL32" i="33"/>
  <c r="AK32" i="33"/>
  <c r="AJ32" i="33"/>
  <c r="AI32" i="33"/>
  <c r="AH32" i="33"/>
  <c r="AG32" i="33"/>
  <c r="AF32" i="33"/>
  <c r="AM31" i="33"/>
  <c r="AL31" i="33"/>
  <c r="AK31" i="33"/>
  <c r="AJ31" i="33"/>
  <c r="AI31" i="33"/>
  <c r="AH31" i="33"/>
  <c r="AG31" i="33"/>
  <c r="AF31" i="33"/>
  <c r="AM30" i="33"/>
  <c r="AL30" i="33"/>
  <c r="AK30" i="33"/>
  <c r="AJ30" i="33"/>
  <c r="AI30" i="33"/>
  <c r="AH30" i="33"/>
  <c r="AG30" i="33"/>
  <c r="AF30" i="33"/>
  <c r="AM29" i="33"/>
  <c r="AL29" i="33"/>
  <c r="AK29" i="33"/>
  <c r="AJ29" i="33"/>
  <c r="AI29" i="33"/>
  <c r="AH29" i="33"/>
  <c r="AG29" i="33"/>
  <c r="AF29" i="33"/>
  <c r="AM28" i="33"/>
  <c r="AL28" i="33"/>
  <c r="AK28" i="33"/>
  <c r="AJ28" i="33"/>
  <c r="AI28" i="33"/>
  <c r="AH28" i="33"/>
  <c r="AG28" i="33"/>
  <c r="AF28" i="33"/>
  <c r="AM27" i="33"/>
  <c r="AL27" i="33"/>
  <c r="AK27" i="33"/>
  <c r="AJ27" i="33"/>
  <c r="AI27" i="33"/>
  <c r="AH27" i="33"/>
  <c r="AG27" i="33"/>
  <c r="AF27" i="33"/>
  <c r="AO27" i="33" s="1"/>
  <c r="AM26" i="33"/>
  <c r="AL26" i="33"/>
  <c r="AK26" i="33"/>
  <c r="AJ26" i="33"/>
  <c r="AI26" i="33"/>
  <c r="AH26" i="33"/>
  <c r="AG26" i="33"/>
  <c r="AF26" i="33"/>
  <c r="AM25" i="33"/>
  <c r="AL25" i="33"/>
  <c r="AK25" i="33"/>
  <c r="AJ25" i="33"/>
  <c r="AI25" i="33"/>
  <c r="AH25" i="33"/>
  <c r="AG25" i="33"/>
  <c r="AF25" i="33"/>
  <c r="AM24" i="33"/>
  <c r="AL24" i="33"/>
  <c r="AK24" i="33"/>
  <c r="AJ24" i="33"/>
  <c r="AI24" i="33"/>
  <c r="AH24" i="33"/>
  <c r="AG24" i="33"/>
  <c r="AF24" i="33"/>
  <c r="AM23" i="33"/>
  <c r="AL23" i="33"/>
  <c r="AK23" i="33"/>
  <c r="AJ23" i="33"/>
  <c r="AI23" i="33"/>
  <c r="AH23" i="33"/>
  <c r="AG23" i="33"/>
  <c r="AF23" i="33"/>
  <c r="AM22" i="33"/>
  <c r="AL22" i="33"/>
  <c r="AK22" i="33"/>
  <c r="AJ22" i="33"/>
  <c r="AI22" i="33"/>
  <c r="AH22" i="33"/>
  <c r="AG22" i="33"/>
  <c r="AF22" i="33"/>
  <c r="AM21" i="33"/>
  <c r="AL21" i="33"/>
  <c r="AK21" i="33"/>
  <c r="AJ21" i="33"/>
  <c r="AI21" i="33"/>
  <c r="AH21" i="33"/>
  <c r="AG21" i="33"/>
  <c r="AF21" i="33"/>
  <c r="AM20" i="33"/>
  <c r="AL20" i="33"/>
  <c r="AK20" i="33"/>
  <c r="AJ20" i="33"/>
  <c r="AI20" i="33"/>
  <c r="AH20" i="33"/>
  <c r="AG20" i="33"/>
  <c r="AF20" i="33"/>
  <c r="AM19" i="33"/>
  <c r="AL19" i="33"/>
  <c r="AK19" i="33"/>
  <c r="AJ19" i="33"/>
  <c r="AI19" i="33"/>
  <c r="AH19" i="33"/>
  <c r="AG19" i="33"/>
  <c r="AF19" i="33"/>
  <c r="AM18" i="33"/>
  <c r="AL18" i="33"/>
  <c r="AK18" i="33"/>
  <c r="AJ18" i="33"/>
  <c r="AI18" i="33"/>
  <c r="AH18" i="33"/>
  <c r="AG18" i="33"/>
  <c r="AF18" i="33"/>
  <c r="AM17" i="33"/>
  <c r="AL17" i="33"/>
  <c r="AK17" i="33"/>
  <c r="AJ17" i="33"/>
  <c r="AI17" i="33"/>
  <c r="AH17" i="33"/>
  <c r="AG17" i="33"/>
  <c r="AF17" i="33"/>
  <c r="AM16" i="33"/>
  <c r="AL16" i="33"/>
  <c r="AK16" i="33"/>
  <c r="AJ16" i="33"/>
  <c r="AI16" i="33"/>
  <c r="AH16" i="33"/>
  <c r="AG16" i="33"/>
  <c r="AF16" i="33"/>
  <c r="AM15" i="33"/>
  <c r="AL15" i="33"/>
  <c r="AK15" i="33"/>
  <c r="AJ15" i="33"/>
  <c r="AI15" i="33"/>
  <c r="AH15" i="33"/>
  <c r="AG15" i="33"/>
  <c r="AF15" i="33"/>
  <c r="AM14" i="33"/>
  <c r="AL14" i="33"/>
  <c r="AK14" i="33"/>
  <c r="AJ14" i="33"/>
  <c r="AI14" i="33"/>
  <c r="AH14" i="33"/>
  <c r="AG14" i="33"/>
  <c r="AF14" i="33"/>
  <c r="AM13" i="33"/>
  <c r="AL13" i="33"/>
  <c r="AK13" i="33"/>
  <c r="AJ13" i="33"/>
  <c r="AI13" i="33"/>
  <c r="AH13" i="33"/>
  <c r="AG13" i="33"/>
  <c r="AF13" i="33"/>
  <c r="AM12" i="33"/>
  <c r="AL12" i="33"/>
  <c r="AK12" i="33"/>
  <c r="AJ12" i="33"/>
  <c r="AI12" i="33"/>
  <c r="AH12" i="33"/>
  <c r="AG12" i="33"/>
  <c r="AF12" i="33"/>
  <c r="AM11" i="33"/>
  <c r="AL11" i="33"/>
  <c r="AK11" i="33"/>
  <c r="AJ11" i="33"/>
  <c r="AI11" i="33"/>
  <c r="AH11" i="33"/>
  <c r="AG11" i="33"/>
  <c r="AF11" i="33"/>
  <c r="AO11" i="33" s="1"/>
  <c r="AM10" i="33"/>
  <c r="AL10" i="33"/>
  <c r="AK10" i="33"/>
  <c r="AJ10" i="33"/>
  <c r="AI10" i="33"/>
  <c r="AH10" i="33"/>
  <c r="AG10" i="33"/>
  <c r="AF10" i="33"/>
  <c r="AM9" i="33"/>
  <c r="AL9" i="33"/>
  <c r="AK9" i="33"/>
  <c r="AJ9" i="33"/>
  <c r="AI9" i="33"/>
  <c r="AH9" i="33"/>
  <c r="AG9" i="33"/>
  <c r="AF9" i="33"/>
  <c r="AM8" i="33"/>
  <c r="AL8" i="33"/>
  <c r="AK8" i="33"/>
  <c r="AJ8" i="33"/>
  <c r="AI8" i="33"/>
  <c r="AH8" i="33"/>
  <c r="AG8" i="33"/>
  <c r="AF8" i="33"/>
  <c r="AG7" i="33"/>
  <c r="AH7" i="33"/>
  <c r="AI7" i="33"/>
  <c r="AJ7" i="33"/>
  <c r="AJ76" i="33" s="1"/>
  <c r="AK7" i="33"/>
  <c r="AL7" i="33"/>
  <c r="AM7" i="33"/>
  <c r="AO75" i="33"/>
  <c r="AG76" i="33"/>
  <c r="AF7" i="33"/>
  <c r="AE75" i="33"/>
  <c r="AD75" i="33"/>
  <c r="AC75" i="33"/>
  <c r="AB75" i="33"/>
  <c r="AE74" i="33"/>
  <c r="AD74" i="33"/>
  <c r="AC74" i="33"/>
  <c r="AB74" i="33"/>
  <c r="AE73" i="33"/>
  <c r="AD73" i="33"/>
  <c r="AC73" i="33"/>
  <c r="AB73" i="33"/>
  <c r="AE72" i="33"/>
  <c r="AD72" i="33"/>
  <c r="AC72" i="33"/>
  <c r="AB72" i="33"/>
  <c r="AE71" i="33"/>
  <c r="AD71" i="33"/>
  <c r="AC71" i="33"/>
  <c r="AB71" i="33"/>
  <c r="AE70" i="33"/>
  <c r="AD70" i="33"/>
  <c r="AC70" i="33"/>
  <c r="AB70" i="33"/>
  <c r="AE69" i="33"/>
  <c r="AD69" i="33"/>
  <c r="AC69" i="33"/>
  <c r="AB69" i="33"/>
  <c r="AE68" i="33"/>
  <c r="AD68" i="33"/>
  <c r="AC68" i="33"/>
  <c r="AB68" i="33"/>
  <c r="AE67" i="33"/>
  <c r="AD67" i="33"/>
  <c r="AC67" i="33"/>
  <c r="AB67" i="33"/>
  <c r="AE66" i="33"/>
  <c r="AD66" i="33"/>
  <c r="AC66" i="33"/>
  <c r="AB66" i="33"/>
  <c r="AE65" i="33"/>
  <c r="AD65" i="33"/>
  <c r="AC65" i="33"/>
  <c r="AB65" i="33"/>
  <c r="AE64" i="33"/>
  <c r="AD64" i="33"/>
  <c r="AC64" i="33"/>
  <c r="AB64" i="33"/>
  <c r="AE63" i="33"/>
  <c r="AD63" i="33"/>
  <c r="AC63" i="33"/>
  <c r="AB63" i="33"/>
  <c r="AE62" i="33"/>
  <c r="AD62" i="33"/>
  <c r="AC62" i="33"/>
  <c r="AB62" i="33"/>
  <c r="AE61" i="33"/>
  <c r="AD61" i="33"/>
  <c r="AC61" i="33"/>
  <c r="AB61" i="33"/>
  <c r="AE60" i="33"/>
  <c r="AD60" i="33"/>
  <c r="AC60" i="33"/>
  <c r="AB60" i="33"/>
  <c r="AE59" i="33"/>
  <c r="AD59" i="33"/>
  <c r="AC59" i="33"/>
  <c r="AB59" i="33"/>
  <c r="AE58" i="33"/>
  <c r="AD58" i="33"/>
  <c r="AC58" i="33"/>
  <c r="AB58" i="33"/>
  <c r="AE57" i="33"/>
  <c r="AD57" i="33"/>
  <c r="AC57" i="33"/>
  <c r="AB57" i="33"/>
  <c r="AE56" i="33"/>
  <c r="AD56" i="33"/>
  <c r="AC56" i="33"/>
  <c r="AB56" i="33"/>
  <c r="AE55" i="33"/>
  <c r="AD55" i="33"/>
  <c r="AC55" i="33"/>
  <c r="AB55" i="33"/>
  <c r="AE54" i="33"/>
  <c r="AD54" i="33"/>
  <c r="AC54" i="33"/>
  <c r="AB54" i="33"/>
  <c r="AE53" i="33"/>
  <c r="AD53" i="33"/>
  <c r="AC53" i="33"/>
  <c r="AB53" i="33"/>
  <c r="AE52" i="33"/>
  <c r="AD52" i="33"/>
  <c r="AC52" i="33"/>
  <c r="AB52" i="33"/>
  <c r="AE51" i="33"/>
  <c r="AD51" i="33"/>
  <c r="AC51" i="33"/>
  <c r="AB51" i="33"/>
  <c r="AE50" i="33"/>
  <c r="AD50" i="33"/>
  <c r="AC50" i="33"/>
  <c r="AB50" i="33"/>
  <c r="AE49" i="33"/>
  <c r="AD49" i="33"/>
  <c r="AC49" i="33"/>
  <c r="AB49" i="33"/>
  <c r="AE48" i="33"/>
  <c r="AD48" i="33"/>
  <c r="AC48" i="33"/>
  <c r="AB48" i="33"/>
  <c r="AE47" i="33"/>
  <c r="AD47" i="33"/>
  <c r="AC47" i="33"/>
  <c r="AB47" i="33"/>
  <c r="AE46" i="33"/>
  <c r="AD46" i="33"/>
  <c r="AC46" i="33"/>
  <c r="AB46" i="33"/>
  <c r="AE45" i="33"/>
  <c r="AD45" i="33"/>
  <c r="AC45" i="33"/>
  <c r="AB45" i="33"/>
  <c r="AE44" i="33"/>
  <c r="AD44" i="33"/>
  <c r="AC44" i="33"/>
  <c r="AB44" i="33"/>
  <c r="AE43" i="33"/>
  <c r="AD43" i="33"/>
  <c r="AC43" i="33"/>
  <c r="AB43" i="33"/>
  <c r="AE42" i="33"/>
  <c r="AD42" i="33"/>
  <c r="AC42" i="33"/>
  <c r="AB42" i="33"/>
  <c r="AE41" i="33"/>
  <c r="AD41" i="33"/>
  <c r="AC41" i="33"/>
  <c r="AB41" i="33"/>
  <c r="AE40" i="33"/>
  <c r="AD40" i="33"/>
  <c r="AC40" i="33"/>
  <c r="AB40" i="33"/>
  <c r="AE39" i="33"/>
  <c r="AD39" i="33"/>
  <c r="AC39" i="33"/>
  <c r="AB39" i="33"/>
  <c r="AE38" i="33"/>
  <c r="AD38" i="33"/>
  <c r="AC38" i="33"/>
  <c r="AB38" i="33"/>
  <c r="AE37" i="33"/>
  <c r="AD37" i="33"/>
  <c r="AC37" i="33"/>
  <c r="AB37" i="33"/>
  <c r="AE36" i="33"/>
  <c r="AD36" i="33"/>
  <c r="AC36" i="33"/>
  <c r="AB36" i="33"/>
  <c r="AE35" i="33"/>
  <c r="AD35" i="33"/>
  <c r="AC35" i="33"/>
  <c r="AB35" i="33"/>
  <c r="AE34" i="33"/>
  <c r="AD34" i="33"/>
  <c r="AC34" i="33"/>
  <c r="AB34" i="33"/>
  <c r="AE33" i="33"/>
  <c r="AD33" i="33"/>
  <c r="AC33" i="33"/>
  <c r="AB33" i="33"/>
  <c r="AE32" i="33"/>
  <c r="AD32" i="33"/>
  <c r="AC32" i="33"/>
  <c r="AB32" i="33"/>
  <c r="AE31" i="33"/>
  <c r="AD31" i="33"/>
  <c r="AC31" i="33"/>
  <c r="AB31" i="33"/>
  <c r="AE30" i="33"/>
  <c r="AD30" i="33"/>
  <c r="AC30" i="33"/>
  <c r="AB30" i="33"/>
  <c r="AE29" i="33"/>
  <c r="AD29" i="33"/>
  <c r="AC29" i="33"/>
  <c r="AB29" i="33"/>
  <c r="AE28" i="33"/>
  <c r="AD28" i="33"/>
  <c r="AC28" i="33"/>
  <c r="AB28" i="33"/>
  <c r="AE27" i="33"/>
  <c r="AD27" i="33"/>
  <c r="AC27" i="33"/>
  <c r="AB27" i="33"/>
  <c r="AE26" i="33"/>
  <c r="AD26" i="33"/>
  <c r="AC26" i="33"/>
  <c r="AB26" i="33"/>
  <c r="AE25" i="33"/>
  <c r="AD25" i="33"/>
  <c r="AC25" i="33"/>
  <c r="AB25" i="33"/>
  <c r="AE24" i="33"/>
  <c r="AD24" i="33"/>
  <c r="AC24" i="33"/>
  <c r="AB24" i="33"/>
  <c r="AE23" i="33"/>
  <c r="AD23" i="33"/>
  <c r="AC23" i="33"/>
  <c r="AB23" i="33"/>
  <c r="AE22" i="33"/>
  <c r="AD22" i="33"/>
  <c r="AC22" i="33"/>
  <c r="AB22" i="33"/>
  <c r="AE21" i="33"/>
  <c r="AD21" i="33"/>
  <c r="AC21" i="33"/>
  <c r="AB21" i="33"/>
  <c r="AE20" i="33"/>
  <c r="AD20" i="33"/>
  <c r="AC20" i="33"/>
  <c r="AB20" i="33"/>
  <c r="AE19" i="33"/>
  <c r="AD19" i="33"/>
  <c r="AC19" i="33"/>
  <c r="AB19" i="33"/>
  <c r="AE18" i="33"/>
  <c r="AD18" i="33"/>
  <c r="AC18" i="33"/>
  <c r="AB18" i="33"/>
  <c r="AE17" i="33"/>
  <c r="AD17" i="33"/>
  <c r="AC17" i="33"/>
  <c r="AB17" i="33"/>
  <c r="AE16" i="33"/>
  <c r="AD16" i="33"/>
  <c r="AC16" i="33"/>
  <c r="AB16" i="33"/>
  <c r="AE15" i="33"/>
  <c r="AD15" i="33"/>
  <c r="AC15" i="33"/>
  <c r="AB15" i="33"/>
  <c r="AE14" i="33"/>
  <c r="AD14" i="33"/>
  <c r="AC14" i="33"/>
  <c r="AB14" i="33"/>
  <c r="AE13" i="33"/>
  <c r="AD13" i="33"/>
  <c r="AC13" i="33"/>
  <c r="AB13" i="33"/>
  <c r="AE12" i="33"/>
  <c r="AD12" i="33"/>
  <c r="AC12" i="33"/>
  <c r="AB12" i="33"/>
  <c r="AE11" i="33"/>
  <c r="AD11" i="33"/>
  <c r="AC11" i="33"/>
  <c r="AB11" i="33"/>
  <c r="AE10" i="33"/>
  <c r="AD10" i="33"/>
  <c r="AC10" i="33"/>
  <c r="AB10" i="33"/>
  <c r="AE9" i="33"/>
  <c r="AD9" i="33"/>
  <c r="AC9" i="33"/>
  <c r="AB9" i="33"/>
  <c r="AE8" i="33"/>
  <c r="AD8" i="33"/>
  <c r="AC8" i="33"/>
  <c r="AB8" i="33"/>
  <c r="AC7" i="33"/>
  <c r="AD7" i="33"/>
  <c r="AE7" i="33"/>
  <c r="AB7" i="33"/>
  <c r="AA76" i="33"/>
  <c r="AA75" i="33"/>
  <c r="AA74" i="33"/>
  <c r="AA73" i="33"/>
  <c r="AA72" i="33"/>
  <c r="AA71" i="33"/>
  <c r="AA70" i="33"/>
  <c r="AA69" i="33"/>
  <c r="AA68" i="33"/>
  <c r="AA67" i="33"/>
  <c r="AA66" i="33"/>
  <c r="AA65" i="33"/>
  <c r="AA64" i="33"/>
  <c r="AA63" i="33"/>
  <c r="AA62" i="33"/>
  <c r="AA61" i="33"/>
  <c r="AA60" i="33"/>
  <c r="AA59" i="33"/>
  <c r="AA58" i="33"/>
  <c r="AA57" i="33"/>
  <c r="AA56" i="33"/>
  <c r="AA55" i="33"/>
  <c r="AA54" i="33"/>
  <c r="AA53" i="33"/>
  <c r="AA52" i="33"/>
  <c r="AA51" i="33"/>
  <c r="AA50" i="33"/>
  <c r="AA49" i="33"/>
  <c r="AA48" i="33"/>
  <c r="AA47" i="33"/>
  <c r="AA46" i="33"/>
  <c r="AA45" i="33"/>
  <c r="AA44" i="33"/>
  <c r="AA43" i="33"/>
  <c r="AA42" i="33"/>
  <c r="AA41" i="33"/>
  <c r="AA40" i="33"/>
  <c r="AA39" i="33"/>
  <c r="AA38" i="33"/>
  <c r="AA37" i="33"/>
  <c r="AA36" i="33"/>
  <c r="AA35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AA22" i="33"/>
  <c r="AA21" i="33"/>
  <c r="AA20" i="33"/>
  <c r="AA19" i="33"/>
  <c r="AA18" i="33"/>
  <c r="AA17" i="33"/>
  <c r="AA16" i="33"/>
  <c r="AA15" i="33"/>
  <c r="AA14" i="33"/>
  <c r="AA13" i="33"/>
  <c r="AA12" i="33"/>
  <c r="AA11" i="33"/>
  <c r="AA10" i="33"/>
  <c r="AA9" i="33"/>
  <c r="AA8" i="33"/>
  <c r="AA7" i="33"/>
  <c r="AB6" i="33"/>
  <c r="AK76" i="33"/>
  <c r="AH76" i="33"/>
  <c r="AI76" i="33"/>
  <c r="AL76" i="33"/>
  <c r="AC6" i="33"/>
  <c r="AD6" i="33" s="1"/>
  <c r="AE6" i="33" s="1"/>
  <c r="AF6" i="33" s="1"/>
  <c r="AG6" i="33" s="1"/>
  <c r="AH6" i="33" s="1"/>
  <c r="AI6" i="33" s="1"/>
  <c r="AJ6" i="33" s="1"/>
  <c r="AK6" i="33" s="1"/>
  <c r="AL6" i="33" s="1"/>
  <c r="AM6" i="33" s="1"/>
  <c r="AN6" i="33" s="1"/>
  <c r="AO6" i="33" s="1"/>
  <c r="AP6" i="33" s="1"/>
  <c r="AO43" i="33"/>
  <c r="AO14" i="33" l="1"/>
  <c r="AO31" i="33"/>
  <c r="AO15" i="33"/>
  <c r="AO47" i="33"/>
  <c r="AO63" i="33"/>
  <c r="AO18" i="33"/>
  <c r="AO19" i="33"/>
  <c r="AO23" i="33"/>
  <c r="AO35" i="33"/>
  <c r="AO39" i="33"/>
  <c r="AO51" i="33"/>
  <c r="AO55" i="33"/>
  <c r="AO67" i="33"/>
  <c r="AO71" i="33"/>
  <c r="AO10" i="33"/>
  <c r="AO8" i="33"/>
  <c r="AO16" i="33"/>
  <c r="AO24" i="33"/>
  <c r="AO32" i="33"/>
  <c r="AO40" i="33"/>
  <c r="AO48" i="33"/>
  <c r="AO56" i="33"/>
  <c r="AO64" i="33"/>
  <c r="AO72" i="33"/>
  <c r="AO13" i="33"/>
  <c r="AO21" i="33"/>
  <c r="AO29" i="33"/>
  <c r="AO37" i="33"/>
  <c r="AO45" i="33"/>
  <c r="AO53" i="33"/>
  <c r="AO61" i="33"/>
  <c r="AO69" i="33"/>
  <c r="AO73" i="33"/>
  <c r="AO22" i="33"/>
  <c r="AO30" i="33"/>
  <c r="AO38" i="33"/>
  <c r="AO46" i="33"/>
  <c r="AO50" i="33"/>
  <c r="AO58" i="33"/>
  <c r="AO66" i="33"/>
  <c r="AO74" i="33"/>
  <c r="AO7" i="33"/>
  <c r="AB76" i="33"/>
  <c r="AO12" i="33"/>
  <c r="AO20" i="33"/>
  <c r="AO28" i="33"/>
  <c r="AO36" i="33"/>
  <c r="AO44" i="33"/>
  <c r="AO52" i="33"/>
  <c r="AO60" i="33"/>
  <c r="AO68" i="33"/>
  <c r="AO9" i="33"/>
  <c r="AO17" i="33"/>
  <c r="AO25" i="33"/>
  <c r="AO33" i="33"/>
  <c r="AO41" i="33"/>
  <c r="AO49" i="33"/>
  <c r="AO57" i="33"/>
  <c r="AO65" i="33"/>
  <c r="AO26" i="33"/>
  <c r="AO34" i="33"/>
  <c r="AO42" i="33"/>
  <c r="AO54" i="33"/>
  <c r="AO62" i="33"/>
  <c r="AO70" i="33"/>
  <c r="AD76" i="33"/>
  <c r="AN76" i="33"/>
  <c r="AM76" i="33"/>
  <c r="AF76" i="33"/>
  <c r="AE76" i="33"/>
  <c r="AC76" i="33"/>
  <c r="M26" i="130"/>
  <c r="E74" i="81"/>
  <c r="AO76" i="33" l="1"/>
  <c r="E53" i="81"/>
  <c r="E52" i="81"/>
  <c r="E66" i="81"/>
  <c r="E65" i="81"/>
  <c r="K22" i="131"/>
  <c r="I22" i="131"/>
  <c r="F22" i="131"/>
  <c r="E22" i="131"/>
  <c r="B22" i="131"/>
  <c r="G21" i="131"/>
  <c r="C21" i="131"/>
  <c r="D21" i="131" s="1"/>
  <c r="H21" i="131" s="1"/>
  <c r="J21" i="131" s="1"/>
  <c r="L21" i="131" s="1"/>
  <c r="M21" i="131" s="1"/>
  <c r="G20" i="131"/>
  <c r="G22" i="131" s="1"/>
  <c r="C20" i="131"/>
  <c r="D20" i="131" s="1"/>
  <c r="C19" i="131"/>
  <c r="D19" i="131" s="1"/>
  <c r="E19" i="131" s="1"/>
  <c r="F19" i="131" s="1"/>
  <c r="G19" i="131" s="1"/>
  <c r="H19" i="131" s="1"/>
  <c r="I19" i="131" s="1"/>
  <c r="J19" i="131" s="1"/>
  <c r="K19" i="131" s="1"/>
  <c r="L19" i="131" s="1"/>
  <c r="M19" i="131" s="1"/>
  <c r="N9" i="131"/>
  <c r="L9" i="131"/>
  <c r="L10" i="131" s="1"/>
  <c r="I9" i="131"/>
  <c r="I10" i="131" s="1"/>
  <c r="H9" i="131"/>
  <c r="H10" i="131" s="1"/>
  <c r="F9" i="131"/>
  <c r="C9" i="131"/>
  <c r="D9" i="131" s="1"/>
  <c r="G9" i="131" s="1"/>
  <c r="B9" i="131"/>
  <c r="N8" i="131"/>
  <c r="N10" i="131" s="1"/>
  <c r="L8" i="131"/>
  <c r="J8" i="131"/>
  <c r="I8" i="131"/>
  <c r="H8" i="131"/>
  <c r="F8" i="131"/>
  <c r="F10" i="131" s="1"/>
  <c r="C8" i="131"/>
  <c r="B8" i="131"/>
  <c r="D8" i="131" s="1"/>
  <c r="D7" i="131"/>
  <c r="E7" i="131" s="1"/>
  <c r="F7" i="131" s="1"/>
  <c r="G7" i="131" s="1"/>
  <c r="H7" i="131" s="1"/>
  <c r="I7" i="131" s="1"/>
  <c r="J7" i="131" s="1"/>
  <c r="K7" i="131" s="1"/>
  <c r="L7" i="131" s="1"/>
  <c r="M7" i="131" s="1"/>
  <c r="N7" i="131" s="1"/>
  <c r="O7" i="131" s="1"/>
  <c r="P7" i="131" s="1"/>
  <c r="C7" i="131"/>
  <c r="D10" i="131" l="1"/>
  <c r="G8" i="131"/>
  <c r="D22" i="131"/>
  <c r="H20" i="131"/>
  <c r="J10" i="131"/>
  <c r="K9" i="131"/>
  <c r="M9" i="131" s="1"/>
  <c r="O9" i="131" s="1"/>
  <c r="P9" i="131" s="1"/>
  <c r="B10" i="131"/>
  <c r="J9" i="131"/>
  <c r="U41" i="72"/>
  <c r="K8" i="131" l="1"/>
  <c r="G10" i="131"/>
  <c r="J20" i="131"/>
  <c r="H22" i="131"/>
  <c r="R5" i="72"/>
  <c r="S5" i="72" s="1"/>
  <c r="T5" i="72" s="1"/>
  <c r="U5" i="72" s="1"/>
  <c r="V5" i="72" s="1"/>
  <c r="W5" i="72" s="1"/>
  <c r="X5" i="72" s="1"/>
  <c r="Y5" i="72" s="1"/>
  <c r="Z5" i="72" s="1"/>
  <c r="AA5" i="72" s="1"/>
  <c r="AB5" i="72" s="1"/>
  <c r="AC5" i="72" s="1"/>
  <c r="AD5" i="72" s="1"/>
  <c r="AE5" i="72" s="1"/>
  <c r="AF5" i="72" s="1"/>
  <c r="AG5" i="72" s="1"/>
  <c r="E41" i="72"/>
  <c r="M8" i="131" l="1"/>
  <c r="K10" i="131"/>
  <c r="J22" i="131"/>
  <c r="L20" i="131"/>
  <c r="M107" i="84"/>
  <c r="M108" i="83"/>
  <c r="M10" i="131" l="1"/>
  <c r="O8" i="131"/>
  <c r="M20" i="131"/>
  <c r="M22" i="131" s="1"/>
  <c r="L22" i="131"/>
  <c r="O23" i="67"/>
  <c r="O76" i="67"/>
  <c r="N8" i="5"/>
  <c r="O10" i="131" l="1"/>
  <c r="P8" i="131"/>
  <c r="P10" i="131" s="1"/>
  <c r="M27" i="130"/>
  <c r="P5" i="83" l="1"/>
  <c r="Q5" i="83" s="1"/>
  <c r="R5" i="83" s="1"/>
  <c r="S5" i="83" s="1"/>
  <c r="T5" i="83" s="1"/>
  <c r="U5" i="83" s="1"/>
  <c r="V5" i="83" s="1"/>
  <c r="W5" i="83" s="1"/>
  <c r="X5" i="83" s="1"/>
  <c r="Y5" i="83" s="1"/>
  <c r="Z5" i="83" s="1"/>
  <c r="AA5" i="83" s="1"/>
  <c r="AB5" i="83" s="1"/>
  <c r="N9" i="5"/>
  <c r="T76" i="117" l="1"/>
  <c r="T42" i="117"/>
  <c r="T5" i="117"/>
  <c r="U5" i="117" s="1"/>
  <c r="V5" i="117" s="1"/>
  <c r="W5" i="117" s="1"/>
  <c r="X5" i="117" s="1"/>
  <c r="Y5" i="117" s="1"/>
  <c r="Z5" i="117" s="1"/>
  <c r="AA5" i="117" s="1"/>
  <c r="AB5" i="117" s="1"/>
  <c r="AC5" i="117" s="1"/>
  <c r="AD5" i="117" s="1"/>
  <c r="AE5" i="117" s="1"/>
  <c r="AF5" i="117" s="1"/>
  <c r="AG5" i="117" s="1"/>
  <c r="AH5" i="117" s="1"/>
  <c r="AI5" i="117" s="1"/>
  <c r="AJ5" i="117" s="1"/>
  <c r="AK5" i="117" s="1"/>
  <c r="AL5" i="117" s="1"/>
  <c r="P12" i="130"/>
  <c r="AN74" i="80" l="1"/>
  <c r="AN74" i="76"/>
  <c r="AN75" i="120"/>
  <c r="AM75" i="120"/>
  <c r="AN74" i="120"/>
  <c r="AM74" i="120"/>
  <c r="AN73" i="120"/>
  <c r="AM73" i="120"/>
  <c r="AN72" i="120"/>
  <c r="AM72" i="120"/>
  <c r="AN71" i="120"/>
  <c r="AM71" i="120"/>
  <c r="AN70" i="120"/>
  <c r="AM70" i="120"/>
  <c r="AN69" i="120"/>
  <c r="AM69" i="120"/>
  <c r="AN68" i="120"/>
  <c r="AM68" i="120"/>
  <c r="AN67" i="120"/>
  <c r="AM67" i="120"/>
  <c r="AN66" i="120"/>
  <c r="AM66" i="120"/>
  <c r="AN65" i="120"/>
  <c r="AM65" i="120"/>
  <c r="AN64" i="120"/>
  <c r="AM64" i="120"/>
  <c r="AN63" i="120"/>
  <c r="AM63" i="120"/>
  <c r="AN62" i="120"/>
  <c r="AM62" i="120"/>
  <c r="AN61" i="120"/>
  <c r="AM61" i="120"/>
  <c r="AN60" i="120"/>
  <c r="AM60" i="120"/>
  <c r="AN59" i="120"/>
  <c r="AM59" i="120"/>
  <c r="AN58" i="120"/>
  <c r="AM58" i="120"/>
  <c r="AN57" i="120"/>
  <c r="AM57" i="120"/>
  <c r="AN56" i="120"/>
  <c r="AM56" i="120"/>
  <c r="AN55" i="120"/>
  <c r="AM55" i="120"/>
  <c r="AN54" i="120"/>
  <c r="AM54" i="120"/>
  <c r="AN53" i="120"/>
  <c r="AM53" i="120"/>
  <c r="AN52" i="120"/>
  <c r="AM52" i="120"/>
  <c r="AN51" i="120"/>
  <c r="AM51" i="120"/>
  <c r="AN50" i="120"/>
  <c r="AM50" i="120"/>
  <c r="AN49" i="120"/>
  <c r="AM49" i="120"/>
  <c r="AN48" i="120"/>
  <c r="AM48" i="120"/>
  <c r="AN47" i="120"/>
  <c r="AM47" i="120"/>
  <c r="AN46" i="120"/>
  <c r="AM46" i="120"/>
  <c r="AN45" i="120"/>
  <c r="AM45" i="120"/>
  <c r="AN44" i="120"/>
  <c r="AM44" i="120"/>
  <c r="AN43" i="120"/>
  <c r="AM43" i="120"/>
  <c r="AN42" i="120"/>
  <c r="AM42" i="120"/>
  <c r="AN41" i="120"/>
  <c r="AM41" i="120"/>
  <c r="AN40" i="120"/>
  <c r="AM40" i="120"/>
  <c r="AN39" i="120"/>
  <c r="AM39" i="120"/>
  <c r="AN38" i="120"/>
  <c r="AM38" i="120"/>
  <c r="AN37" i="120"/>
  <c r="AM37" i="120"/>
  <c r="AN36" i="120"/>
  <c r="AM36" i="120"/>
  <c r="AN35" i="120"/>
  <c r="AM35" i="120"/>
  <c r="AN34" i="120"/>
  <c r="AM34" i="120"/>
  <c r="AN33" i="120"/>
  <c r="AM33" i="120"/>
  <c r="AN32" i="120"/>
  <c r="AM32" i="120"/>
  <c r="AN31" i="120"/>
  <c r="AM31" i="120"/>
  <c r="AN30" i="120"/>
  <c r="AM30" i="120"/>
  <c r="AN29" i="120"/>
  <c r="AM29" i="120"/>
  <c r="AN28" i="120"/>
  <c r="AM28" i="120"/>
  <c r="AN27" i="120"/>
  <c r="AM27" i="120"/>
  <c r="AN26" i="120"/>
  <c r="AM26" i="120"/>
  <c r="AN25" i="120"/>
  <c r="AM25" i="120"/>
  <c r="AN24" i="120"/>
  <c r="AM24" i="120"/>
  <c r="AN23" i="120"/>
  <c r="AM23" i="120"/>
  <c r="AN22" i="120"/>
  <c r="AM22" i="120"/>
  <c r="AN21" i="120"/>
  <c r="AM21" i="120"/>
  <c r="AN20" i="120"/>
  <c r="AM20" i="120"/>
  <c r="AN19" i="120"/>
  <c r="AM19" i="120"/>
  <c r="AN18" i="120"/>
  <c r="AM18" i="120"/>
  <c r="AN17" i="120"/>
  <c r="AM17" i="120"/>
  <c r="AN16" i="120"/>
  <c r="AM16" i="120"/>
  <c r="AN15" i="120"/>
  <c r="AM15" i="120"/>
  <c r="AN14" i="120"/>
  <c r="AM14" i="120"/>
  <c r="AN13" i="120"/>
  <c r="AM13" i="120"/>
  <c r="AN12" i="120"/>
  <c r="AM12" i="120"/>
  <c r="AN11" i="120"/>
  <c r="AM11" i="120"/>
  <c r="AN10" i="120"/>
  <c r="AM10" i="120"/>
  <c r="AN9" i="120"/>
  <c r="AM9" i="120"/>
  <c r="AN8" i="120"/>
  <c r="AM8" i="120"/>
  <c r="AM7" i="120"/>
  <c r="AN75" i="119"/>
  <c r="AM75" i="119"/>
  <c r="AN74" i="119"/>
  <c r="AM74" i="119"/>
  <c r="AN73" i="119"/>
  <c r="AM73" i="119"/>
  <c r="AN72" i="119"/>
  <c r="AM72" i="119"/>
  <c r="AN71" i="119"/>
  <c r="AM71" i="119"/>
  <c r="AN70" i="119"/>
  <c r="AM70" i="119"/>
  <c r="AN69" i="119"/>
  <c r="AM69" i="119"/>
  <c r="AN68" i="119"/>
  <c r="AM68" i="119"/>
  <c r="AN67" i="119"/>
  <c r="AM67" i="119"/>
  <c r="AN66" i="119"/>
  <c r="AM66" i="119"/>
  <c r="AN65" i="119"/>
  <c r="AM65" i="119"/>
  <c r="AN64" i="119"/>
  <c r="AM64" i="119"/>
  <c r="AN63" i="119"/>
  <c r="AM63" i="119"/>
  <c r="AN62" i="119"/>
  <c r="AM62" i="119"/>
  <c r="AN61" i="119"/>
  <c r="AM61" i="119"/>
  <c r="AN60" i="119"/>
  <c r="AM60" i="119"/>
  <c r="AN59" i="119"/>
  <c r="AM59" i="119"/>
  <c r="AN58" i="119"/>
  <c r="AM58" i="119"/>
  <c r="AN57" i="119"/>
  <c r="AM57" i="119"/>
  <c r="AN56" i="119"/>
  <c r="AM56" i="119"/>
  <c r="AN55" i="119"/>
  <c r="AM55" i="119"/>
  <c r="AN54" i="119"/>
  <c r="AM54" i="119"/>
  <c r="AN53" i="119"/>
  <c r="AM53" i="119"/>
  <c r="AN52" i="119"/>
  <c r="AM52" i="119"/>
  <c r="AN51" i="119"/>
  <c r="AM51" i="119"/>
  <c r="AN50" i="119"/>
  <c r="AM50" i="119"/>
  <c r="AN49" i="119"/>
  <c r="AM49" i="119"/>
  <c r="AN48" i="119"/>
  <c r="AM48" i="119"/>
  <c r="AN47" i="119"/>
  <c r="AM47" i="119"/>
  <c r="AN46" i="119"/>
  <c r="AM46" i="119"/>
  <c r="AN45" i="119"/>
  <c r="AM45" i="119"/>
  <c r="AN44" i="119"/>
  <c r="AM44" i="119"/>
  <c r="AN43" i="119"/>
  <c r="AM43" i="119"/>
  <c r="AN42" i="119"/>
  <c r="AM42" i="119"/>
  <c r="AN41" i="119"/>
  <c r="AM41" i="119"/>
  <c r="AN40" i="119"/>
  <c r="AM40" i="119"/>
  <c r="AN39" i="119"/>
  <c r="AM39" i="119"/>
  <c r="AN38" i="119"/>
  <c r="AM38" i="119"/>
  <c r="AN37" i="119"/>
  <c r="AM37" i="119"/>
  <c r="AN36" i="119"/>
  <c r="AM36" i="119"/>
  <c r="AN35" i="119"/>
  <c r="AM35" i="119"/>
  <c r="AN34" i="119"/>
  <c r="AM34" i="119"/>
  <c r="AN33" i="119"/>
  <c r="AM33" i="119"/>
  <c r="AN32" i="119"/>
  <c r="AM32" i="119"/>
  <c r="AN31" i="119"/>
  <c r="AM31" i="119"/>
  <c r="AN30" i="119"/>
  <c r="AM30" i="119"/>
  <c r="AN29" i="119"/>
  <c r="AM29" i="119"/>
  <c r="AN28" i="119"/>
  <c r="AM28" i="119"/>
  <c r="AN27" i="119"/>
  <c r="AM27" i="119"/>
  <c r="AN26" i="119"/>
  <c r="AM26" i="119"/>
  <c r="AN25" i="119"/>
  <c r="AM25" i="119"/>
  <c r="AN24" i="119"/>
  <c r="AM24" i="119"/>
  <c r="AN23" i="119"/>
  <c r="AM23" i="119"/>
  <c r="AN22" i="119"/>
  <c r="AM22" i="119"/>
  <c r="AN21" i="119"/>
  <c r="AM21" i="119"/>
  <c r="AN20" i="119"/>
  <c r="AM20" i="119"/>
  <c r="AN19" i="119"/>
  <c r="AM19" i="119"/>
  <c r="AN18" i="119"/>
  <c r="AM18" i="119"/>
  <c r="AN17" i="119"/>
  <c r="AM17" i="119"/>
  <c r="AN16" i="119"/>
  <c r="AM16" i="119"/>
  <c r="AN15" i="119"/>
  <c r="AM15" i="119"/>
  <c r="AN14" i="119"/>
  <c r="AM14" i="119"/>
  <c r="AN13" i="119"/>
  <c r="AM13" i="119"/>
  <c r="AN12" i="119"/>
  <c r="AM12" i="119"/>
  <c r="AN11" i="119"/>
  <c r="AM11" i="119"/>
  <c r="AN10" i="119"/>
  <c r="AM10" i="119"/>
  <c r="AN9" i="119"/>
  <c r="AM9" i="119"/>
  <c r="AN8" i="119"/>
  <c r="AM8" i="119"/>
  <c r="AM7" i="119"/>
  <c r="AN75" i="118"/>
  <c r="AM75" i="118"/>
  <c r="AN74" i="118"/>
  <c r="AM74" i="118"/>
  <c r="AN73" i="118"/>
  <c r="AM73" i="118"/>
  <c r="AN72" i="118"/>
  <c r="AM72" i="118"/>
  <c r="AN71" i="118"/>
  <c r="AM71" i="118"/>
  <c r="AN70" i="118"/>
  <c r="AM70" i="118"/>
  <c r="AN69" i="118"/>
  <c r="AM69" i="118"/>
  <c r="AN68" i="118"/>
  <c r="AM68" i="118"/>
  <c r="AN67" i="118"/>
  <c r="AM67" i="118"/>
  <c r="AN66" i="118"/>
  <c r="AM66" i="118"/>
  <c r="AN65" i="118"/>
  <c r="AM65" i="118"/>
  <c r="AN64" i="118"/>
  <c r="AM64" i="118"/>
  <c r="AN63" i="118"/>
  <c r="AM63" i="118"/>
  <c r="AN62" i="118"/>
  <c r="AM62" i="118"/>
  <c r="AN61" i="118"/>
  <c r="AM61" i="118"/>
  <c r="AN60" i="118"/>
  <c r="AM60" i="118"/>
  <c r="AN59" i="118"/>
  <c r="AM59" i="118"/>
  <c r="AN58" i="118"/>
  <c r="AM58" i="118"/>
  <c r="AN57" i="118"/>
  <c r="AM57" i="118"/>
  <c r="AN56" i="118"/>
  <c r="AM56" i="118"/>
  <c r="AN55" i="118"/>
  <c r="AM55" i="118"/>
  <c r="AN54" i="118"/>
  <c r="AM54" i="118"/>
  <c r="AN53" i="118"/>
  <c r="AM53" i="118"/>
  <c r="AN52" i="118"/>
  <c r="AM52" i="118"/>
  <c r="AN51" i="118"/>
  <c r="AM51" i="118"/>
  <c r="AN50" i="118"/>
  <c r="AM50" i="118"/>
  <c r="AN49" i="118"/>
  <c r="AM49" i="118"/>
  <c r="AN48" i="118"/>
  <c r="AM48" i="118"/>
  <c r="AN47" i="118"/>
  <c r="AM47" i="118"/>
  <c r="AN46" i="118"/>
  <c r="AM46" i="118"/>
  <c r="AN45" i="118"/>
  <c r="AM45" i="118"/>
  <c r="AN44" i="118"/>
  <c r="AM44" i="118"/>
  <c r="AN43" i="118"/>
  <c r="AM43" i="118"/>
  <c r="AN42" i="118"/>
  <c r="AM42" i="118"/>
  <c r="AN41" i="118"/>
  <c r="AM41" i="118"/>
  <c r="AN40" i="118"/>
  <c r="AM40" i="118"/>
  <c r="AN39" i="118"/>
  <c r="AM39" i="118"/>
  <c r="AN38" i="118"/>
  <c r="AM38" i="118"/>
  <c r="AN37" i="118"/>
  <c r="AM37" i="118"/>
  <c r="AN36" i="118"/>
  <c r="AM36" i="118"/>
  <c r="AN35" i="118"/>
  <c r="AM35" i="118"/>
  <c r="AN34" i="118"/>
  <c r="AM34" i="118"/>
  <c r="AN33" i="118"/>
  <c r="AM33" i="118"/>
  <c r="AN32" i="118"/>
  <c r="AM32" i="118"/>
  <c r="AN31" i="118"/>
  <c r="AM31" i="118"/>
  <c r="AN30" i="118"/>
  <c r="AM30" i="118"/>
  <c r="AN29" i="118"/>
  <c r="AM29" i="118"/>
  <c r="AN28" i="118"/>
  <c r="AM28" i="118"/>
  <c r="AN27" i="118"/>
  <c r="AM27" i="118"/>
  <c r="AN26" i="118"/>
  <c r="AM26" i="118"/>
  <c r="AN25" i="118"/>
  <c r="AM25" i="118"/>
  <c r="AN24" i="118"/>
  <c r="AM24" i="118"/>
  <c r="AN23" i="118"/>
  <c r="AM23" i="118"/>
  <c r="AN22" i="118"/>
  <c r="AM22" i="118"/>
  <c r="AN21" i="118"/>
  <c r="AM21" i="118"/>
  <c r="AN20" i="118"/>
  <c r="AM20" i="118"/>
  <c r="AN19" i="118"/>
  <c r="AM19" i="118"/>
  <c r="AN18" i="118"/>
  <c r="AM18" i="118"/>
  <c r="AN17" i="118"/>
  <c r="AM17" i="118"/>
  <c r="AN16" i="118"/>
  <c r="AM16" i="118"/>
  <c r="AN15" i="118"/>
  <c r="AM15" i="118"/>
  <c r="AN14" i="118"/>
  <c r="AM14" i="118"/>
  <c r="AN13" i="118"/>
  <c r="AM13" i="118"/>
  <c r="AN12" i="118"/>
  <c r="AM12" i="118"/>
  <c r="AN11" i="118"/>
  <c r="AM11" i="118"/>
  <c r="AN10" i="118"/>
  <c r="AM10" i="118"/>
  <c r="AN9" i="118"/>
  <c r="AM9" i="118"/>
  <c r="AN8" i="118"/>
  <c r="AM8" i="118"/>
  <c r="AM7" i="118"/>
  <c r="AP75" i="117"/>
  <c r="AO75" i="117"/>
  <c r="AP74" i="117"/>
  <c r="AO74" i="117"/>
  <c r="AP73" i="117"/>
  <c r="AO73" i="117"/>
  <c r="AP72" i="117"/>
  <c r="AO72" i="117"/>
  <c r="AP71" i="117"/>
  <c r="AO71" i="117"/>
  <c r="AP70" i="117"/>
  <c r="AO70" i="117"/>
  <c r="AP69" i="117"/>
  <c r="AO69" i="117"/>
  <c r="AP68" i="117"/>
  <c r="AO68" i="117"/>
  <c r="AP67" i="117"/>
  <c r="AO67" i="117"/>
  <c r="AP66" i="117"/>
  <c r="AO66" i="117"/>
  <c r="AP65" i="117"/>
  <c r="AO65" i="117"/>
  <c r="AP64" i="117"/>
  <c r="AO64" i="117"/>
  <c r="AP63" i="117"/>
  <c r="AO63" i="117"/>
  <c r="AP62" i="117"/>
  <c r="AO62" i="117"/>
  <c r="AP61" i="117"/>
  <c r="AO61" i="117"/>
  <c r="AP60" i="117"/>
  <c r="AO60" i="117"/>
  <c r="AP59" i="117"/>
  <c r="AO59" i="117"/>
  <c r="AP58" i="117"/>
  <c r="AO58" i="117"/>
  <c r="AP57" i="117"/>
  <c r="AO57" i="117"/>
  <c r="AP56" i="117"/>
  <c r="AO56" i="117"/>
  <c r="AP55" i="117"/>
  <c r="AO55" i="117"/>
  <c r="AP54" i="117"/>
  <c r="AO54" i="117"/>
  <c r="AP53" i="117"/>
  <c r="AO53" i="117"/>
  <c r="AP52" i="117"/>
  <c r="AO52" i="117"/>
  <c r="AP51" i="117"/>
  <c r="AO51" i="117"/>
  <c r="AP50" i="117"/>
  <c r="AO50" i="117"/>
  <c r="AP49" i="117"/>
  <c r="AO49" i="117"/>
  <c r="AP48" i="117"/>
  <c r="AO48" i="117"/>
  <c r="AP47" i="117"/>
  <c r="AO47" i="117"/>
  <c r="AP46" i="117"/>
  <c r="AO46" i="117"/>
  <c r="AP45" i="117"/>
  <c r="AO45" i="117"/>
  <c r="AP44" i="117"/>
  <c r="AO44" i="117"/>
  <c r="AP43" i="117"/>
  <c r="AO43" i="117"/>
  <c r="AP42" i="117"/>
  <c r="AO42" i="117"/>
  <c r="AP41" i="117"/>
  <c r="AO41" i="117"/>
  <c r="AP40" i="117"/>
  <c r="AO40" i="117"/>
  <c r="AP39" i="117"/>
  <c r="AO39" i="117"/>
  <c r="AP38" i="117"/>
  <c r="AO38" i="117"/>
  <c r="AP37" i="117"/>
  <c r="AO37" i="117"/>
  <c r="AP36" i="117"/>
  <c r="AO36" i="117"/>
  <c r="AP35" i="117"/>
  <c r="AO35" i="117"/>
  <c r="AP34" i="117"/>
  <c r="AO34" i="117"/>
  <c r="AP33" i="117"/>
  <c r="AO33" i="117"/>
  <c r="AP32" i="117"/>
  <c r="AO32" i="117"/>
  <c r="AP31" i="117"/>
  <c r="AO31" i="117"/>
  <c r="AP30" i="117"/>
  <c r="AO30" i="117"/>
  <c r="AP29" i="117"/>
  <c r="AO29" i="117"/>
  <c r="AP28" i="117"/>
  <c r="AO28" i="117"/>
  <c r="AP27" i="117"/>
  <c r="AO27" i="117"/>
  <c r="AP26" i="117"/>
  <c r="AO26" i="117"/>
  <c r="AP25" i="117"/>
  <c r="AO25" i="117"/>
  <c r="AP24" i="117"/>
  <c r="AO24" i="117"/>
  <c r="AP23" i="117"/>
  <c r="AO23" i="117"/>
  <c r="AP22" i="117"/>
  <c r="AO22" i="117"/>
  <c r="AP21" i="117"/>
  <c r="AO21" i="117"/>
  <c r="AP20" i="117"/>
  <c r="AO20" i="117"/>
  <c r="AP19" i="117"/>
  <c r="AO19" i="117"/>
  <c r="AP18" i="117"/>
  <c r="AO18" i="117"/>
  <c r="AP17" i="117"/>
  <c r="AO17" i="117"/>
  <c r="AP16" i="117"/>
  <c r="AO16" i="117"/>
  <c r="AP15" i="117"/>
  <c r="AO15" i="117"/>
  <c r="AP14" i="117"/>
  <c r="AO14" i="117"/>
  <c r="AP13" i="117"/>
  <c r="AO13" i="117"/>
  <c r="AP12" i="117"/>
  <c r="AO12" i="117"/>
  <c r="AP11" i="117"/>
  <c r="AO11" i="117"/>
  <c r="AP10" i="117"/>
  <c r="AO10" i="117"/>
  <c r="AP9" i="117"/>
  <c r="AO9" i="117"/>
  <c r="AP8" i="117"/>
  <c r="AO8" i="117"/>
  <c r="AO7" i="117"/>
  <c r="AM75" i="116"/>
  <c r="AM74" i="116"/>
  <c r="AM73" i="116"/>
  <c r="AM72" i="116"/>
  <c r="AM71" i="116"/>
  <c r="AM70" i="116"/>
  <c r="AM69" i="116"/>
  <c r="AM68" i="116"/>
  <c r="AM67" i="116"/>
  <c r="AM66" i="116"/>
  <c r="AM65" i="116"/>
  <c r="AM64" i="116"/>
  <c r="AM63" i="116"/>
  <c r="AM62" i="116"/>
  <c r="AM61" i="116"/>
  <c r="AM60" i="116"/>
  <c r="AM59" i="116"/>
  <c r="AM58" i="116"/>
  <c r="AM57" i="116"/>
  <c r="AM56" i="116"/>
  <c r="AM55" i="116"/>
  <c r="AM54" i="116"/>
  <c r="AM53" i="116"/>
  <c r="AM52" i="116"/>
  <c r="AM51" i="116"/>
  <c r="AM50" i="116"/>
  <c r="AM49" i="116"/>
  <c r="AM48" i="116"/>
  <c r="AM47" i="116"/>
  <c r="AM46" i="116"/>
  <c r="AM45" i="116"/>
  <c r="AM44" i="116"/>
  <c r="AM43" i="116"/>
  <c r="AM42" i="116"/>
  <c r="AM41" i="116"/>
  <c r="AM40" i="116"/>
  <c r="AM39" i="116"/>
  <c r="AM38" i="116"/>
  <c r="AM37" i="116"/>
  <c r="AM36" i="116"/>
  <c r="AM35" i="116"/>
  <c r="AM34" i="116"/>
  <c r="AM33" i="116"/>
  <c r="AM32" i="116"/>
  <c r="AM31" i="116"/>
  <c r="AM30" i="116"/>
  <c r="AM29" i="116"/>
  <c r="AM28" i="116"/>
  <c r="AM27" i="116"/>
  <c r="AM26" i="116"/>
  <c r="AM25" i="116"/>
  <c r="AM24" i="116"/>
  <c r="AM23" i="116"/>
  <c r="AM22" i="116"/>
  <c r="AM21" i="116"/>
  <c r="AM20" i="116"/>
  <c r="AM19" i="116"/>
  <c r="AM18" i="116"/>
  <c r="AM17" i="116"/>
  <c r="AM16" i="116"/>
  <c r="AM15" i="116"/>
  <c r="AM14" i="116"/>
  <c r="AM13" i="116"/>
  <c r="AM12" i="116"/>
  <c r="AM11" i="116"/>
  <c r="AM10" i="116"/>
  <c r="AM9" i="116"/>
  <c r="AM8" i="116"/>
  <c r="AM7" i="116"/>
  <c r="AM76" i="116" s="1"/>
  <c r="AM75" i="115"/>
  <c r="AM74" i="115"/>
  <c r="AM73" i="115"/>
  <c r="AM72" i="115"/>
  <c r="AM71" i="115"/>
  <c r="AM70" i="115"/>
  <c r="AM69" i="115"/>
  <c r="AM68" i="115"/>
  <c r="AM67" i="115"/>
  <c r="AM66" i="115"/>
  <c r="AM65" i="115"/>
  <c r="AM64" i="115"/>
  <c r="AM63" i="115"/>
  <c r="AM62" i="115"/>
  <c r="AM61" i="115"/>
  <c r="AM60" i="115"/>
  <c r="AM59" i="115"/>
  <c r="AM58" i="115"/>
  <c r="AM57" i="115"/>
  <c r="AM56" i="115"/>
  <c r="AM55" i="115"/>
  <c r="AM54" i="115"/>
  <c r="AM53" i="115"/>
  <c r="AM52" i="115"/>
  <c r="AM51" i="115"/>
  <c r="AM50" i="115"/>
  <c r="AM49" i="115"/>
  <c r="AM48" i="115"/>
  <c r="AM47" i="115"/>
  <c r="AM46" i="115"/>
  <c r="AM45" i="115"/>
  <c r="AM44" i="115"/>
  <c r="AM43" i="115"/>
  <c r="AM42" i="115"/>
  <c r="AM41" i="115"/>
  <c r="AM40" i="115"/>
  <c r="AM39" i="115"/>
  <c r="AM38" i="115"/>
  <c r="AM37" i="115"/>
  <c r="AM36" i="115"/>
  <c r="AM35" i="115"/>
  <c r="AM34" i="115"/>
  <c r="AM33" i="115"/>
  <c r="AM32" i="115"/>
  <c r="AM31" i="115"/>
  <c r="AM30" i="115"/>
  <c r="AM29" i="115"/>
  <c r="AM28" i="115"/>
  <c r="AM27" i="115"/>
  <c r="AM26" i="115"/>
  <c r="AM25" i="115"/>
  <c r="AM24" i="115"/>
  <c r="AM23" i="115"/>
  <c r="AM22" i="115"/>
  <c r="AM21" i="115"/>
  <c r="AM20" i="115"/>
  <c r="AM19" i="115"/>
  <c r="AM18" i="115"/>
  <c r="AM17" i="115"/>
  <c r="AM16" i="115"/>
  <c r="AM15" i="115"/>
  <c r="AM14" i="115"/>
  <c r="AM13" i="115"/>
  <c r="AM12" i="115"/>
  <c r="AM11" i="115"/>
  <c r="AM10" i="115"/>
  <c r="AM9" i="115"/>
  <c r="AM8" i="115"/>
  <c r="AM7" i="115"/>
  <c r="AM76" i="114"/>
  <c r="AO76" i="114" s="1"/>
  <c r="AM75" i="114"/>
  <c r="AM74" i="114"/>
  <c r="AM73" i="114"/>
  <c r="AM72" i="114"/>
  <c r="AM71" i="114"/>
  <c r="AM70" i="114"/>
  <c r="AM69" i="114"/>
  <c r="AM68" i="114"/>
  <c r="AM67" i="114"/>
  <c r="AM66" i="114"/>
  <c r="AM65" i="114"/>
  <c r="AM64" i="114"/>
  <c r="AM63" i="114"/>
  <c r="AM62" i="114"/>
  <c r="AM61" i="114"/>
  <c r="AM60" i="114"/>
  <c r="AM59" i="114"/>
  <c r="AM58" i="114"/>
  <c r="AM57" i="114"/>
  <c r="AM56" i="114"/>
  <c r="AM55" i="114"/>
  <c r="AM54" i="114"/>
  <c r="AM53" i="114"/>
  <c r="AM52" i="114"/>
  <c r="AM51" i="114"/>
  <c r="AM50" i="114"/>
  <c r="AM49" i="114"/>
  <c r="AM48" i="114"/>
  <c r="AM47" i="114"/>
  <c r="AM46" i="114"/>
  <c r="AM45" i="114"/>
  <c r="AM44" i="114"/>
  <c r="AM43" i="114"/>
  <c r="AM42" i="114"/>
  <c r="AM41" i="114"/>
  <c r="AM40" i="114"/>
  <c r="AM39" i="114"/>
  <c r="AM38" i="114"/>
  <c r="AM37" i="114"/>
  <c r="AM36" i="114"/>
  <c r="AM35" i="114"/>
  <c r="AM34" i="114"/>
  <c r="AM33" i="114"/>
  <c r="AM32" i="114"/>
  <c r="AM31" i="114"/>
  <c r="AM30" i="114"/>
  <c r="AM29" i="114"/>
  <c r="AM28" i="114"/>
  <c r="AM27" i="114"/>
  <c r="AM26" i="114"/>
  <c r="AM25" i="114"/>
  <c r="AM24" i="114"/>
  <c r="AM23" i="114"/>
  <c r="AM22" i="114"/>
  <c r="AM21" i="114"/>
  <c r="AM20" i="114"/>
  <c r="AM19" i="114"/>
  <c r="AM18" i="114"/>
  <c r="AM17" i="114"/>
  <c r="AM16" i="114"/>
  <c r="AM15" i="114"/>
  <c r="AM14" i="114"/>
  <c r="AM13" i="114"/>
  <c r="AM12" i="114"/>
  <c r="AM11" i="114"/>
  <c r="AM10" i="114"/>
  <c r="AM9" i="114"/>
  <c r="AM8" i="114"/>
  <c r="AM7" i="114"/>
  <c r="AM77" i="114" s="1"/>
  <c r="AM8" i="113"/>
  <c r="AM9" i="113"/>
  <c r="AM10" i="113"/>
  <c r="AM11" i="113"/>
  <c r="AM12" i="113"/>
  <c r="AM13" i="113"/>
  <c r="AM14" i="113"/>
  <c r="AM15" i="113"/>
  <c r="AM16" i="113"/>
  <c r="AM17" i="113"/>
  <c r="AM18" i="113"/>
  <c r="AM19" i="113"/>
  <c r="AM20" i="113"/>
  <c r="AM21" i="113"/>
  <c r="AM22" i="113"/>
  <c r="AM23" i="113"/>
  <c r="AM24" i="113"/>
  <c r="AM25" i="113"/>
  <c r="AM26" i="113"/>
  <c r="AM27" i="113"/>
  <c r="AM28" i="113"/>
  <c r="AM29" i="113"/>
  <c r="AM30" i="113"/>
  <c r="AM31" i="113"/>
  <c r="AM32" i="113"/>
  <c r="AM33" i="113"/>
  <c r="AM34" i="113"/>
  <c r="AM35" i="113"/>
  <c r="AM36" i="113"/>
  <c r="AM37" i="113"/>
  <c r="AM38" i="113"/>
  <c r="AM39" i="113"/>
  <c r="AM40" i="113"/>
  <c r="AM41" i="113"/>
  <c r="AM42" i="113"/>
  <c r="AM43" i="113"/>
  <c r="AM44" i="113"/>
  <c r="AM45" i="113"/>
  <c r="AM46" i="113"/>
  <c r="AM47" i="113"/>
  <c r="AM48" i="113"/>
  <c r="AM49" i="113"/>
  <c r="AM50" i="113"/>
  <c r="AM51" i="113"/>
  <c r="AM52" i="113"/>
  <c r="AM53" i="113"/>
  <c r="AM54" i="113"/>
  <c r="AM55" i="113"/>
  <c r="AM56" i="113"/>
  <c r="AM57" i="113"/>
  <c r="AM58" i="113"/>
  <c r="AM59" i="113"/>
  <c r="AM60" i="113"/>
  <c r="AM61" i="113"/>
  <c r="AM62" i="113"/>
  <c r="AM63" i="113"/>
  <c r="AM64" i="113"/>
  <c r="AM65" i="113"/>
  <c r="AM66" i="113"/>
  <c r="AM67" i="113"/>
  <c r="AM68" i="113"/>
  <c r="AM69" i="113"/>
  <c r="AM70" i="113"/>
  <c r="AM71" i="113"/>
  <c r="AM72" i="113"/>
  <c r="AM73" i="113"/>
  <c r="AM74" i="113"/>
  <c r="AM75" i="113"/>
  <c r="AM7" i="113"/>
  <c r="AM76" i="113" s="1"/>
  <c r="S40" i="46"/>
  <c r="AM76" i="115" l="1"/>
  <c r="AM76" i="119"/>
  <c r="AM76" i="118"/>
  <c r="AM76" i="120"/>
  <c r="AO76" i="117"/>
  <c r="O6" i="31" l="1"/>
  <c r="P6" i="31" s="1"/>
  <c r="Q6" i="31" s="1"/>
  <c r="R6" i="31" s="1"/>
  <c r="S6" i="31" s="1"/>
  <c r="T6" i="31" s="1"/>
  <c r="U6" i="31" s="1"/>
  <c r="V6" i="31" s="1"/>
  <c r="W6" i="31" s="1"/>
  <c r="X6" i="31" s="1"/>
  <c r="Y6" i="31" s="1"/>
  <c r="Z6" i="31" s="1"/>
  <c r="AA6" i="31" s="1"/>
  <c r="AB6" i="31" s="1"/>
  <c r="Q42" i="117"/>
  <c r="Q62" i="114"/>
  <c r="Q23" i="113"/>
  <c r="AE73" i="67" l="1"/>
  <c r="AE72" i="67"/>
  <c r="AE71" i="67"/>
  <c r="AE69" i="67"/>
  <c r="AE68" i="67"/>
  <c r="AE67" i="67"/>
  <c r="AE66" i="67"/>
  <c r="AE65" i="67"/>
  <c r="AE64" i="67"/>
  <c r="AE63" i="67"/>
  <c r="AE61" i="67"/>
  <c r="AE60" i="67"/>
  <c r="AE59" i="67"/>
  <c r="AE58" i="67"/>
  <c r="AE57" i="67"/>
  <c r="AE56" i="67"/>
  <c r="AE55" i="67"/>
  <c r="AE51" i="67"/>
  <c r="AE50" i="67"/>
  <c r="AE49" i="67"/>
  <c r="AE48" i="67"/>
  <c r="AE47" i="67"/>
  <c r="AE46" i="67"/>
  <c r="AE45" i="67"/>
  <c r="AE44" i="67"/>
  <c r="AE43" i="67"/>
  <c r="AE42" i="67"/>
  <c r="AE41" i="67"/>
  <c r="AE40" i="67"/>
  <c r="AE39" i="67"/>
  <c r="AE38" i="67"/>
  <c r="AE37" i="67"/>
  <c r="AE35" i="67"/>
  <c r="AE34" i="67"/>
  <c r="AE33" i="67"/>
  <c r="AE32" i="67"/>
  <c r="AE31" i="67"/>
  <c r="AE30" i="67"/>
  <c r="AE29" i="67"/>
  <c r="AE28" i="67"/>
  <c r="AE27" i="67"/>
  <c r="AE26" i="67"/>
  <c r="AE25" i="67"/>
  <c r="AE24" i="67"/>
  <c r="AE23" i="67"/>
  <c r="AE22" i="67"/>
  <c r="AE21" i="67"/>
  <c r="AE16" i="67"/>
  <c r="AE15" i="67"/>
  <c r="AE14" i="67"/>
  <c r="AE12" i="67"/>
  <c r="AE11" i="67"/>
  <c r="AE10" i="67"/>
  <c r="AE9" i="67"/>
  <c r="AE7" i="67"/>
  <c r="R5" i="67"/>
  <c r="S5" i="67" s="1"/>
  <c r="T5" i="67" s="1"/>
  <c r="U5" i="67" s="1"/>
  <c r="V5" i="67" s="1"/>
  <c r="W5" i="67" s="1"/>
  <c r="X5" i="67" s="1"/>
  <c r="Y5" i="67" s="1"/>
  <c r="Z5" i="67" s="1"/>
  <c r="AA5" i="67" s="1"/>
  <c r="AB5" i="67" s="1"/>
  <c r="AC5" i="67" s="1"/>
  <c r="AD5" i="67" s="1"/>
  <c r="AE5" i="67" s="1"/>
  <c r="AF5" i="67" s="1"/>
  <c r="AG5" i="67" s="1"/>
  <c r="AH5" i="67" s="1"/>
  <c r="AI5" i="67" s="1"/>
  <c r="AJ5" i="67" s="1"/>
  <c r="AK5" i="67" s="1"/>
  <c r="O73" i="67"/>
  <c r="O72" i="67"/>
  <c r="O71" i="67"/>
  <c r="O69" i="67"/>
  <c r="O68" i="67"/>
  <c r="O67" i="67"/>
  <c r="O66" i="67"/>
  <c r="O65" i="67"/>
  <c r="O64" i="67"/>
  <c r="O63" i="67"/>
  <c r="O61" i="67"/>
  <c r="O60" i="67"/>
  <c r="O59" i="67"/>
  <c r="O58" i="67"/>
  <c r="O57" i="67"/>
  <c r="O56" i="67"/>
  <c r="O55" i="67"/>
  <c r="O51" i="67"/>
  <c r="O50" i="67"/>
  <c r="O49" i="67"/>
  <c r="O48" i="67"/>
  <c r="O47" i="67"/>
  <c r="O46" i="67"/>
  <c r="O45" i="67"/>
  <c r="O44" i="67"/>
  <c r="O43" i="67"/>
  <c r="O42" i="67"/>
  <c r="O41" i="67"/>
  <c r="O40" i="67"/>
  <c r="O39" i="67"/>
  <c r="O38" i="67"/>
  <c r="O37" i="67"/>
  <c r="O35" i="67"/>
  <c r="O34" i="67"/>
  <c r="O33" i="67"/>
  <c r="O32" i="67"/>
  <c r="O31" i="67"/>
  <c r="O30" i="67"/>
  <c r="O29" i="67"/>
  <c r="O28" i="67"/>
  <c r="O27" i="67"/>
  <c r="O26" i="67"/>
  <c r="O25" i="67"/>
  <c r="O24" i="67"/>
  <c r="O22" i="67"/>
  <c r="O21" i="67"/>
  <c r="O16" i="67"/>
  <c r="O15" i="67"/>
  <c r="O14" i="67"/>
  <c r="O12" i="67"/>
  <c r="O11" i="67"/>
  <c r="O10" i="67"/>
  <c r="O9" i="67"/>
  <c r="O7" i="67"/>
  <c r="AG68" i="80"/>
  <c r="AG73" i="80"/>
  <c r="AG72" i="80"/>
  <c r="AG71" i="80"/>
  <c r="AG70" i="80"/>
  <c r="AG69" i="80"/>
  <c r="AG67" i="80"/>
  <c r="AG66" i="80"/>
  <c r="AG65" i="80"/>
  <c r="AG64" i="80"/>
  <c r="AG63" i="80"/>
  <c r="AG62" i="80"/>
  <c r="AG61" i="80"/>
  <c r="AG60" i="80"/>
  <c r="AG59" i="80"/>
  <c r="AG58" i="80"/>
  <c r="AG57" i="80"/>
  <c r="AG56" i="80"/>
  <c r="AG55" i="80"/>
  <c r="AG54" i="80"/>
  <c r="AG53" i="80"/>
  <c r="AG52" i="80"/>
  <c r="AG51" i="80"/>
  <c r="AG50" i="80"/>
  <c r="AG49" i="80"/>
  <c r="AG48" i="80"/>
  <c r="AG47" i="80"/>
  <c r="AG46" i="80"/>
  <c r="AG45" i="80"/>
  <c r="AG44" i="80"/>
  <c r="AG43" i="80"/>
  <c r="AG42" i="80"/>
  <c r="AG41" i="80"/>
  <c r="AG40" i="80"/>
  <c r="AG39" i="80"/>
  <c r="AG38" i="80"/>
  <c r="AG37" i="80"/>
  <c r="AG36" i="80"/>
  <c r="AG35" i="80"/>
  <c r="AG34" i="80"/>
  <c r="AG33" i="80"/>
  <c r="AG32" i="80"/>
  <c r="AG31" i="80"/>
  <c r="AG30" i="80"/>
  <c r="AG29" i="80"/>
  <c r="AG28" i="80"/>
  <c r="AG27" i="80"/>
  <c r="AG26" i="80"/>
  <c r="AG25" i="80"/>
  <c r="AG24" i="80"/>
  <c r="AG23" i="80"/>
  <c r="AG21" i="80"/>
  <c r="AG20" i="80"/>
  <c r="AG19" i="80"/>
  <c r="AG18" i="80"/>
  <c r="AG17" i="80"/>
  <c r="AG16" i="80"/>
  <c r="AG15" i="80"/>
  <c r="AG14" i="80"/>
  <c r="AG13" i="80"/>
  <c r="AG12" i="80"/>
  <c r="AG11" i="80"/>
  <c r="AG10" i="80"/>
  <c r="AG9" i="80"/>
  <c r="AG8" i="80"/>
  <c r="AG7" i="80"/>
  <c r="AG6" i="80"/>
  <c r="AG5" i="80"/>
  <c r="R73" i="80"/>
  <c r="R60" i="80"/>
  <c r="R72" i="80"/>
  <c r="R71" i="80"/>
  <c r="R70" i="80"/>
  <c r="R69" i="80"/>
  <c r="R68" i="80"/>
  <c r="R67" i="80"/>
  <c r="R66" i="80"/>
  <c r="R65" i="80"/>
  <c r="R64" i="80"/>
  <c r="R63" i="80"/>
  <c r="R62" i="80"/>
  <c r="R61" i="80"/>
  <c r="R59" i="80"/>
  <c r="R58" i="80"/>
  <c r="R57" i="80"/>
  <c r="R56" i="80"/>
  <c r="R55" i="80"/>
  <c r="R54" i="80"/>
  <c r="R53" i="80"/>
  <c r="R52" i="80"/>
  <c r="R51" i="80"/>
  <c r="R50" i="80"/>
  <c r="R49" i="80"/>
  <c r="R48" i="80"/>
  <c r="R47" i="80"/>
  <c r="R46" i="80"/>
  <c r="R45" i="80"/>
  <c r="R44" i="80"/>
  <c r="R43" i="80"/>
  <c r="R42" i="80"/>
  <c r="R41" i="80"/>
  <c r="R40" i="80"/>
  <c r="R39" i="80"/>
  <c r="R38" i="80"/>
  <c r="R37" i="80"/>
  <c r="R36" i="80"/>
  <c r="R35" i="80"/>
  <c r="R34" i="80"/>
  <c r="R33" i="80"/>
  <c r="R32" i="80"/>
  <c r="R31" i="80"/>
  <c r="R30" i="80"/>
  <c r="R29" i="80"/>
  <c r="R28" i="80"/>
  <c r="R27" i="80"/>
  <c r="R26" i="80"/>
  <c r="R25" i="80"/>
  <c r="R24" i="80"/>
  <c r="R23" i="80"/>
  <c r="R21" i="80"/>
  <c r="R20" i="80"/>
  <c r="R19" i="80"/>
  <c r="R18" i="80"/>
  <c r="R17" i="80"/>
  <c r="R16" i="80"/>
  <c r="R15" i="80"/>
  <c r="R14" i="80"/>
  <c r="R13" i="80"/>
  <c r="R12" i="80"/>
  <c r="R11" i="80"/>
  <c r="R10" i="80"/>
  <c r="R9" i="80"/>
  <c r="R8" i="80"/>
  <c r="R7" i="80"/>
  <c r="R6" i="80"/>
  <c r="R5" i="80"/>
  <c r="AG44" i="76"/>
  <c r="AG14" i="76"/>
  <c r="AG13" i="76"/>
  <c r="AG12" i="76"/>
  <c r="AG11" i="76"/>
  <c r="AG10" i="76"/>
  <c r="AG9" i="76"/>
  <c r="AG8" i="76"/>
  <c r="AG7" i="76"/>
  <c r="AG6" i="76"/>
  <c r="AG5" i="76"/>
  <c r="AG64" i="76" l="1"/>
  <c r="AG73" i="76"/>
  <c r="AG72" i="76"/>
  <c r="AG71" i="76"/>
  <c r="AG70" i="76"/>
  <c r="AG69" i="76"/>
  <c r="AG68" i="76"/>
  <c r="AG66" i="76"/>
  <c r="AG65" i="76"/>
  <c r="AG63" i="76"/>
  <c r="AG62" i="76"/>
  <c r="AG61" i="76"/>
  <c r="AG60" i="76"/>
  <c r="AG59" i="76"/>
  <c r="AG58" i="76"/>
  <c r="AG57" i="76"/>
  <c r="AG56" i="76"/>
  <c r="AG55" i="76"/>
  <c r="AG54" i="76"/>
  <c r="AG53" i="76"/>
  <c r="AG52" i="76"/>
  <c r="AG51" i="76"/>
  <c r="AG50" i="76"/>
  <c r="AG49" i="76"/>
  <c r="AG48" i="76"/>
  <c r="AG47" i="76"/>
  <c r="AG46" i="76"/>
  <c r="AG45" i="76"/>
  <c r="AG43" i="76"/>
  <c r="AG42" i="76"/>
  <c r="AG41" i="76"/>
  <c r="AG40" i="76"/>
  <c r="AG39" i="76"/>
  <c r="AG38" i="76"/>
  <c r="AG37" i="76"/>
  <c r="AG36" i="76"/>
  <c r="AG35" i="76"/>
  <c r="AG34" i="76"/>
  <c r="AG33" i="76"/>
  <c r="AG32" i="76"/>
  <c r="AG31" i="76"/>
  <c r="AG30" i="76"/>
  <c r="AG29" i="76"/>
  <c r="AG28" i="76"/>
  <c r="AG27" i="76"/>
  <c r="AG26" i="76"/>
  <c r="AG25" i="76"/>
  <c r="AG24" i="76"/>
  <c r="AG23" i="76"/>
  <c r="AG22" i="76"/>
  <c r="AG21" i="76"/>
  <c r="AG20" i="76"/>
  <c r="AG19" i="76"/>
  <c r="AG18" i="76"/>
  <c r="AG17" i="76"/>
  <c r="AG15" i="76"/>
  <c r="R46" i="76"/>
  <c r="R35" i="76"/>
  <c r="R64" i="76"/>
  <c r="R73" i="76"/>
  <c r="R72" i="76"/>
  <c r="R71" i="76"/>
  <c r="R70" i="76"/>
  <c r="R69" i="76"/>
  <c r="R68" i="76"/>
  <c r="R66" i="76"/>
  <c r="R65" i="76"/>
  <c r="R63" i="76"/>
  <c r="R62" i="76"/>
  <c r="R61" i="76"/>
  <c r="R60" i="76"/>
  <c r="R59" i="76"/>
  <c r="R58" i="76"/>
  <c r="R57" i="76"/>
  <c r="R56" i="76"/>
  <c r="R55" i="76"/>
  <c r="R54" i="76"/>
  <c r="R53" i="76"/>
  <c r="R52" i="76"/>
  <c r="R51" i="76"/>
  <c r="R50" i="76"/>
  <c r="R49" i="76"/>
  <c r="R48" i="76"/>
  <c r="R47" i="76"/>
  <c r="R45" i="76"/>
  <c r="R44" i="76"/>
  <c r="R43" i="76"/>
  <c r="R42" i="76"/>
  <c r="R41" i="76"/>
  <c r="R40" i="76"/>
  <c r="R39" i="76"/>
  <c r="R38" i="76"/>
  <c r="R37" i="76"/>
  <c r="R36" i="76"/>
  <c r="R34" i="76"/>
  <c r="R33" i="76"/>
  <c r="R32" i="76"/>
  <c r="R31" i="76"/>
  <c r="R30" i="76"/>
  <c r="R29" i="76"/>
  <c r="R28" i="76"/>
  <c r="R27" i="76"/>
  <c r="R26" i="76"/>
  <c r="R25" i="76"/>
  <c r="R24" i="76"/>
  <c r="R23" i="76"/>
  <c r="R22" i="76"/>
  <c r="R21" i="76"/>
  <c r="R20" i="76"/>
  <c r="R19" i="76"/>
  <c r="R18" i="76"/>
  <c r="R17" i="76"/>
  <c r="R15" i="76"/>
  <c r="R14" i="76"/>
  <c r="R13" i="76"/>
  <c r="R12" i="76"/>
  <c r="R11" i="76"/>
  <c r="R10" i="76"/>
  <c r="R9" i="76"/>
  <c r="R8" i="76"/>
  <c r="R7" i="76"/>
  <c r="R6" i="76"/>
  <c r="R5" i="76"/>
  <c r="AF33" i="120"/>
  <c r="AF16" i="120"/>
  <c r="Q33" i="120"/>
  <c r="Q16" i="120"/>
  <c r="AF55" i="119"/>
  <c r="AF34" i="119"/>
  <c r="Q55" i="119"/>
  <c r="Q34" i="119"/>
  <c r="AF33" i="118"/>
  <c r="AF16" i="118"/>
  <c r="AF15" i="118"/>
  <c r="Q33" i="118"/>
  <c r="Q16" i="118"/>
  <c r="Q15" i="118"/>
  <c r="S35" i="46"/>
  <c r="S28" i="46"/>
  <c r="AH59" i="117"/>
  <c r="AH58" i="117"/>
  <c r="AH51" i="117"/>
  <c r="AH50" i="117"/>
  <c r="AH44" i="117"/>
  <c r="AH42" i="117"/>
  <c r="AH32" i="117"/>
  <c r="Q59" i="117"/>
  <c r="Q58" i="117"/>
  <c r="Q51" i="117"/>
  <c r="Q50" i="117"/>
  <c r="Q44" i="117"/>
  <c r="Q32" i="117"/>
  <c r="AF58" i="116"/>
  <c r="AF51" i="116"/>
  <c r="AF50" i="116"/>
  <c r="AF44" i="116"/>
  <c r="AF42" i="116"/>
  <c r="AF38" i="116"/>
  <c r="AF32" i="116"/>
  <c r="Q58" i="116"/>
  <c r="Q51" i="116"/>
  <c r="Q50" i="116"/>
  <c r="Q44" i="116"/>
  <c r="Q42" i="116"/>
  <c r="Q38" i="116"/>
  <c r="Q32" i="116"/>
  <c r="AF58" i="115" l="1"/>
  <c r="AF54" i="115"/>
  <c r="AF51" i="115"/>
  <c r="AF50" i="115"/>
  <c r="AF42" i="115"/>
  <c r="AF32" i="115"/>
  <c r="Q76" i="115"/>
  <c r="Q58" i="115"/>
  <c r="Q54" i="115"/>
  <c r="Q51" i="115"/>
  <c r="Q50" i="115"/>
  <c r="Q42" i="115"/>
  <c r="Q32" i="115"/>
  <c r="AH76" i="114"/>
  <c r="AF71" i="114"/>
  <c r="AF62" i="114"/>
  <c r="AF43" i="114"/>
  <c r="AF37" i="114"/>
  <c r="AF20" i="114"/>
  <c r="Q76" i="114"/>
  <c r="Q71" i="114"/>
  <c r="Q43" i="114"/>
  <c r="Q37" i="114"/>
  <c r="Q20" i="114"/>
  <c r="AF75" i="113"/>
  <c r="AF74" i="113"/>
  <c r="AF73" i="113"/>
  <c r="AF67" i="113"/>
  <c r="AF38" i="113"/>
  <c r="AF30" i="113"/>
  <c r="AF25" i="113"/>
  <c r="AF23" i="113"/>
  <c r="Q75" i="113"/>
  <c r="Q74" i="113"/>
  <c r="Q73" i="113"/>
  <c r="Q67" i="113"/>
  <c r="Q38" i="113"/>
  <c r="Q30" i="113"/>
  <c r="Q25" i="113"/>
  <c r="S29" i="46"/>
  <c r="R15" i="130"/>
  <c r="R17" i="130"/>
  <c r="R13" i="130"/>
  <c r="R12" i="130"/>
  <c r="R10" i="130"/>
  <c r="S23" i="46"/>
  <c r="S17" i="46"/>
  <c r="S11" i="46"/>
  <c r="S12" i="46"/>
  <c r="S13" i="46"/>
  <c r="S14" i="46"/>
  <c r="S15" i="46"/>
  <c r="S16" i="46"/>
  <c r="S10" i="46"/>
  <c r="AJ35" i="46"/>
  <c r="AJ29" i="46"/>
  <c r="AJ28" i="46"/>
  <c r="AJ23" i="46"/>
  <c r="AJ17" i="46"/>
  <c r="AJ11" i="46"/>
  <c r="AJ12" i="46"/>
  <c r="AJ13" i="46"/>
  <c r="AJ14" i="46"/>
  <c r="AJ15" i="46"/>
  <c r="AJ16" i="46"/>
  <c r="AJ10" i="46"/>
  <c r="Y75" i="33" l="1"/>
  <c r="Y74" i="33"/>
  <c r="Y73" i="33"/>
  <c r="Y72" i="33"/>
  <c r="Y71" i="33"/>
  <c r="Y70" i="33"/>
  <c r="Y69" i="33"/>
  <c r="Y68" i="33"/>
  <c r="Y67" i="33"/>
  <c r="Y66" i="33"/>
  <c r="Y65" i="33"/>
  <c r="Y64" i="33"/>
  <c r="Y63" i="33"/>
  <c r="Y62" i="33"/>
  <c r="Y61" i="33"/>
  <c r="Y60" i="33"/>
  <c r="Y59" i="33"/>
  <c r="Y58" i="33"/>
  <c r="Y57" i="33"/>
  <c r="Y56" i="33"/>
  <c r="Y55" i="33"/>
  <c r="Y54" i="33"/>
  <c r="Y53" i="33"/>
  <c r="Y52" i="33"/>
  <c r="Y51" i="33"/>
  <c r="Y50" i="33"/>
  <c r="Y49" i="33"/>
  <c r="Y48" i="33"/>
  <c r="Y47" i="33"/>
  <c r="Y46" i="33"/>
  <c r="Y45" i="33"/>
  <c r="Y44" i="33"/>
  <c r="Y43" i="33"/>
  <c r="Y42" i="33"/>
  <c r="Y41" i="33"/>
  <c r="Y40" i="33"/>
  <c r="Y39" i="33"/>
  <c r="Y38" i="33"/>
  <c r="Y37" i="33"/>
  <c r="Y36" i="33"/>
  <c r="Y35" i="33"/>
  <c r="Y34" i="33"/>
  <c r="Y33" i="33"/>
  <c r="Y32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9" i="33"/>
  <c r="Y18" i="33"/>
  <c r="Y17" i="33"/>
  <c r="Y16" i="33"/>
  <c r="Y15" i="33"/>
  <c r="Y14" i="33"/>
  <c r="Y13" i="33"/>
  <c r="Y12" i="33"/>
  <c r="Y11" i="33"/>
  <c r="Y10" i="33"/>
  <c r="Y9" i="33"/>
  <c r="Y8" i="33"/>
  <c r="Y7" i="33"/>
  <c r="Y76" i="33" l="1"/>
  <c r="W75" i="33"/>
  <c r="W74" i="33"/>
  <c r="W73" i="33"/>
  <c r="W72" i="33"/>
  <c r="W71" i="33"/>
  <c r="W70" i="33"/>
  <c r="W69" i="33"/>
  <c r="W68" i="33"/>
  <c r="W67" i="33"/>
  <c r="W66" i="33"/>
  <c r="W65" i="33"/>
  <c r="W64" i="33"/>
  <c r="W63" i="33"/>
  <c r="W62" i="33"/>
  <c r="W61" i="33"/>
  <c r="W60" i="33"/>
  <c r="W59" i="33"/>
  <c r="W58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38" i="33"/>
  <c r="W37" i="33"/>
  <c r="W36" i="33"/>
  <c r="W35" i="33"/>
  <c r="W34" i="33"/>
  <c r="W33" i="33"/>
  <c r="W32" i="33"/>
  <c r="W31" i="33"/>
  <c r="W30" i="33"/>
  <c r="W2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W7" i="33"/>
  <c r="Q5" i="100" l="1"/>
  <c r="R5" i="100"/>
  <c r="E15" i="81" l="1"/>
  <c r="Q85" i="2" l="1"/>
  <c r="Q87" i="2" s="1"/>
  <c r="E18" i="81" l="1"/>
  <c r="E17" i="81"/>
  <c r="D72" i="81"/>
  <c r="D89" i="81" l="1"/>
  <c r="D91" i="81" s="1"/>
  <c r="P18" i="130" l="1"/>
  <c r="P22" i="130" s="1"/>
  <c r="O18" i="130"/>
  <c r="E77" i="81" s="1"/>
  <c r="C18" i="130"/>
  <c r="C22" i="130" s="1"/>
  <c r="G17" i="130"/>
  <c r="R16" i="130"/>
  <c r="G16" i="130"/>
  <c r="G15" i="130"/>
  <c r="R14" i="130"/>
  <c r="G14" i="130"/>
  <c r="G13" i="130"/>
  <c r="G12" i="130"/>
  <c r="R11" i="130"/>
  <c r="G11" i="130"/>
  <c r="G10" i="130"/>
  <c r="D9" i="130"/>
  <c r="E9" i="130" s="1"/>
  <c r="F9" i="130" s="1"/>
  <c r="G9" i="130" s="1"/>
  <c r="H9" i="130" s="1"/>
  <c r="M9" i="130" s="1"/>
  <c r="N9" i="130" s="1"/>
  <c r="O9" i="130" s="1"/>
  <c r="P9" i="130" s="1"/>
  <c r="Q9" i="130" s="1"/>
  <c r="T9" i="130" s="1"/>
  <c r="O22" i="130" l="1"/>
  <c r="R18" i="130"/>
  <c r="G18" i="130"/>
  <c r="G22" i="130" s="1"/>
  <c r="H63" i="1" l="1"/>
  <c r="H6" i="25" l="1"/>
  <c r="E6" i="25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F76" i="1" l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D76" i="1" l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AA68" i="31" l="1"/>
  <c r="AA67" i="31"/>
  <c r="AA66" i="31"/>
  <c r="AA65" i="31"/>
  <c r="AA64" i="31"/>
  <c r="AA63" i="31"/>
  <c r="AA62" i="31"/>
  <c r="AA61" i="31"/>
  <c r="AA60" i="31"/>
  <c r="AA59" i="31"/>
  <c r="AA58" i="31"/>
  <c r="AA57" i="31"/>
  <c r="AA56" i="31"/>
  <c r="AA55" i="31"/>
  <c r="AA54" i="31"/>
  <c r="AA53" i="31"/>
  <c r="AA52" i="31"/>
  <c r="AA51" i="31"/>
  <c r="AA50" i="31"/>
  <c r="AA49" i="31"/>
  <c r="AA48" i="31"/>
  <c r="AA47" i="31"/>
  <c r="AA46" i="31"/>
  <c r="AA45" i="31"/>
  <c r="AA44" i="31"/>
  <c r="AA43" i="31"/>
  <c r="AA42" i="31"/>
  <c r="AA41" i="31"/>
  <c r="AA40" i="3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AA22" i="31"/>
  <c r="AA21" i="31"/>
  <c r="AA20" i="31"/>
  <c r="AA19" i="31"/>
  <c r="AA18" i="31"/>
  <c r="AA17" i="31"/>
  <c r="AA16" i="31"/>
  <c r="AA15" i="31"/>
  <c r="AA14" i="31"/>
  <c r="AA13" i="31"/>
  <c r="AA12" i="31"/>
  <c r="AA9" i="31"/>
  <c r="Q69" i="31"/>
  <c r="Q70" i="31" s="1"/>
  <c r="S69" i="31"/>
  <c r="S70" i="31" s="1"/>
  <c r="AA69" i="31" l="1"/>
  <c r="AA70" i="31"/>
  <c r="I9" i="5" l="1"/>
  <c r="H9" i="5"/>
  <c r="I8" i="5"/>
  <c r="H8" i="5"/>
  <c r="M23" i="31" l="1"/>
  <c r="O78" i="80" l="1"/>
  <c r="O79" i="76"/>
  <c r="N80" i="120"/>
  <c r="N80" i="119"/>
  <c r="N80" i="118"/>
  <c r="N80" i="117"/>
  <c r="N80" i="116"/>
  <c r="N81" i="115"/>
  <c r="O81" i="114"/>
  <c r="N82" i="113"/>
  <c r="S30" i="46" l="1"/>
  <c r="Z35" i="46" l="1"/>
  <c r="Z28" i="46"/>
  <c r="Z23" i="46"/>
  <c r="Z17" i="46"/>
  <c r="Z16" i="46"/>
  <c r="Z15" i="46"/>
  <c r="Z14" i="46"/>
  <c r="Z13" i="46"/>
  <c r="Z12" i="46"/>
  <c r="Z11" i="46"/>
  <c r="Z10" i="46"/>
  <c r="X29" i="46"/>
  <c r="X28" i="46"/>
  <c r="X23" i="46"/>
  <c r="X17" i="46"/>
  <c r="X16" i="46"/>
  <c r="X15" i="46"/>
  <c r="X14" i="46"/>
  <c r="X13" i="46"/>
  <c r="X12" i="46"/>
  <c r="X11" i="46"/>
  <c r="X10" i="46"/>
  <c r="AN7" i="120" l="1"/>
  <c r="AN76" i="120" s="1"/>
  <c r="AN7" i="119"/>
  <c r="AN7" i="118"/>
  <c r="AP7" i="117"/>
  <c r="AN75" i="116"/>
  <c r="AN74" i="116"/>
  <c r="AN73" i="116"/>
  <c r="AN72" i="116"/>
  <c r="AN71" i="116"/>
  <c r="AN70" i="116"/>
  <c r="AN69" i="116"/>
  <c r="AN68" i="116"/>
  <c r="AN67" i="116"/>
  <c r="AN66" i="116"/>
  <c r="AN65" i="116"/>
  <c r="AN64" i="116"/>
  <c r="AN63" i="116"/>
  <c r="AN62" i="116"/>
  <c r="AN61" i="116"/>
  <c r="AN60" i="116"/>
  <c r="AN59" i="116"/>
  <c r="AN58" i="116"/>
  <c r="AN57" i="116"/>
  <c r="AN56" i="116"/>
  <c r="AN55" i="116"/>
  <c r="AN54" i="116"/>
  <c r="AN53" i="116"/>
  <c r="AN52" i="116"/>
  <c r="AN51" i="116"/>
  <c r="AN50" i="116"/>
  <c r="AN49" i="116"/>
  <c r="AN48" i="116"/>
  <c r="AN47" i="116"/>
  <c r="AN46" i="116"/>
  <c r="AN45" i="116"/>
  <c r="AN44" i="116"/>
  <c r="AN43" i="116"/>
  <c r="AN42" i="116"/>
  <c r="AN41" i="116"/>
  <c r="AN40" i="116"/>
  <c r="AN39" i="116"/>
  <c r="AN38" i="116"/>
  <c r="AN37" i="116"/>
  <c r="AN36" i="116"/>
  <c r="AN35" i="116"/>
  <c r="AN34" i="116"/>
  <c r="AN33" i="116"/>
  <c r="AN32" i="116"/>
  <c r="AN31" i="116"/>
  <c r="AN30" i="116"/>
  <c r="AN29" i="116"/>
  <c r="AN28" i="116"/>
  <c r="AN27" i="116"/>
  <c r="AN26" i="116"/>
  <c r="AN25" i="116"/>
  <c r="AN24" i="116"/>
  <c r="AN23" i="116"/>
  <c r="AN22" i="116"/>
  <c r="AN21" i="116"/>
  <c r="AN20" i="116"/>
  <c r="AN19" i="116"/>
  <c r="AN18" i="116"/>
  <c r="AN17" i="116"/>
  <c r="AN16" i="116"/>
  <c r="AN15" i="116"/>
  <c r="AN14" i="116"/>
  <c r="AN13" i="116"/>
  <c r="AN12" i="116"/>
  <c r="AN11" i="116"/>
  <c r="AN10" i="116"/>
  <c r="AN9" i="116"/>
  <c r="AN8" i="116"/>
  <c r="AN7" i="116"/>
  <c r="AN75" i="115"/>
  <c r="AN74" i="115"/>
  <c r="AN73" i="115"/>
  <c r="AN72" i="115"/>
  <c r="AN71" i="115"/>
  <c r="AN70" i="115"/>
  <c r="AN69" i="115"/>
  <c r="AN68" i="115"/>
  <c r="AN67" i="115"/>
  <c r="AN66" i="115"/>
  <c r="AN65" i="115"/>
  <c r="AN64" i="115"/>
  <c r="AN63" i="115"/>
  <c r="AN62" i="115"/>
  <c r="AN61" i="115"/>
  <c r="AN60" i="115"/>
  <c r="AN59" i="115"/>
  <c r="AN58" i="115"/>
  <c r="AN57" i="115"/>
  <c r="AN56" i="115"/>
  <c r="AN55" i="115"/>
  <c r="AN54" i="115"/>
  <c r="AN53" i="115"/>
  <c r="AN52" i="115"/>
  <c r="AN51" i="115"/>
  <c r="AN50" i="115"/>
  <c r="AN49" i="115"/>
  <c r="AN48" i="115"/>
  <c r="AN47" i="115"/>
  <c r="AN46" i="115"/>
  <c r="AN45" i="115"/>
  <c r="AN44" i="115"/>
  <c r="AN43" i="115"/>
  <c r="AN42" i="115"/>
  <c r="AN41" i="115"/>
  <c r="AN40" i="115"/>
  <c r="AN39" i="115"/>
  <c r="AN38" i="115"/>
  <c r="AN37" i="115"/>
  <c r="AN36" i="115"/>
  <c r="AN35" i="115"/>
  <c r="AN34" i="115"/>
  <c r="AN33" i="115"/>
  <c r="AN32" i="115"/>
  <c r="AN31" i="115"/>
  <c r="AN30" i="115"/>
  <c r="AN29" i="115"/>
  <c r="AN28" i="115"/>
  <c r="AN27" i="115"/>
  <c r="AN26" i="115"/>
  <c r="AN25" i="115"/>
  <c r="AN24" i="115"/>
  <c r="AN23" i="115"/>
  <c r="AN22" i="115"/>
  <c r="AN21" i="115"/>
  <c r="AN20" i="115"/>
  <c r="AN19" i="115"/>
  <c r="AN18" i="115"/>
  <c r="AN17" i="115"/>
  <c r="AN16" i="115"/>
  <c r="AN15" i="115"/>
  <c r="AN14" i="115"/>
  <c r="AN13" i="115"/>
  <c r="AN12" i="115"/>
  <c r="AN11" i="115"/>
  <c r="AN10" i="115"/>
  <c r="AN9" i="115"/>
  <c r="AN8" i="115"/>
  <c r="AN7" i="115"/>
  <c r="AN76" i="114"/>
  <c r="AN75" i="114"/>
  <c r="AN74" i="114"/>
  <c r="AN73" i="114"/>
  <c r="AN72" i="114"/>
  <c r="AN71" i="114"/>
  <c r="AN70" i="114"/>
  <c r="AN69" i="114"/>
  <c r="AN68" i="114"/>
  <c r="AN67" i="114"/>
  <c r="AN66" i="114"/>
  <c r="AN65" i="114"/>
  <c r="AN64" i="114"/>
  <c r="AN63" i="114"/>
  <c r="AN62" i="114"/>
  <c r="AN61" i="114"/>
  <c r="AN60" i="114"/>
  <c r="AN59" i="114"/>
  <c r="AN58" i="114"/>
  <c r="AN57" i="114"/>
  <c r="AN56" i="114"/>
  <c r="AN55" i="114"/>
  <c r="AN54" i="114"/>
  <c r="AN53" i="114"/>
  <c r="AN52" i="114"/>
  <c r="AN51" i="114"/>
  <c r="AN50" i="114"/>
  <c r="AN49" i="114"/>
  <c r="AN48" i="114"/>
  <c r="AN47" i="114"/>
  <c r="AN46" i="114"/>
  <c r="AN45" i="114"/>
  <c r="AN44" i="114"/>
  <c r="AN43" i="114"/>
  <c r="AN42" i="114"/>
  <c r="AN41" i="114"/>
  <c r="AN40" i="114"/>
  <c r="AN39" i="114"/>
  <c r="AN38" i="114"/>
  <c r="AN37" i="114"/>
  <c r="AN36" i="114"/>
  <c r="AN35" i="114"/>
  <c r="AN34" i="114"/>
  <c r="AN33" i="114"/>
  <c r="AN32" i="114"/>
  <c r="AN31" i="114"/>
  <c r="AN30" i="114"/>
  <c r="AN29" i="114"/>
  <c r="AN28" i="114"/>
  <c r="AN27" i="114"/>
  <c r="AN26" i="114"/>
  <c r="AN25" i="114"/>
  <c r="AN24" i="114"/>
  <c r="AN23" i="114"/>
  <c r="AN22" i="114"/>
  <c r="AN21" i="114"/>
  <c r="AN20" i="114"/>
  <c r="AN19" i="114"/>
  <c r="AN18" i="114"/>
  <c r="AN17" i="114"/>
  <c r="AN16" i="114"/>
  <c r="AN15" i="114"/>
  <c r="AN14" i="114"/>
  <c r="AN13" i="114"/>
  <c r="AN12" i="114"/>
  <c r="AN11" i="114"/>
  <c r="AN10" i="114"/>
  <c r="AN9" i="114"/>
  <c r="AN8" i="114"/>
  <c r="AN7" i="114"/>
  <c r="AM74" i="76"/>
  <c r="AM74" i="80"/>
  <c r="AL76" i="114"/>
  <c r="AD52" i="46"/>
  <c r="AC52" i="46"/>
  <c r="Z52" i="46"/>
  <c r="Y52" i="46"/>
  <c r="O52" i="46"/>
  <c r="N52" i="46"/>
  <c r="K52" i="46"/>
  <c r="J52" i="46"/>
  <c r="AN75" i="113"/>
  <c r="AN74" i="113"/>
  <c r="AN73" i="113"/>
  <c r="AN72" i="113"/>
  <c r="AN71" i="113"/>
  <c r="AN70" i="113"/>
  <c r="AN69" i="113"/>
  <c r="AN68" i="113"/>
  <c r="AN67" i="113"/>
  <c r="AN66" i="113"/>
  <c r="AN65" i="113"/>
  <c r="AN64" i="113"/>
  <c r="AN63" i="113"/>
  <c r="AN62" i="113"/>
  <c r="AN61" i="113"/>
  <c r="AN60" i="113"/>
  <c r="AN59" i="113"/>
  <c r="AN58" i="113"/>
  <c r="AN57" i="113"/>
  <c r="AN56" i="113"/>
  <c r="AN55" i="113"/>
  <c r="AN54" i="113"/>
  <c r="AN53" i="113"/>
  <c r="AN52" i="113"/>
  <c r="AN51" i="113"/>
  <c r="AN50" i="113"/>
  <c r="AN49" i="113"/>
  <c r="AN48" i="113"/>
  <c r="AN47" i="113"/>
  <c r="AN46" i="113"/>
  <c r="AN45" i="113"/>
  <c r="AN44" i="113"/>
  <c r="AN43" i="113"/>
  <c r="AN42" i="113"/>
  <c r="AN41" i="113"/>
  <c r="AN40" i="113"/>
  <c r="AN39" i="113"/>
  <c r="AN38" i="113"/>
  <c r="AN37" i="113"/>
  <c r="AN36" i="113"/>
  <c r="AN35" i="113"/>
  <c r="AN34" i="113"/>
  <c r="AN33" i="113"/>
  <c r="AN32" i="113"/>
  <c r="AN31" i="113"/>
  <c r="AN30" i="113"/>
  <c r="AN29" i="113"/>
  <c r="AN28" i="113"/>
  <c r="AN27" i="113"/>
  <c r="AN26" i="113"/>
  <c r="AN25" i="113"/>
  <c r="AN24" i="113"/>
  <c r="AN23" i="113"/>
  <c r="AN22" i="113"/>
  <c r="AN21" i="113"/>
  <c r="AN20" i="113"/>
  <c r="AN19" i="113"/>
  <c r="AN18" i="113"/>
  <c r="AN17" i="113"/>
  <c r="AN16" i="113"/>
  <c r="AN15" i="113"/>
  <c r="AN14" i="113"/>
  <c r="AN13" i="113"/>
  <c r="AN12" i="113"/>
  <c r="AN11" i="113"/>
  <c r="AN10" i="113"/>
  <c r="AN9" i="113"/>
  <c r="AN8" i="113"/>
  <c r="AN7" i="113"/>
  <c r="Z29" i="46"/>
  <c r="AN76" i="116" l="1"/>
  <c r="AP76" i="117"/>
  <c r="AN76" i="118"/>
  <c r="AN76" i="119"/>
  <c r="AN77" i="114"/>
  <c r="AN76" i="113"/>
  <c r="AN76" i="115"/>
  <c r="AE75" i="67"/>
  <c r="AE74" i="67"/>
  <c r="AE70" i="67"/>
  <c r="AE62" i="67"/>
  <c r="AE54" i="67"/>
  <c r="AE53" i="67"/>
  <c r="AE52" i="67"/>
  <c r="AE36" i="67"/>
  <c r="AE20" i="67"/>
  <c r="AE19" i="67"/>
  <c r="AE18" i="67"/>
  <c r="AE17" i="67"/>
  <c r="AE13" i="67"/>
  <c r="AE8" i="67"/>
  <c r="O75" i="67"/>
  <c r="O74" i="67"/>
  <c r="O70" i="67"/>
  <c r="O62" i="67"/>
  <c r="O54" i="67"/>
  <c r="O53" i="67"/>
  <c r="O52" i="67"/>
  <c r="O36" i="67"/>
  <c r="O20" i="67"/>
  <c r="O19" i="67"/>
  <c r="O18" i="67"/>
  <c r="O17" i="67"/>
  <c r="O13" i="67"/>
  <c r="O8" i="67"/>
  <c r="O79" i="67" s="1"/>
  <c r="O81" i="67" s="1"/>
  <c r="Y75" i="67"/>
  <c r="W75" i="67"/>
  <c r="Y74" i="67"/>
  <c r="W74" i="67"/>
  <c r="Y73" i="67"/>
  <c r="W73" i="67"/>
  <c r="Y72" i="67"/>
  <c r="W72" i="67"/>
  <c r="Y71" i="67"/>
  <c r="W71" i="67"/>
  <c r="Y70" i="67"/>
  <c r="W70" i="67"/>
  <c r="Y69" i="67"/>
  <c r="W69" i="67"/>
  <c r="Y68" i="67"/>
  <c r="W68" i="67"/>
  <c r="Y67" i="67"/>
  <c r="W67" i="67"/>
  <c r="Y66" i="67"/>
  <c r="W66" i="67"/>
  <c r="Y65" i="67"/>
  <c r="W65" i="67"/>
  <c r="Y64" i="67"/>
  <c r="W64" i="67"/>
  <c r="Y63" i="67"/>
  <c r="W63" i="67"/>
  <c r="Y62" i="67"/>
  <c r="W62" i="67"/>
  <c r="Y61" i="67"/>
  <c r="W61" i="67"/>
  <c r="Y60" i="67"/>
  <c r="W60" i="67"/>
  <c r="Y59" i="67"/>
  <c r="W59" i="67"/>
  <c r="Y58" i="67"/>
  <c r="W58" i="67"/>
  <c r="Y57" i="67"/>
  <c r="W57" i="67"/>
  <c r="Y56" i="67"/>
  <c r="W56" i="67"/>
  <c r="Y55" i="67"/>
  <c r="W55" i="67"/>
  <c r="Y54" i="67"/>
  <c r="W54" i="67"/>
  <c r="Y53" i="67"/>
  <c r="W53" i="67"/>
  <c r="Y52" i="67"/>
  <c r="W52" i="67"/>
  <c r="Y51" i="67"/>
  <c r="W51" i="67"/>
  <c r="Y50" i="67"/>
  <c r="W50" i="67"/>
  <c r="Y49" i="67"/>
  <c r="W49" i="67"/>
  <c r="Y48" i="67"/>
  <c r="W48" i="67"/>
  <c r="Y47" i="67"/>
  <c r="W47" i="67"/>
  <c r="Y46" i="67"/>
  <c r="W46" i="67"/>
  <c r="Y45" i="67"/>
  <c r="W45" i="67"/>
  <c r="Y44" i="67"/>
  <c r="W44" i="67"/>
  <c r="Y43" i="67"/>
  <c r="W43" i="67"/>
  <c r="Y42" i="67"/>
  <c r="W42" i="67"/>
  <c r="Y41" i="67"/>
  <c r="W41" i="67"/>
  <c r="Y40" i="67"/>
  <c r="W40" i="67"/>
  <c r="Y39" i="67"/>
  <c r="W39" i="67"/>
  <c r="Y38" i="67"/>
  <c r="W38" i="67"/>
  <c r="Y37" i="67"/>
  <c r="W37" i="67"/>
  <c r="Y36" i="67"/>
  <c r="W36" i="67"/>
  <c r="Y35" i="67"/>
  <c r="W35" i="67"/>
  <c r="Y34" i="67"/>
  <c r="W34" i="67"/>
  <c r="Y33" i="67"/>
  <c r="W33" i="67"/>
  <c r="Y32" i="67"/>
  <c r="W32" i="67"/>
  <c r="Y31" i="67"/>
  <c r="W31" i="67"/>
  <c r="Y30" i="67"/>
  <c r="W30" i="67"/>
  <c r="Y29" i="67"/>
  <c r="W29" i="67"/>
  <c r="Y28" i="67"/>
  <c r="W28" i="67"/>
  <c r="Y27" i="67"/>
  <c r="W27" i="67"/>
  <c r="Y26" i="67"/>
  <c r="W26" i="67"/>
  <c r="Y25" i="67"/>
  <c r="W25" i="67"/>
  <c r="Y24" i="67"/>
  <c r="W24" i="67"/>
  <c r="Y23" i="67"/>
  <c r="W23" i="67"/>
  <c r="Y22" i="67"/>
  <c r="W22" i="67"/>
  <c r="Y21" i="67"/>
  <c r="W21" i="67"/>
  <c r="Y20" i="67"/>
  <c r="W20" i="67"/>
  <c r="Y19" i="67"/>
  <c r="W19" i="67"/>
  <c r="Y18" i="67"/>
  <c r="W18" i="67"/>
  <c r="Y17" i="67"/>
  <c r="W17" i="67"/>
  <c r="Y16" i="67"/>
  <c r="W16" i="67"/>
  <c r="Y15" i="67"/>
  <c r="W15" i="67"/>
  <c r="Y14" i="67"/>
  <c r="W14" i="67"/>
  <c r="Y13" i="67"/>
  <c r="W13" i="67"/>
  <c r="Y12" i="67"/>
  <c r="W12" i="67"/>
  <c r="Y11" i="67"/>
  <c r="W11" i="67"/>
  <c r="Y10" i="67"/>
  <c r="W10" i="67"/>
  <c r="Y9" i="67"/>
  <c r="W9" i="67"/>
  <c r="Y8" i="67"/>
  <c r="W8" i="67"/>
  <c r="Y7" i="67"/>
  <c r="W7" i="67"/>
  <c r="AE76" i="67" l="1"/>
  <c r="V76" i="83"/>
  <c r="W76" i="83" s="1"/>
  <c r="Y76" i="83" s="1"/>
  <c r="Z76" i="83" s="1"/>
  <c r="Y76" i="67"/>
  <c r="N10" i="5"/>
  <c r="W76" i="67"/>
  <c r="I10" i="5" l="1"/>
  <c r="H10" i="5"/>
  <c r="K61" i="31"/>
  <c r="J9" i="5" l="1"/>
  <c r="J8" i="5"/>
  <c r="J10" i="5" l="1"/>
  <c r="J75" i="67" l="1"/>
  <c r="J74" i="67"/>
  <c r="J73" i="67"/>
  <c r="J72" i="67"/>
  <c r="J71" i="67"/>
  <c r="J70" i="67"/>
  <c r="J69" i="67"/>
  <c r="J68" i="67"/>
  <c r="J67" i="67"/>
  <c r="J66" i="67"/>
  <c r="J65" i="67"/>
  <c r="J64" i="67"/>
  <c r="J63" i="67"/>
  <c r="J62" i="67"/>
  <c r="J61" i="67"/>
  <c r="J60" i="67"/>
  <c r="J59" i="67"/>
  <c r="J58" i="67"/>
  <c r="J57" i="67"/>
  <c r="J56" i="67"/>
  <c r="J55" i="67"/>
  <c r="J54" i="67"/>
  <c r="J53" i="67"/>
  <c r="J52" i="67"/>
  <c r="J51" i="67"/>
  <c r="J50" i="67"/>
  <c r="J49" i="67"/>
  <c r="J48" i="67"/>
  <c r="J47" i="67"/>
  <c r="J46" i="67"/>
  <c r="J45" i="67"/>
  <c r="J44" i="67"/>
  <c r="J43" i="67"/>
  <c r="J42" i="67"/>
  <c r="J41" i="67"/>
  <c r="J40" i="67"/>
  <c r="J39" i="67"/>
  <c r="J38" i="67"/>
  <c r="J37" i="67"/>
  <c r="J36" i="67"/>
  <c r="J35" i="67"/>
  <c r="J34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1" i="67"/>
  <c r="J20" i="67"/>
  <c r="J19" i="67"/>
  <c r="J18" i="67"/>
  <c r="J17" i="67"/>
  <c r="J16" i="67"/>
  <c r="J15" i="67"/>
  <c r="J14" i="67"/>
  <c r="J13" i="67"/>
  <c r="J12" i="67"/>
  <c r="J11" i="67"/>
  <c r="J10" i="67"/>
  <c r="J9" i="67"/>
  <c r="J8" i="67"/>
  <c r="J7" i="67"/>
  <c r="H76" i="67"/>
  <c r="J76" i="67" l="1"/>
  <c r="Y73" i="80" l="1"/>
  <c r="W73" i="80"/>
  <c r="Y72" i="80"/>
  <c r="W72" i="80"/>
  <c r="Y71" i="80"/>
  <c r="W71" i="80"/>
  <c r="Y70" i="80"/>
  <c r="W70" i="80"/>
  <c r="Y69" i="80"/>
  <c r="W69" i="80"/>
  <c r="Y68" i="80"/>
  <c r="W68" i="80"/>
  <c r="Y67" i="80"/>
  <c r="W67" i="80"/>
  <c r="Y66" i="80"/>
  <c r="W66" i="80"/>
  <c r="Y65" i="80"/>
  <c r="W65" i="80"/>
  <c r="Y64" i="80"/>
  <c r="W64" i="80"/>
  <c r="Y63" i="80"/>
  <c r="W63" i="80"/>
  <c r="Y62" i="80"/>
  <c r="W62" i="80"/>
  <c r="Y61" i="80"/>
  <c r="W61" i="80"/>
  <c r="Y60" i="80"/>
  <c r="W60" i="80"/>
  <c r="Y59" i="80"/>
  <c r="W59" i="80"/>
  <c r="Y58" i="80"/>
  <c r="W58" i="80"/>
  <c r="Y57" i="80"/>
  <c r="W57" i="80"/>
  <c r="Y56" i="80"/>
  <c r="W56" i="80"/>
  <c r="Y55" i="80"/>
  <c r="W55" i="80"/>
  <c r="Y54" i="80"/>
  <c r="W54" i="80"/>
  <c r="Y53" i="80"/>
  <c r="W53" i="80"/>
  <c r="Y52" i="80"/>
  <c r="W52" i="80"/>
  <c r="Y51" i="80"/>
  <c r="W51" i="80"/>
  <c r="Y50" i="80"/>
  <c r="W50" i="80"/>
  <c r="Y49" i="80"/>
  <c r="W49" i="80"/>
  <c r="Y48" i="80"/>
  <c r="W48" i="80"/>
  <c r="Y47" i="80"/>
  <c r="W47" i="80"/>
  <c r="Y46" i="80"/>
  <c r="W46" i="80"/>
  <c r="Y45" i="80"/>
  <c r="W45" i="80"/>
  <c r="Y44" i="80"/>
  <c r="W44" i="80"/>
  <c r="Y43" i="80"/>
  <c r="W43" i="80"/>
  <c r="Y42" i="80"/>
  <c r="W42" i="80"/>
  <c r="Y41" i="80"/>
  <c r="W41" i="80"/>
  <c r="Y40" i="80"/>
  <c r="W40" i="80"/>
  <c r="Y39" i="80"/>
  <c r="W39" i="80"/>
  <c r="Y38" i="80"/>
  <c r="W38" i="80"/>
  <c r="Y37" i="80"/>
  <c r="W37" i="80"/>
  <c r="Y36" i="80"/>
  <c r="W36" i="80"/>
  <c r="Y35" i="80"/>
  <c r="W35" i="80"/>
  <c r="Y34" i="80"/>
  <c r="W34" i="80"/>
  <c r="Y33" i="80"/>
  <c r="W33" i="80"/>
  <c r="Y32" i="80"/>
  <c r="W32" i="80"/>
  <c r="Y31" i="80"/>
  <c r="W31" i="80"/>
  <c r="Y30" i="80"/>
  <c r="W30" i="80"/>
  <c r="Y29" i="80"/>
  <c r="W29" i="80"/>
  <c r="Y28" i="80"/>
  <c r="W28" i="80"/>
  <c r="Y27" i="80"/>
  <c r="W27" i="80"/>
  <c r="Y26" i="80"/>
  <c r="W26" i="80"/>
  <c r="Y25" i="80"/>
  <c r="W25" i="80"/>
  <c r="Y24" i="80"/>
  <c r="W24" i="80"/>
  <c r="Y23" i="80"/>
  <c r="W23" i="80"/>
  <c r="Y22" i="80"/>
  <c r="W22" i="80"/>
  <c r="Y21" i="80"/>
  <c r="W21" i="80"/>
  <c r="Y20" i="80"/>
  <c r="W20" i="80"/>
  <c r="Y19" i="80"/>
  <c r="W19" i="80"/>
  <c r="Y18" i="80"/>
  <c r="W18" i="80"/>
  <c r="Y17" i="80"/>
  <c r="W17" i="80"/>
  <c r="Y16" i="80"/>
  <c r="W16" i="80"/>
  <c r="Y15" i="80"/>
  <c r="W15" i="80"/>
  <c r="Y14" i="80"/>
  <c r="W14" i="80"/>
  <c r="Y13" i="80"/>
  <c r="W13" i="80"/>
  <c r="Y12" i="80"/>
  <c r="W12" i="80"/>
  <c r="Y11" i="80"/>
  <c r="W11" i="80"/>
  <c r="Y10" i="80"/>
  <c r="W10" i="80"/>
  <c r="Y9" i="80"/>
  <c r="W9" i="80"/>
  <c r="Y8" i="80"/>
  <c r="W8" i="80"/>
  <c r="Y7" i="80"/>
  <c r="W7" i="80"/>
  <c r="Y6" i="80"/>
  <c r="W6" i="80"/>
  <c r="Y5" i="80"/>
  <c r="W5" i="80"/>
  <c r="Y74" i="80" l="1"/>
  <c r="Y73" i="76"/>
  <c r="W73" i="76"/>
  <c r="Y72" i="76"/>
  <c r="W72" i="76"/>
  <c r="Y71" i="76"/>
  <c r="W71" i="76"/>
  <c r="Y70" i="76"/>
  <c r="W70" i="76"/>
  <c r="Y69" i="76"/>
  <c r="W69" i="76"/>
  <c r="Y68" i="76"/>
  <c r="W68" i="76"/>
  <c r="Y67" i="76"/>
  <c r="W67" i="76"/>
  <c r="Y66" i="76"/>
  <c r="W66" i="76"/>
  <c r="Y65" i="76"/>
  <c r="W65" i="76"/>
  <c r="Y64" i="76"/>
  <c r="W64" i="76"/>
  <c r="Y63" i="76"/>
  <c r="W63" i="76"/>
  <c r="Y62" i="76"/>
  <c r="W62" i="76"/>
  <c r="Y61" i="76"/>
  <c r="W61" i="76"/>
  <c r="Y60" i="76"/>
  <c r="W60" i="76"/>
  <c r="Y59" i="76"/>
  <c r="W59" i="76"/>
  <c r="Y58" i="76"/>
  <c r="W58" i="76"/>
  <c r="Y57" i="76"/>
  <c r="W57" i="76"/>
  <c r="Y56" i="76"/>
  <c r="W56" i="76"/>
  <c r="Y55" i="76"/>
  <c r="W55" i="76"/>
  <c r="Y54" i="76"/>
  <c r="W54" i="76"/>
  <c r="Y53" i="76"/>
  <c r="W53" i="76"/>
  <c r="Y52" i="76"/>
  <c r="W52" i="76"/>
  <c r="Y51" i="76"/>
  <c r="W51" i="76"/>
  <c r="Y50" i="76"/>
  <c r="W50" i="76"/>
  <c r="Y49" i="76"/>
  <c r="W49" i="76"/>
  <c r="Y48" i="76"/>
  <c r="W48" i="76"/>
  <c r="Y47" i="76"/>
  <c r="W47" i="76"/>
  <c r="Y46" i="76"/>
  <c r="W46" i="76"/>
  <c r="Y45" i="76"/>
  <c r="W45" i="76"/>
  <c r="Y44" i="76"/>
  <c r="W44" i="76"/>
  <c r="Y43" i="76"/>
  <c r="W43" i="76"/>
  <c r="Y42" i="76"/>
  <c r="W42" i="76"/>
  <c r="Y41" i="76"/>
  <c r="W41" i="76"/>
  <c r="Y40" i="76"/>
  <c r="W40" i="76"/>
  <c r="Y39" i="76"/>
  <c r="W39" i="76"/>
  <c r="Y38" i="76"/>
  <c r="W38" i="76"/>
  <c r="Y37" i="76"/>
  <c r="W37" i="76"/>
  <c r="Y36" i="76"/>
  <c r="W36" i="76"/>
  <c r="Y35" i="76"/>
  <c r="W35" i="76"/>
  <c r="Y34" i="76"/>
  <c r="W34" i="76"/>
  <c r="Y33" i="76"/>
  <c r="W33" i="76"/>
  <c r="Y32" i="76"/>
  <c r="W32" i="76"/>
  <c r="Y31" i="76"/>
  <c r="W31" i="76"/>
  <c r="Y30" i="76"/>
  <c r="W30" i="76"/>
  <c r="Y29" i="76"/>
  <c r="W29" i="76"/>
  <c r="Y28" i="76"/>
  <c r="W28" i="76"/>
  <c r="Y27" i="76"/>
  <c r="W27" i="76"/>
  <c r="Y26" i="76"/>
  <c r="W26" i="76"/>
  <c r="Y25" i="76"/>
  <c r="W25" i="76"/>
  <c r="Y24" i="76"/>
  <c r="W24" i="76"/>
  <c r="Y23" i="76"/>
  <c r="W23" i="76"/>
  <c r="Y22" i="76"/>
  <c r="W22" i="76"/>
  <c r="Y21" i="76"/>
  <c r="W21" i="76"/>
  <c r="Y20" i="76"/>
  <c r="W20" i="76"/>
  <c r="Y19" i="76"/>
  <c r="W19" i="76"/>
  <c r="Y18" i="76"/>
  <c r="W18" i="76"/>
  <c r="Y17" i="76"/>
  <c r="W17" i="76"/>
  <c r="Y16" i="76"/>
  <c r="W16" i="76"/>
  <c r="Y15" i="76"/>
  <c r="W15" i="76"/>
  <c r="Y14" i="76"/>
  <c r="W14" i="76"/>
  <c r="Y13" i="76"/>
  <c r="W13" i="76"/>
  <c r="Y12" i="76"/>
  <c r="W12" i="76"/>
  <c r="Y11" i="76"/>
  <c r="W11" i="76"/>
  <c r="Y10" i="76"/>
  <c r="W10" i="76"/>
  <c r="Y9" i="76"/>
  <c r="W9" i="76"/>
  <c r="Y8" i="76"/>
  <c r="W8" i="76"/>
  <c r="Y7" i="76"/>
  <c r="W7" i="76"/>
  <c r="Y6" i="76"/>
  <c r="W6" i="76"/>
  <c r="Y5" i="76"/>
  <c r="W5" i="76"/>
  <c r="Y74" i="76" l="1"/>
  <c r="X75" i="120"/>
  <c r="V75" i="120"/>
  <c r="X74" i="120"/>
  <c r="V74" i="120"/>
  <c r="X73" i="120"/>
  <c r="V73" i="120"/>
  <c r="X72" i="120"/>
  <c r="V72" i="120"/>
  <c r="X71" i="120"/>
  <c r="V71" i="120"/>
  <c r="X70" i="120"/>
  <c r="V70" i="120"/>
  <c r="X69" i="120"/>
  <c r="V69" i="120"/>
  <c r="X68" i="120"/>
  <c r="V68" i="120"/>
  <c r="X67" i="120"/>
  <c r="V67" i="120"/>
  <c r="X66" i="120"/>
  <c r="V66" i="120"/>
  <c r="X65" i="120"/>
  <c r="V65" i="120"/>
  <c r="X64" i="120"/>
  <c r="V64" i="120"/>
  <c r="X63" i="120"/>
  <c r="V63" i="120"/>
  <c r="X62" i="120"/>
  <c r="V62" i="120"/>
  <c r="X61" i="120"/>
  <c r="V61" i="120"/>
  <c r="X60" i="120"/>
  <c r="V60" i="120"/>
  <c r="X59" i="120"/>
  <c r="V59" i="120"/>
  <c r="X58" i="120"/>
  <c r="V58" i="120"/>
  <c r="X57" i="120"/>
  <c r="V57" i="120"/>
  <c r="X56" i="120"/>
  <c r="V56" i="120"/>
  <c r="X55" i="120"/>
  <c r="V55" i="120"/>
  <c r="X54" i="120"/>
  <c r="V54" i="120"/>
  <c r="X53" i="120"/>
  <c r="V53" i="120"/>
  <c r="X52" i="120"/>
  <c r="V52" i="120"/>
  <c r="X51" i="120"/>
  <c r="V51" i="120"/>
  <c r="X50" i="120"/>
  <c r="V50" i="120"/>
  <c r="X49" i="120"/>
  <c r="V49" i="120"/>
  <c r="X48" i="120"/>
  <c r="V48" i="120"/>
  <c r="X47" i="120"/>
  <c r="V47" i="120"/>
  <c r="X46" i="120"/>
  <c r="V46" i="120"/>
  <c r="X45" i="120"/>
  <c r="V45" i="120"/>
  <c r="X44" i="120"/>
  <c r="V44" i="120"/>
  <c r="X43" i="120"/>
  <c r="V43" i="120"/>
  <c r="X42" i="120"/>
  <c r="V42" i="120"/>
  <c r="X41" i="120"/>
  <c r="V41" i="120"/>
  <c r="X40" i="120"/>
  <c r="V40" i="120"/>
  <c r="X39" i="120"/>
  <c r="V39" i="120"/>
  <c r="X38" i="120"/>
  <c r="V38" i="120"/>
  <c r="X37" i="120"/>
  <c r="V37" i="120"/>
  <c r="X36" i="120"/>
  <c r="V36" i="120"/>
  <c r="X35" i="120"/>
  <c r="V35" i="120"/>
  <c r="X34" i="120"/>
  <c r="V34" i="120"/>
  <c r="X33" i="120"/>
  <c r="V33" i="120"/>
  <c r="X32" i="120"/>
  <c r="V32" i="120"/>
  <c r="X31" i="120"/>
  <c r="V31" i="120"/>
  <c r="X30" i="120"/>
  <c r="V30" i="120"/>
  <c r="X29" i="120"/>
  <c r="V29" i="120"/>
  <c r="X28" i="120"/>
  <c r="V28" i="120"/>
  <c r="X27" i="120"/>
  <c r="V27" i="120"/>
  <c r="X26" i="120"/>
  <c r="V26" i="120"/>
  <c r="X25" i="120"/>
  <c r="V25" i="120"/>
  <c r="X24" i="120"/>
  <c r="V24" i="120"/>
  <c r="X23" i="120"/>
  <c r="V23" i="120"/>
  <c r="X22" i="120"/>
  <c r="V22" i="120"/>
  <c r="X21" i="120"/>
  <c r="V21" i="120"/>
  <c r="X20" i="120"/>
  <c r="V20" i="120"/>
  <c r="X19" i="120"/>
  <c r="V19" i="120"/>
  <c r="X18" i="120"/>
  <c r="V18" i="120"/>
  <c r="X17" i="120"/>
  <c r="V17" i="120"/>
  <c r="X16" i="120"/>
  <c r="V16" i="120"/>
  <c r="X15" i="120"/>
  <c r="V15" i="120"/>
  <c r="X14" i="120"/>
  <c r="V14" i="120"/>
  <c r="X13" i="120"/>
  <c r="V13" i="120"/>
  <c r="X12" i="120"/>
  <c r="V12" i="120"/>
  <c r="X11" i="120"/>
  <c r="V11" i="120"/>
  <c r="X10" i="120"/>
  <c r="V10" i="120"/>
  <c r="X9" i="120"/>
  <c r="V9" i="120"/>
  <c r="X8" i="120"/>
  <c r="V8" i="120"/>
  <c r="X7" i="120"/>
  <c r="V7" i="120"/>
  <c r="X75" i="119"/>
  <c r="X74" i="119"/>
  <c r="X73" i="119"/>
  <c r="X72" i="119"/>
  <c r="X71" i="119"/>
  <c r="X70" i="119"/>
  <c r="X69" i="119"/>
  <c r="X68" i="119"/>
  <c r="X67" i="119"/>
  <c r="X66" i="119"/>
  <c r="X65" i="119"/>
  <c r="X64" i="119"/>
  <c r="X63" i="119"/>
  <c r="X62" i="119"/>
  <c r="X61" i="119"/>
  <c r="X60" i="119"/>
  <c r="X59" i="119"/>
  <c r="X58" i="119"/>
  <c r="X57" i="119"/>
  <c r="X56" i="119"/>
  <c r="X55" i="119"/>
  <c r="X54" i="119"/>
  <c r="X53" i="119"/>
  <c r="X52" i="119"/>
  <c r="X51" i="119"/>
  <c r="X50" i="119"/>
  <c r="X49" i="119"/>
  <c r="X48" i="119"/>
  <c r="X47" i="119"/>
  <c r="X46" i="119"/>
  <c r="X45" i="119"/>
  <c r="X44" i="119"/>
  <c r="X43" i="119"/>
  <c r="X42" i="119"/>
  <c r="X41" i="119"/>
  <c r="X40" i="119"/>
  <c r="X39" i="119"/>
  <c r="X38" i="119"/>
  <c r="X37" i="119"/>
  <c r="X36" i="119"/>
  <c r="X35" i="119"/>
  <c r="X34" i="119"/>
  <c r="X33" i="119"/>
  <c r="X32" i="119"/>
  <c r="X31" i="119"/>
  <c r="X30" i="119"/>
  <c r="X29" i="119"/>
  <c r="X28" i="119"/>
  <c r="X27" i="119"/>
  <c r="X26" i="119"/>
  <c r="X25" i="119"/>
  <c r="X24" i="119"/>
  <c r="X23" i="119"/>
  <c r="X22" i="119"/>
  <c r="X21" i="119"/>
  <c r="X20" i="119"/>
  <c r="X19" i="119"/>
  <c r="X18" i="119"/>
  <c r="X17" i="119"/>
  <c r="X16" i="119"/>
  <c r="X15" i="119"/>
  <c r="X14" i="119"/>
  <c r="X13" i="119"/>
  <c r="X12" i="119"/>
  <c r="X11" i="119"/>
  <c r="X10" i="119"/>
  <c r="X9" i="119"/>
  <c r="X8" i="119"/>
  <c r="V75" i="119"/>
  <c r="V74" i="119"/>
  <c r="V73" i="119"/>
  <c r="V72" i="119"/>
  <c r="V71" i="119"/>
  <c r="V70" i="119"/>
  <c r="V69" i="119"/>
  <c r="V68" i="119"/>
  <c r="V67" i="119"/>
  <c r="V66" i="119"/>
  <c r="V65" i="119"/>
  <c r="V64" i="119"/>
  <c r="V63" i="119"/>
  <c r="V62" i="119"/>
  <c r="V61" i="119"/>
  <c r="V60" i="119"/>
  <c r="V59" i="119"/>
  <c r="V58" i="119"/>
  <c r="V57" i="119"/>
  <c r="V56" i="119"/>
  <c r="V55" i="119"/>
  <c r="V54" i="119"/>
  <c r="V53" i="119"/>
  <c r="V52" i="119"/>
  <c r="V51" i="119"/>
  <c r="V50" i="119"/>
  <c r="V49" i="119"/>
  <c r="V48" i="119"/>
  <c r="V47" i="119"/>
  <c r="V46" i="119"/>
  <c r="V45" i="119"/>
  <c r="V44" i="119"/>
  <c r="V43" i="119"/>
  <c r="V42" i="119"/>
  <c r="V41" i="119"/>
  <c r="V40" i="119"/>
  <c r="V39" i="119"/>
  <c r="V38" i="119"/>
  <c r="V37" i="119"/>
  <c r="V36" i="119"/>
  <c r="V35" i="119"/>
  <c r="V34" i="119"/>
  <c r="V33" i="119"/>
  <c r="V32" i="119"/>
  <c r="V31" i="119"/>
  <c r="V30" i="119"/>
  <c r="V29" i="119"/>
  <c r="V28" i="119"/>
  <c r="V27" i="119"/>
  <c r="V26" i="119"/>
  <c r="V25" i="119"/>
  <c r="V24" i="119"/>
  <c r="V23" i="119"/>
  <c r="V22" i="119"/>
  <c r="V21" i="119"/>
  <c r="V20" i="119"/>
  <c r="V19" i="119"/>
  <c r="V18" i="119"/>
  <c r="V17" i="119"/>
  <c r="V16" i="119"/>
  <c r="V15" i="119"/>
  <c r="V14" i="119"/>
  <c r="V13" i="119"/>
  <c r="V12" i="119"/>
  <c r="V11" i="119"/>
  <c r="V10" i="119"/>
  <c r="V9" i="119"/>
  <c r="V8" i="119"/>
  <c r="X7" i="119"/>
  <c r="V7" i="119"/>
  <c r="X75" i="118"/>
  <c r="V75" i="118"/>
  <c r="X74" i="118"/>
  <c r="V74" i="118"/>
  <c r="X73" i="118"/>
  <c r="V73" i="118"/>
  <c r="X72" i="118"/>
  <c r="V72" i="118"/>
  <c r="X71" i="118"/>
  <c r="V71" i="118"/>
  <c r="X70" i="118"/>
  <c r="V70" i="118"/>
  <c r="X69" i="118"/>
  <c r="V69" i="118"/>
  <c r="X68" i="118"/>
  <c r="V68" i="118"/>
  <c r="X67" i="118"/>
  <c r="V67" i="118"/>
  <c r="X66" i="118"/>
  <c r="V66" i="118"/>
  <c r="X65" i="118"/>
  <c r="V65" i="118"/>
  <c r="X64" i="118"/>
  <c r="V64" i="118"/>
  <c r="X63" i="118"/>
  <c r="V63" i="118"/>
  <c r="X62" i="118"/>
  <c r="V62" i="118"/>
  <c r="X61" i="118"/>
  <c r="V61" i="118"/>
  <c r="X60" i="118"/>
  <c r="V60" i="118"/>
  <c r="X59" i="118"/>
  <c r="V59" i="118"/>
  <c r="X58" i="118"/>
  <c r="V58" i="118"/>
  <c r="X57" i="118"/>
  <c r="V57" i="118"/>
  <c r="X56" i="118"/>
  <c r="V56" i="118"/>
  <c r="X55" i="118"/>
  <c r="V55" i="118"/>
  <c r="X54" i="118"/>
  <c r="V54" i="118"/>
  <c r="X53" i="118"/>
  <c r="V53" i="118"/>
  <c r="X52" i="118"/>
  <c r="V52" i="118"/>
  <c r="X51" i="118"/>
  <c r="V51" i="118"/>
  <c r="X50" i="118"/>
  <c r="V50" i="118"/>
  <c r="X49" i="118"/>
  <c r="V49" i="118"/>
  <c r="X48" i="118"/>
  <c r="V48" i="118"/>
  <c r="X47" i="118"/>
  <c r="V47" i="118"/>
  <c r="X46" i="118"/>
  <c r="V46" i="118"/>
  <c r="X45" i="118"/>
  <c r="V45" i="118"/>
  <c r="X44" i="118"/>
  <c r="V44" i="118"/>
  <c r="X43" i="118"/>
  <c r="V43" i="118"/>
  <c r="X42" i="118"/>
  <c r="V42" i="118"/>
  <c r="X41" i="118"/>
  <c r="V41" i="118"/>
  <c r="X40" i="118"/>
  <c r="V40" i="118"/>
  <c r="X39" i="118"/>
  <c r="V39" i="118"/>
  <c r="X38" i="118"/>
  <c r="V38" i="118"/>
  <c r="X37" i="118"/>
  <c r="V37" i="118"/>
  <c r="X36" i="118"/>
  <c r="V36" i="118"/>
  <c r="X35" i="118"/>
  <c r="V35" i="118"/>
  <c r="X34" i="118"/>
  <c r="V34" i="118"/>
  <c r="X33" i="118"/>
  <c r="V33" i="118"/>
  <c r="X32" i="118"/>
  <c r="V32" i="118"/>
  <c r="X31" i="118"/>
  <c r="V31" i="118"/>
  <c r="X30" i="118"/>
  <c r="V30" i="118"/>
  <c r="X29" i="118"/>
  <c r="V29" i="118"/>
  <c r="X28" i="118"/>
  <c r="V28" i="118"/>
  <c r="X27" i="118"/>
  <c r="V27" i="118"/>
  <c r="X26" i="118"/>
  <c r="V26" i="118"/>
  <c r="X25" i="118"/>
  <c r="V25" i="118"/>
  <c r="X24" i="118"/>
  <c r="V24" i="118"/>
  <c r="X23" i="118"/>
  <c r="V23" i="118"/>
  <c r="X22" i="118"/>
  <c r="V22" i="118"/>
  <c r="X21" i="118"/>
  <c r="V21" i="118"/>
  <c r="X20" i="118"/>
  <c r="V20" i="118"/>
  <c r="X19" i="118"/>
  <c r="V19" i="118"/>
  <c r="X18" i="118"/>
  <c r="V18" i="118"/>
  <c r="X17" i="118"/>
  <c r="V17" i="118"/>
  <c r="X16" i="118"/>
  <c r="V16" i="118"/>
  <c r="X15" i="118"/>
  <c r="V15" i="118"/>
  <c r="X14" i="118"/>
  <c r="V14" i="118"/>
  <c r="X13" i="118"/>
  <c r="V13" i="118"/>
  <c r="X12" i="118"/>
  <c r="V12" i="118"/>
  <c r="X11" i="118"/>
  <c r="V11" i="118"/>
  <c r="X10" i="118"/>
  <c r="V10" i="118"/>
  <c r="X9" i="118"/>
  <c r="V9" i="118"/>
  <c r="X8" i="118"/>
  <c r="V8" i="118"/>
  <c r="X7" i="118"/>
  <c r="V7" i="118"/>
  <c r="Z75" i="117"/>
  <c r="Z74" i="117"/>
  <c r="Z73" i="117"/>
  <c r="Z72" i="117"/>
  <c r="Z71" i="117"/>
  <c r="Z70" i="117"/>
  <c r="Z69" i="117"/>
  <c r="Z68" i="117"/>
  <c r="Z67" i="117"/>
  <c r="Z66" i="117"/>
  <c r="Z65" i="117"/>
  <c r="Z64" i="117"/>
  <c r="Z63" i="117"/>
  <c r="Z62" i="117"/>
  <c r="Z61" i="117"/>
  <c r="Z60" i="117"/>
  <c r="Z59" i="117"/>
  <c r="Z58" i="117"/>
  <c r="Z57" i="117"/>
  <c r="Z56" i="117"/>
  <c r="Z55" i="117"/>
  <c r="Z54" i="117"/>
  <c r="Z53" i="117"/>
  <c r="Z52" i="117"/>
  <c r="Z51" i="117"/>
  <c r="Z50" i="117"/>
  <c r="Z49" i="117"/>
  <c r="Z48" i="117"/>
  <c r="Z47" i="117"/>
  <c r="Z46" i="117"/>
  <c r="Z45" i="117"/>
  <c r="Z44" i="117"/>
  <c r="Z43" i="117"/>
  <c r="Z42" i="117"/>
  <c r="Z41" i="117"/>
  <c r="Z40" i="117"/>
  <c r="Z39" i="117"/>
  <c r="Z38" i="117"/>
  <c r="Z37" i="117"/>
  <c r="Z36" i="117"/>
  <c r="Z35" i="117"/>
  <c r="Z34" i="117"/>
  <c r="Z33" i="117"/>
  <c r="Z32" i="117"/>
  <c r="Z31" i="117"/>
  <c r="Z30" i="117"/>
  <c r="Z29" i="117"/>
  <c r="Z28" i="117"/>
  <c r="Z27" i="117"/>
  <c r="Z26" i="117"/>
  <c r="Z25" i="117"/>
  <c r="Z24" i="117"/>
  <c r="Z23" i="117"/>
  <c r="Z22" i="117"/>
  <c r="Z21" i="117"/>
  <c r="Z20" i="117"/>
  <c r="Z19" i="117"/>
  <c r="Z18" i="117"/>
  <c r="Z17" i="117"/>
  <c r="Z16" i="117"/>
  <c r="Z15" i="117"/>
  <c r="Z14" i="117"/>
  <c r="Z13" i="117"/>
  <c r="Z12" i="117"/>
  <c r="Z11" i="117"/>
  <c r="Z10" i="117"/>
  <c r="Z9" i="117"/>
  <c r="Z8" i="117"/>
  <c r="X75" i="117"/>
  <c r="X74" i="117"/>
  <c r="X73" i="117"/>
  <c r="X72" i="117"/>
  <c r="X71" i="117"/>
  <c r="X70" i="117"/>
  <c r="X69" i="117"/>
  <c r="X68" i="117"/>
  <c r="X67" i="117"/>
  <c r="X66" i="117"/>
  <c r="X65" i="117"/>
  <c r="X64" i="117"/>
  <c r="X63" i="117"/>
  <c r="X62" i="117"/>
  <c r="X61" i="117"/>
  <c r="X60" i="117"/>
  <c r="X59" i="117"/>
  <c r="X58" i="117"/>
  <c r="X57" i="117"/>
  <c r="X56" i="117"/>
  <c r="X55" i="117"/>
  <c r="X54" i="117"/>
  <c r="X53" i="117"/>
  <c r="X52" i="117"/>
  <c r="X51" i="117"/>
  <c r="X50" i="117"/>
  <c r="X49" i="117"/>
  <c r="X48" i="117"/>
  <c r="X47" i="117"/>
  <c r="X46" i="117"/>
  <c r="X45" i="117"/>
  <c r="X44" i="117"/>
  <c r="X43" i="117"/>
  <c r="X42" i="117"/>
  <c r="X41" i="117"/>
  <c r="X40" i="117"/>
  <c r="X39" i="117"/>
  <c r="X38" i="117"/>
  <c r="X37" i="117"/>
  <c r="X36" i="117"/>
  <c r="X35" i="117"/>
  <c r="X34" i="117"/>
  <c r="X33" i="117"/>
  <c r="X32" i="117"/>
  <c r="X31" i="117"/>
  <c r="X30" i="117"/>
  <c r="X29" i="117"/>
  <c r="X28" i="117"/>
  <c r="X27" i="117"/>
  <c r="X26" i="117"/>
  <c r="X25" i="117"/>
  <c r="X24" i="117"/>
  <c r="X23" i="117"/>
  <c r="X22" i="117"/>
  <c r="X21" i="117"/>
  <c r="X20" i="117"/>
  <c r="X19" i="117"/>
  <c r="X18" i="117"/>
  <c r="X17" i="117"/>
  <c r="X16" i="117"/>
  <c r="X15" i="117"/>
  <c r="X14" i="117"/>
  <c r="X13" i="117"/>
  <c r="X12" i="117"/>
  <c r="X11" i="117"/>
  <c r="X10" i="117"/>
  <c r="X9" i="117"/>
  <c r="X8" i="117"/>
  <c r="Z7" i="117"/>
  <c r="X7" i="117"/>
  <c r="V75" i="116"/>
  <c r="V74" i="116"/>
  <c r="V73" i="116"/>
  <c r="V72" i="116"/>
  <c r="V71" i="116"/>
  <c r="V70" i="116"/>
  <c r="V69" i="116"/>
  <c r="V68" i="116"/>
  <c r="V67" i="116"/>
  <c r="V66" i="116"/>
  <c r="V65" i="116"/>
  <c r="V64" i="116"/>
  <c r="V63" i="116"/>
  <c r="V62" i="116"/>
  <c r="V61" i="116"/>
  <c r="V60" i="116"/>
  <c r="V59" i="116"/>
  <c r="V58" i="116"/>
  <c r="V57" i="116"/>
  <c r="V56" i="116"/>
  <c r="V55" i="116"/>
  <c r="V54" i="116"/>
  <c r="V53" i="116"/>
  <c r="V52" i="116"/>
  <c r="V51" i="116"/>
  <c r="V50" i="116"/>
  <c r="V49" i="116"/>
  <c r="V48" i="116"/>
  <c r="V47" i="116"/>
  <c r="V46" i="116"/>
  <c r="V45" i="116"/>
  <c r="V44" i="116"/>
  <c r="V43" i="116"/>
  <c r="V42" i="116"/>
  <c r="V41" i="116"/>
  <c r="V40" i="116"/>
  <c r="V39" i="116"/>
  <c r="V38" i="116"/>
  <c r="V37" i="116"/>
  <c r="V36" i="116"/>
  <c r="V35" i="116"/>
  <c r="V34" i="116"/>
  <c r="V33" i="116"/>
  <c r="V32" i="116"/>
  <c r="V31" i="116"/>
  <c r="V30" i="116"/>
  <c r="V29" i="116"/>
  <c r="V28" i="116"/>
  <c r="V27" i="116"/>
  <c r="V26" i="116"/>
  <c r="V25" i="116"/>
  <c r="V24" i="116"/>
  <c r="V23" i="116"/>
  <c r="V22" i="116"/>
  <c r="V21" i="116"/>
  <c r="V20" i="116"/>
  <c r="V19" i="116"/>
  <c r="V18" i="116"/>
  <c r="V17" i="116"/>
  <c r="V16" i="116"/>
  <c r="V15" i="116"/>
  <c r="V14" i="116"/>
  <c r="V13" i="116"/>
  <c r="V12" i="116"/>
  <c r="V11" i="116"/>
  <c r="V10" i="116"/>
  <c r="V9" i="116"/>
  <c r="V8" i="116"/>
  <c r="V7" i="116"/>
  <c r="X75" i="116"/>
  <c r="X74" i="116"/>
  <c r="X73" i="116"/>
  <c r="X72" i="116"/>
  <c r="X71" i="116"/>
  <c r="X70" i="116"/>
  <c r="X69" i="116"/>
  <c r="X68" i="116"/>
  <c r="X67" i="116"/>
  <c r="X66" i="116"/>
  <c r="X65" i="116"/>
  <c r="X64" i="116"/>
  <c r="X63" i="116"/>
  <c r="X62" i="116"/>
  <c r="X61" i="116"/>
  <c r="X60" i="116"/>
  <c r="X59" i="116"/>
  <c r="X58" i="116"/>
  <c r="X57" i="116"/>
  <c r="X56" i="116"/>
  <c r="X55" i="116"/>
  <c r="X54" i="116"/>
  <c r="X53" i="116"/>
  <c r="X52" i="116"/>
  <c r="X51" i="116"/>
  <c r="X50" i="116"/>
  <c r="X49" i="116"/>
  <c r="X48" i="116"/>
  <c r="X47" i="116"/>
  <c r="X46" i="116"/>
  <c r="X45" i="116"/>
  <c r="X44" i="116"/>
  <c r="X43" i="116"/>
  <c r="X42" i="116"/>
  <c r="X41" i="116"/>
  <c r="X40" i="116"/>
  <c r="X39" i="116"/>
  <c r="X38" i="116"/>
  <c r="X37" i="116"/>
  <c r="X36" i="116"/>
  <c r="X35" i="116"/>
  <c r="X34" i="116"/>
  <c r="X33" i="116"/>
  <c r="X32" i="116"/>
  <c r="X31" i="116"/>
  <c r="X30" i="116"/>
  <c r="X29" i="116"/>
  <c r="X28" i="116"/>
  <c r="X27" i="116"/>
  <c r="X26" i="116"/>
  <c r="X25" i="116"/>
  <c r="X24" i="116"/>
  <c r="X23" i="116"/>
  <c r="X22" i="116"/>
  <c r="X21" i="116"/>
  <c r="X20" i="116"/>
  <c r="X19" i="116"/>
  <c r="X18" i="116"/>
  <c r="X17" i="116"/>
  <c r="X16" i="116"/>
  <c r="X15" i="116"/>
  <c r="X14" i="116"/>
  <c r="X13" i="116"/>
  <c r="X12" i="116"/>
  <c r="X11" i="116"/>
  <c r="X10" i="116"/>
  <c r="X9" i="116"/>
  <c r="X8" i="116"/>
  <c r="X7" i="116"/>
  <c r="X75" i="115"/>
  <c r="V75" i="115"/>
  <c r="X74" i="115"/>
  <c r="V74" i="115"/>
  <c r="X73" i="115"/>
  <c r="V73" i="115"/>
  <c r="X72" i="115"/>
  <c r="V72" i="115"/>
  <c r="X71" i="115"/>
  <c r="V71" i="115"/>
  <c r="X70" i="115"/>
  <c r="V70" i="115"/>
  <c r="X69" i="115"/>
  <c r="V69" i="115"/>
  <c r="X68" i="115"/>
  <c r="V68" i="115"/>
  <c r="X67" i="115"/>
  <c r="V67" i="115"/>
  <c r="X66" i="115"/>
  <c r="V66" i="115"/>
  <c r="X65" i="115"/>
  <c r="V65" i="115"/>
  <c r="X64" i="115"/>
  <c r="V64" i="115"/>
  <c r="X63" i="115"/>
  <c r="V63" i="115"/>
  <c r="X62" i="115"/>
  <c r="V62" i="115"/>
  <c r="X61" i="115"/>
  <c r="V61" i="115"/>
  <c r="X60" i="115"/>
  <c r="V60" i="115"/>
  <c r="X59" i="115"/>
  <c r="V59" i="115"/>
  <c r="X58" i="115"/>
  <c r="V58" i="115"/>
  <c r="X57" i="115"/>
  <c r="V57" i="115"/>
  <c r="X56" i="115"/>
  <c r="V56" i="115"/>
  <c r="X55" i="115"/>
  <c r="V55" i="115"/>
  <c r="X54" i="115"/>
  <c r="V54" i="115"/>
  <c r="X53" i="115"/>
  <c r="V53" i="115"/>
  <c r="X52" i="115"/>
  <c r="V52" i="115"/>
  <c r="X51" i="115"/>
  <c r="V51" i="115"/>
  <c r="X50" i="115"/>
  <c r="V50" i="115"/>
  <c r="X49" i="115"/>
  <c r="V49" i="115"/>
  <c r="X48" i="115"/>
  <c r="V48" i="115"/>
  <c r="X47" i="115"/>
  <c r="V47" i="115"/>
  <c r="X46" i="115"/>
  <c r="V46" i="115"/>
  <c r="X45" i="115"/>
  <c r="V45" i="115"/>
  <c r="X44" i="115"/>
  <c r="V44" i="115"/>
  <c r="X43" i="115"/>
  <c r="V43" i="115"/>
  <c r="X42" i="115"/>
  <c r="V42" i="115"/>
  <c r="X41" i="115"/>
  <c r="V41" i="115"/>
  <c r="X40" i="115"/>
  <c r="V40" i="115"/>
  <c r="X39" i="115"/>
  <c r="V39" i="115"/>
  <c r="X38" i="115"/>
  <c r="V38" i="115"/>
  <c r="X37" i="115"/>
  <c r="V37" i="115"/>
  <c r="X36" i="115"/>
  <c r="V36" i="115"/>
  <c r="X35" i="115"/>
  <c r="V35" i="115"/>
  <c r="X34" i="115"/>
  <c r="V34" i="115"/>
  <c r="X33" i="115"/>
  <c r="V33" i="115"/>
  <c r="X32" i="115"/>
  <c r="V32" i="115"/>
  <c r="X31" i="115"/>
  <c r="V31" i="115"/>
  <c r="X30" i="115"/>
  <c r="V30" i="115"/>
  <c r="X29" i="115"/>
  <c r="V29" i="115"/>
  <c r="X28" i="115"/>
  <c r="V28" i="115"/>
  <c r="X27" i="115"/>
  <c r="V27" i="115"/>
  <c r="X26" i="115"/>
  <c r="V26" i="115"/>
  <c r="X25" i="115"/>
  <c r="V25" i="115"/>
  <c r="X24" i="115"/>
  <c r="V24" i="115"/>
  <c r="X23" i="115"/>
  <c r="V23" i="115"/>
  <c r="X22" i="115"/>
  <c r="V22" i="115"/>
  <c r="X21" i="115"/>
  <c r="V21" i="115"/>
  <c r="X20" i="115"/>
  <c r="V20" i="115"/>
  <c r="X19" i="115"/>
  <c r="V19" i="115"/>
  <c r="X18" i="115"/>
  <c r="V18" i="115"/>
  <c r="X17" i="115"/>
  <c r="V17" i="115"/>
  <c r="X16" i="115"/>
  <c r="V16" i="115"/>
  <c r="X15" i="115"/>
  <c r="V15" i="115"/>
  <c r="X14" i="115"/>
  <c r="V14" i="115"/>
  <c r="X13" i="115"/>
  <c r="V13" i="115"/>
  <c r="X12" i="115"/>
  <c r="V12" i="115"/>
  <c r="X11" i="115"/>
  <c r="V11" i="115"/>
  <c r="X10" i="115"/>
  <c r="V10" i="115"/>
  <c r="X9" i="115"/>
  <c r="V9" i="115"/>
  <c r="X8" i="115"/>
  <c r="V8" i="115"/>
  <c r="X7" i="115"/>
  <c r="V7" i="115"/>
  <c r="V75" i="114"/>
  <c r="V74" i="114"/>
  <c r="V73" i="114"/>
  <c r="V72" i="114"/>
  <c r="V71" i="114"/>
  <c r="V70" i="114"/>
  <c r="V69" i="114"/>
  <c r="V68" i="114"/>
  <c r="V67" i="114"/>
  <c r="V66" i="114"/>
  <c r="V65" i="114"/>
  <c r="V64" i="114"/>
  <c r="V63" i="114"/>
  <c r="V62" i="114"/>
  <c r="V61" i="114"/>
  <c r="V60" i="114"/>
  <c r="V59" i="114"/>
  <c r="V58" i="114"/>
  <c r="V57" i="114"/>
  <c r="V56" i="114"/>
  <c r="V55" i="114"/>
  <c r="V54" i="114"/>
  <c r="V53" i="114"/>
  <c r="V52" i="114"/>
  <c r="V51" i="114"/>
  <c r="V50" i="114"/>
  <c r="V49" i="114"/>
  <c r="V48" i="114"/>
  <c r="V47" i="114"/>
  <c r="V46" i="114"/>
  <c r="V45" i="114"/>
  <c r="V44" i="114"/>
  <c r="V43" i="114"/>
  <c r="V42" i="114"/>
  <c r="V41" i="114"/>
  <c r="V40" i="114"/>
  <c r="V39" i="114"/>
  <c r="V38" i="114"/>
  <c r="V37" i="114"/>
  <c r="V36" i="114"/>
  <c r="V35" i="114"/>
  <c r="V34" i="114"/>
  <c r="V33" i="114"/>
  <c r="V32" i="114"/>
  <c r="V31" i="114"/>
  <c r="V30" i="114"/>
  <c r="V29" i="114"/>
  <c r="V28" i="114"/>
  <c r="V27" i="114"/>
  <c r="V26" i="114"/>
  <c r="V25" i="114"/>
  <c r="V24" i="114"/>
  <c r="V23" i="114"/>
  <c r="V22" i="114"/>
  <c r="V21" i="114"/>
  <c r="V20" i="114"/>
  <c r="V19" i="114"/>
  <c r="V18" i="114"/>
  <c r="V17" i="114"/>
  <c r="V16" i="114"/>
  <c r="V15" i="114"/>
  <c r="V14" i="114"/>
  <c r="V13" i="114"/>
  <c r="V12" i="114"/>
  <c r="V11" i="114"/>
  <c r="V10" i="114"/>
  <c r="V9" i="114"/>
  <c r="V8" i="114"/>
  <c r="X75" i="114"/>
  <c r="X74" i="114"/>
  <c r="X73" i="114"/>
  <c r="X72" i="114"/>
  <c r="X71" i="114"/>
  <c r="X70" i="114"/>
  <c r="X69" i="114"/>
  <c r="X68" i="114"/>
  <c r="X67" i="114"/>
  <c r="X66" i="114"/>
  <c r="X65" i="114"/>
  <c r="X64" i="114"/>
  <c r="X63" i="114"/>
  <c r="X62" i="114"/>
  <c r="X61" i="114"/>
  <c r="X60" i="114"/>
  <c r="X59" i="114"/>
  <c r="X58" i="114"/>
  <c r="X57" i="114"/>
  <c r="X56" i="114"/>
  <c r="X55" i="114"/>
  <c r="X54" i="114"/>
  <c r="X53" i="114"/>
  <c r="X52" i="114"/>
  <c r="X51" i="114"/>
  <c r="X50" i="114"/>
  <c r="X49" i="114"/>
  <c r="X48" i="114"/>
  <c r="X47" i="114"/>
  <c r="X46" i="114"/>
  <c r="X45" i="114"/>
  <c r="X44" i="114"/>
  <c r="X43" i="114"/>
  <c r="X42" i="114"/>
  <c r="X41" i="114"/>
  <c r="X40" i="114"/>
  <c r="X39" i="114"/>
  <c r="X38" i="114"/>
  <c r="X37" i="114"/>
  <c r="X36" i="114"/>
  <c r="X35" i="114"/>
  <c r="X34" i="114"/>
  <c r="X33" i="114"/>
  <c r="X32" i="114"/>
  <c r="X31" i="114"/>
  <c r="X30" i="114"/>
  <c r="X29" i="114"/>
  <c r="X28" i="114"/>
  <c r="X27" i="114"/>
  <c r="X26" i="114"/>
  <c r="X25" i="114"/>
  <c r="X24" i="114"/>
  <c r="X23" i="114"/>
  <c r="X22" i="114"/>
  <c r="X21" i="114"/>
  <c r="X20" i="114"/>
  <c r="X19" i="114"/>
  <c r="X18" i="114"/>
  <c r="X17" i="114"/>
  <c r="X16" i="114"/>
  <c r="X15" i="114"/>
  <c r="X14" i="114"/>
  <c r="X13" i="114"/>
  <c r="X12" i="114"/>
  <c r="X11" i="114"/>
  <c r="X10" i="114"/>
  <c r="X9" i="114"/>
  <c r="X8" i="114"/>
  <c r="X7" i="114"/>
  <c r="V7" i="114"/>
  <c r="X75" i="113"/>
  <c r="V75" i="113"/>
  <c r="X74" i="113"/>
  <c r="V74" i="113"/>
  <c r="X73" i="113"/>
  <c r="V73" i="113"/>
  <c r="X72" i="113"/>
  <c r="V72" i="113"/>
  <c r="X71" i="113"/>
  <c r="V71" i="113"/>
  <c r="X70" i="113"/>
  <c r="V70" i="113"/>
  <c r="X69" i="113"/>
  <c r="V69" i="113"/>
  <c r="X68" i="113"/>
  <c r="V68" i="113"/>
  <c r="X67" i="113"/>
  <c r="V67" i="113"/>
  <c r="X66" i="113"/>
  <c r="V66" i="113"/>
  <c r="X65" i="113"/>
  <c r="V65" i="113"/>
  <c r="X64" i="113"/>
  <c r="V64" i="113"/>
  <c r="X63" i="113"/>
  <c r="V63" i="113"/>
  <c r="X62" i="113"/>
  <c r="V62" i="113"/>
  <c r="X61" i="113"/>
  <c r="V61" i="113"/>
  <c r="X60" i="113"/>
  <c r="V60" i="113"/>
  <c r="X59" i="113"/>
  <c r="V59" i="113"/>
  <c r="X58" i="113"/>
  <c r="V58" i="113"/>
  <c r="X57" i="113"/>
  <c r="V57" i="113"/>
  <c r="X56" i="113"/>
  <c r="V56" i="113"/>
  <c r="X55" i="113"/>
  <c r="V55" i="113"/>
  <c r="X54" i="113"/>
  <c r="V54" i="113"/>
  <c r="X53" i="113"/>
  <c r="V53" i="113"/>
  <c r="X52" i="113"/>
  <c r="V52" i="113"/>
  <c r="X51" i="113"/>
  <c r="V51" i="113"/>
  <c r="X50" i="113"/>
  <c r="V50" i="113"/>
  <c r="X49" i="113"/>
  <c r="V49" i="113"/>
  <c r="X48" i="113"/>
  <c r="V48" i="113"/>
  <c r="X47" i="113"/>
  <c r="V47" i="113"/>
  <c r="X46" i="113"/>
  <c r="V46" i="113"/>
  <c r="X45" i="113"/>
  <c r="V45" i="113"/>
  <c r="X44" i="113"/>
  <c r="V44" i="113"/>
  <c r="X43" i="113"/>
  <c r="V43" i="113"/>
  <c r="X42" i="113"/>
  <c r="V42" i="113"/>
  <c r="X41" i="113"/>
  <c r="V41" i="113"/>
  <c r="X40" i="113"/>
  <c r="V40" i="113"/>
  <c r="X39" i="113"/>
  <c r="V39" i="113"/>
  <c r="X38" i="113"/>
  <c r="V38" i="113"/>
  <c r="X37" i="113"/>
  <c r="V37" i="113"/>
  <c r="X36" i="113"/>
  <c r="V36" i="113"/>
  <c r="X35" i="113"/>
  <c r="V35" i="113"/>
  <c r="X34" i="113"/>
  <c r="V34" i="113"/>
  <c r="X33" i="113"/>
  <c r="V33" i="113"/>
  <c r="X32" i="113"/>
  <c r="V32" i="113"/>
  <c r="X31" i="113"/>
  <c r="V31" i="113"/>
  <c r="X30" i="113"/>
  <c r="V30" i="113"/>
  <c r="X29" i="113"/>
  <c r="V29" i="113"/>
  <c r="X28" i="113"/>
  <c r="V28" i="113"/>
  <c r="X27" i="113"/>
  <c r="V27" i="113"/>
  <c r="X26" i="113"/>
  <c r="V26" i="113"/>
  <c r="X25" i="113"/>
  <c r="V25" i="113"/>
  <c r="X24" i="113"/>
  <c r="V24" i="113"/>
  <c r="X23" i="113"/>
  <c r="V23" i="113"/>
  <c r="X22" i="113"/>
  <c r="V22" i="113"/>
  <c r="X21" i="113"/>
  <c r="V21" i="113"/>
  <c r="X20" i="113"/>
  <c r="V20" i="113"/>
  <c r="X19" i="113"/>
  <c r="V19" i="113"/>
  <c r="X18" i="113"/>
  <c r="V18" i="113"/>
  <c r="X17" i="113"/>
  <c r="V17" i="113"/>
  <c r="X16" i="113"/>
  <c r="V16" i="113"/>
  <c r="X15" i="113"/>
  <c r="V15" i="113"/>
  <c r="X14" i="113"/>
  <c r="V14" i="113"/>
  <c r="X13" i="113"/>
  <c r="V13" i="113"/>
  <c r="X12" i="113"/>
  <c r="V12" i="113"/>
  <c r="X11" i="113"/>
  <c r="V11" i="113"/>
  <c r="X10" i="113"/>
  <c r="V10" i="113"/>
  <c r="X9" i="113"/>
  <c r="V9" i="113"/>
  <c r="X8" i="113"/>
  <c r="V8" i="113"/>
  <c r="X7" i="113"/>
  <c r="V7" i="113"/>
  <c r="X76" i="118" l="1"/>
  <c r="X76" i="120"/>
  <c r="X76" i="113"/>
  <c r="X76" i="116"/>
  <c r="X77" i="114"/>
  <c r="X77" i="115"/>
  <c r="X76" i="119"/>
  <c r="Z76" i="117"/>
  <c r="X35" i="46" l="1"/>
  <c r="L27" i="46"/>
  <c r="L22" i="46"/>
  <c r="K34" i="46"/>
  <c r="L34" i="46" s="1"/>
  <c r="AJ30" i="46" l="1"/>
  <c r="W76" i="33" l="1"/>
  <c r="AD23" i="113" l="1"/>
  <c r="F75" i="49" l="1"/>
  <c r="F74" i="49"/>
  <c r="D75" i="49"/>
  <c r="D74" i="49"/>
  <c r="E76" i="49"/>
  <c r="C76" i="49"/>
  <c r="F76" i="49" l="1"/>
  <c r="G74" i="49"/>
  <c r="D76" i="49"/>
  <c r="G75" i="49"/>
  <c r="O77" i="115"/>
  <c r="Q77" i="115"/>
  <c r="F76" i="115"/>
  <c r="G76" i="49" l="1"/>
  <c r="G76" i="115"/>
  <c r="V77" i="114" l="1"/>
  <c r="Q76" i="120" l="1"/>
  <c r="Q76" i="119"/>
  <c r="Q76" i="118"/>
  <c r="Q76" i="117"/>
  <c r="Q76" i="116"/>
  <c r="AF77" i="114"/>
  <c r="Q77" i="114"/>
  <c r="Q76" i="113"/>
  <c r="R74" i="76"/>
  <c r="AG74" i="76"/>
  <c r="R74" i="80"/>
  <c r="AG74" i="80"/>
  <c r="AF77" i="115" l="1"/>
  <c r="AF76" i="116"/>
  <c r="AH76" i="117"/>
  <c r="AF76" i="118"/>
  <c r="AF76" i="113"/>
  <c r="S18" i="46" l="1"/>
  <c r="S38" i="46" s="1"/>
  <c r="AJ18" i="46"/>
  <c r="AJ38" i="46" s="1"/>
  <c r="W74" i="80"/>
  <c r="W74" i="76"/>
  <c r="V76" i="113" l="1"/>
  <c r="V77" i="115"/>
  <c r="V76" i="116"/>
  <c r="X76" i="117"/>
  <c r="V76" i="118"/>
  <c r="V76" i="119"/>
  <c r="V76" i="120" l="1"/>
  <c r="G132" i="108"/>
  <c r="P41" i="2" l="1"/>
  <c r="E75" i="33"/>
  <c r="D75" i="33"/>
  <c r="E74" i="33"/>
  <c r="D74" i="33"/>
  <c r="E73" i="33"/>
  <c r="D73" i="33"/>
  <c r="E72" i="33"/>
  <c r="D72" i="33"/>
  <c r="E71" i="33"/>
  <c r="D71" i="33"/>
  <c r="E70" i="33"/>
  <c r="D70" i="33"/>
  <c r="E69" i="33"/>
  <c r="D69" i="33"/>
  <c r="E68" i="33"/>
  <c r="D68" i="33"/>
  <c r="E67" i="33"/>
  <c r="D67" i="33"/>
  <c r="E66" i="33"/>
  <c r="D66" i="33"/>
  <c r="E65" i="33"/>
  <c r="D65" i="33"/>
  <c r="E64" i="33"/>
  <c r="D64" i="33"/>
  <c r="E63" i="33"/>
  <c r="D63" i="33"/>
  <c r="E62" i="33"/>
  <c r="D62" i="33"/>
  <c r="E61" i="33"/>
  <c r="D61" i="33"/>
  <c r="E60" i="33"/>
  <c r="D60" i="33"/>
  <c r="E59" i="33"/>
  <c r="D59" i="33"/>
  <c r="E58" i="33"/>
  <c r="D58" i="33"/>
  <c r="E57" i="33"/>
  <c r="D57" i="33"/>
  <c r="E56" i="33"/>
  <c r="D56" i="33"/>
  <c r="E55" i="33"/>
  <c r="D55" i="33"/>
  <c r="E54" i="33"/>
  <c r="D54" i="33"/>
  <c r="E53" i="33"/>
  <c r="D53" i="33"/>
  <c r="E52" i="33"/>
  <c r="D52" i="33"/>
  <c r="E51" i="33"/>
  <c r="D51" i="33"/>
  <c r="E50" i="33"/>
  <c r="D50" i="33"/>
  <c r="E49" i="33"/>
  <c r="D49" i="33"/>
  <c r="E48" i="33"/>
  <c r="D48" i="33"/>
  <c r="E47" i="33"/>
  <c r="D47" i="33"/>
  <c r="E46" i="33"/>
  <c r="D46" i="33"/>
  <c r="E45" i="33"/>
  <c r="D45" i="33"/>
  <c r="E44" i="33"/>
  <c r="D44" i="33"/>
  <c r="E43" i="33"/>
  <c r="D43" i="33"/>
  <c r="E42" i="33"/>
  <c r="D42" i="33"/>
  <c r="E41" i="33"/>
  <c r="D41" i="33"/>
  <c r="E40" i="33"/>
  <c r="D40" i="33"/>
  <c r="E39" i="33"/>
  <c r="D39" i="33"/>
  <c r="E38" i="33"/>
  <c r="D38" i="33"/>
  <c r="E37" i="33"/>
  <c r="D37" i="33"/>
  <c r="E36" i="33"/>
  <c r="D36" i="33"/>
  <c r="E35" i="33"/>
  <c r="D35" i="33"/>
  <c r="E34" i="33"/>
  <c r="D34" i="33"/>
  <c r="E33" i="33"/>
  <c r="D33" i="33"/>
  <c r="E32" i="33"/>
  <c r="D32" i="33"/>
  <c r="E31" i="33"/>
  <c r="D31" i="33"/>
  <c r="E30" i="33"/>
  <c r="D30" i="33"/>
  <c r="E29" i="33"/>
  <c r="D29" i="33"/>
  <c r="E28" i="33"/>
  <c r="D28" i="33"/>
  <c r="E27" i="33"/>
  <c r="D27" i="33"/>
  <c r="E26" i="33"/>
  <c r="D26" i="33"/>
  <c r="E25" i="33"/>
  <c r="D25" i="33"/>
  <c r="E24" i="33"/>
  <c r="D24" i="33"/>
  <c r="E23" i="33"/>
  <c r="D23" i="33"/>
  <c r="E22" i="33"/>
  <c r="D22" i="33"/>
  <c r="E21" i="33"/>
  <c r="D21" i="33"/>
  <c r="E20" i="33"/>
  <c r="D20" i="33"/>
  <c r="E19" i="33"/>
  <c r="D19" i="33"/>
  <c r="E18" i="33"/>
  <c r="D18" i="33"/>
  <c r="E17" i="33"/>
  <c r="D17" i="33"/>
  <c r="E16" i="33"/>
  <c r="D16" i="33"/>
  <c r="E15" i="33"/>
  <c r="D15" i="33"/>
  <c r="E14" i="33"/>
  <c r="D14" i="33"/>
  <c r="E13" i="33"/>
  <c r="D13" i="33"/>
  <c r="E12" i="33"/>
  <c r="D12" i="33"/>
  <c r="E11" i="33"/>
  <c r="D11" i="33"/>
  <c r="E10" i="33"/>
  <c r="D10" i="33"/>
  <c r="E9" i="33"/>
  <c r="D9" i="33"/>
  <c r="E8" i="33"/>
  <c r="D8" i="33"/>
  <c r="E7" i="33"/>
  <c r="D7" i="33"/>
  <c r="T41" i="2" l="1"/>
  <c r="U41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6" i="2"/>
  <c r="T43" i="2"/>
  <c r="T45" i="2"/>
  <c r="T46" i="2"/>
  <c r="V46" i="2" s="1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V59" i="2" s="1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42" i="2"/>
  <c r="T7" i="2"/>
  <c r="T8" i="2"/>
  <c r="T9" i="2"/>
  <c r="T10" i="2"/>
  <c r="T11" i="2"/>
  <c r="T12" i="2"/>
  <c r="T13" i="2"/>
  <c r="T14" i="2"/>
  <c r="T15" i="2"/>
  <c r="T16" i="2"/>
  <c r="T17" i="2"/>
  <c r="T18" i="2"/>
  <c r="V18" i="2" s="1"/>
  <c r="T19" i="2"/>
  <c r="T20" i="2"/>
  <c r="T21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6" i="2"/>
  <c r="V70" i="2"/>
  <c r="V30" i="2" l="1"/>
  <c r="V42" i="2"/>
  <c r="V6" i="2"/>
  <c r="V41" i="2"/>
  <c r="V69" i="2"/>
  <c r="V53" i="2"/>
  <c r="V36" i="2"/>
  <c r="V12" i="2"/>
  <c r="V62" i="2"/>
  <c r="V54" i="2"/>
  <c r="V39" i="2"/>
  <c r="V35" i="2"/>
  <c r="V31" i="2"/>
  <c r="V27" i="2"/>
  <c r="V23" i="2"/>
  <c r="V19" i="2"/>
  <c r="V15" i="2"/>
  <c r="V11" i="2"/>
  <c r="V7" i="2"/>
  <c r="V72" i="2"/>
  <c r="V68" i="2"/>
  <c r="V64" i="2"/>
  <c r="V60" i="2"/>
  <c r="V56" i="2"/>
  <c r="V52" i="2"/>
  <c r="V48" i="2"/>
  <c r="V73" i="2"/>
  <c r="V65" i="2"/>
  <c r="V61" i="2"/>
  <c r="V57" i="2"/>
  <c r="V49" i="2"/>
  <c r="V45" i="2"/>
  <c r="V40" i="2"/>
  <c r="V32" i="2"/>
  <c r="V28" i="2"/>
  <c r="V24" i="2"/>
  <c r="V20" i="2"/>
  <c r="V16" i="2"/>
  <c r="V8" i="2"/>
  <c r="V71" i="2"/>
  <c r="V67" i="2"/>
  <c r="V63" i="2"/>
  <c r="V55" i="2"/>
  <c r="V51" i="2"/>
  <c r="V47" i="2"/>
  <c r="V43" i="2"/>
  <c r="V38" i="2"/>
  <c r="V34" i="2"/>
  <c r="V26" i="2"/>
  <c r="V14" i="2"/>
  <c r="V10" i="2"/>
  <c r="V74" i="2"/>
  <c r="V66" i="2"/>
  <c r="V58" i="2"/>
  <c r="V50" i="2"/>
  <c r="U75" i="2"/>
  <c r="V37" i="2"/>
  <c r="V33" i="2"/>
  <c r="V29" i="2"/>
  <c r="V25" i="2"/>
  <c r="V21" i="2"/>
  <c r="V17" i="2"/>
  <c r="V9" i="2"/>
  <c r="V13" i="2"/>
  <c r="F14" i="46"/>
  <c r="F13" i="46"/>
  <c r="C7" i="46" l="1"/>
  <c r="C33" i="46" l="1"/>
  <c r="C26" i="46"/>
  <c r="C21" i="46"/>
  <c r="C7" i="31" l="1"/>
  <c r="P44" i="2"/>
  <c r="P22" i="2"/>
  <c r="T22" i="2" l="1"/>
  <c r="V22" i="2" s="1"/>
  <c r="T44" i="2"/>
  <c r="V44" i="2" s="1"/>
  <c r="AH15" i="46"/>
  <c r="F29" i="46"/>
  <c r="F28" i="46"/>
  <c r="F23" i="46"/>
  <c r="F10" i="46"/>
  <c r="F17" i="46"/>
  <c r="F16" i="46"/>
  <c r="F15" i="46"/>
  <c r="F12" i="46"/>
  <c r="F11" i="46"/>
  <c r="C41" i="31"/>
  <c r="C40" i="31"/>
  <c r="G16" i="31"/>
  <c r="V75" i="2" l="1"/>
  <c r="G15" i="46"/>
  <c r="C75" i="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73" i="80" l="1"/>
  <c r="C72" i="80"/>
  <c r="C71" i="80"/>
  <c r="C70" i="80"/>
  <c r="C69" i="80"/>
  <c r="C68" i="80"/>
  <c r="C67" i="80"/>
  <c r="C66" i="80"/>
  <c r="C65" i="80"/>
  <c r="C64" i="80"/>
  <c r="C63" i="80"/>
  <c r="C62" i="80"/>
  <c r="C61" i="80"/>
  <c r="C60" i="80"/>
  <c r="C59" i="80"/>
  <c r="C58" i="80"/>
  <c r="C57" i="80"/>
  <c r="C56" i="80"/>
  <c r="C55" i="80"/>
  <c r="C54" i="80"/>
  <c r="C53" i="80"/>
  <c r="C52" i="80"/>
  <c r="C51" i="80"/>
  <c r="C50" i="80"/>
  <c r="C49" i="80"/>
  <c r="C48" i="80"/>
  <c r="C47" i="80"/>
  <c r="C46" i="80"/>
  <c r="C45" i="80"/>
  <c r="C44" i="80"/>
  <c r="C43" i="80"/>
  <c r="C42" i="80"/>
  <c r="C41" i="80"/>
  <c r="C40" i="80"/>
  <c r="C39" i="80"/>
  <c r="C38" i="80"/>
  <c r="C37" i="80"/>
  <c r="C36" i="80"/>
  <c r="C35" i="80"/>
  <c r="C34" i="80"/>
  <c r="C33" i="80"/>
  <c r="C32" i="80"/>
  <c r="C31" i="80"/>
  <c r="C30" i="80"/>
  <c r="C29" i="80"/>
  <c r="C28" i="80"/>
  <c r="C27" i="80"/>
  <c r="C26" i="80"/>
  <c r="C25" i="80"/>
  <c r="C24" i="80"/>
  <c r="C23" i="80"/>
  <c r="C22" i="80"/>
  <c r="C21" i="80"/>
  <c r="C20" i="80"/>
  <c r="C19" i="80"/>
  <c r="C18" i="80"/>
  <c r="C17" i="80"/>
  <c r="C16" i="80"/>
  <c r="C15" i="80"/>
  <c r="C14" i="80"/>
  <c r="C13" i="80"/>
  <c r="C12" i="80"/>
  <c r="C11" i="80"/>
  <c r="C10" i="80"/>
  <c r="C9" i="80"/>
  <c r="C8" i="80"/>
  <c r="C7" i="80"/>
  <c r="C6" i="80"/>
  <c r="C5" i="80"/>
  <c r="C73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75" i="118"/>
  <c r="C74" i="118"/>
  <c r="C73" i="118"/>
  <c r="C72" i="118"/>
  <c r="C71" i="118"/>
  <c r="C70" i="118"/>
  <c r="C69" i="118"/>
  <c r="C68" i="118"/>
  <c r="C67" i="118"/>
  <c r="C66" i="118"/>
  <c r="C65" i="118"/>
  <c r="C64" i="118"/>
  <c r="C63" i="118"/>
  <c r="C62" i="118"/>
  <c r="C61" i="118"/>
  <c r="C60" i="118"/>
  <c r="C59" i="118"/>
  <c r="C58" i="118"/>
  <c r="C57" i="118"/>
  <c r="C56" i="118"/>
  <c r="C55" i="118"/>
  <c r="C54" i="118"/>
  <c r="C53" i="118"/>
  <c r="C52" i="118"/>
  <c r="C51" i="118"/>
  <c r="C50" i="118"/>
  <c r="C49" i="118"/>
  <c r="C48" i="118"/>
  <c r="C47" i="118"/>
  <c r="C46" i="118"/>
  <c r="C45" i="118"/>
  <c r="C44" i="118"/>
  <c r="C43" i="118"/>
  <c r="C42" i="118"/>
  <c r="C41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C16" i="118"/>
  <c r="C15" i="118"/>
  <c r="C14" i="118"/>
  <c r="C13" i="118"/>
  <c r="C12" i="118"/>
  <c r="C11" i="118"/>
  <c r="C10" i="118"/>
  <c r="C9" i="118"/>
  <c r="C8" i="118"/>
  <c r="C7" i="118"/>
  <c r="C75" i="117"/>
  <c r="C74" i="117"/>
  <c r="C73" i="117"/>
  <c r="C72" i="117"/>
  <c r="C71" i="117"/>
  <c r="C70" i="117"/>
  <c r="C69" i="117"/>
  <c r="C68" i="117"/>
  <c r="C67" i="117"/>
  <c r="C66" i="117"/>
  <c r="C65" i="117"/>
  <c r="C64" i="117"/>
  <c r="C63" i="117"/>
  <c r="C62" i="117"/>
  <c r="C61" i="117"/>
  <c r="C60" i="117"/>
  <c r="C59" i="117"/>
  <c r="C58" i="117"/>
  <c r="C57" i="117"/>
  <c r="C56" i="117"/>
  <c r="C55" i="117"/>
  <c r="C54" i="117"/>
  <c r="C53" i="117"/>
  <c r="C52" i="117"/>
  <c r="C51" i="117"/>
  <c r="C50" i="117"/>
  <c r="C49" i="117"/>
  <c r="C48" i="117"/>
  <c r="C47" i="117"/>
  <c r="C46" i="117"/>
  <c r="C45" i="117"/>
  <c r="C44" i="117"/>
  <c r="C43" i="117"/>
  <c r="C42" i="117"/>
  <c r="C41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C16" i="117"/>
  <c r="C15" i="117"/>
  <c r="C14" i="117"/>
  <c r="C13" i="117"/>
  <c r="C12" i="117"/>
  <c r="C11" i="117"/>
  <c r="C10" i="117"/>
  <c r="C9" i="117"/>
  <c r="C8" i="117"/>
  <c r="C7" i="117"/>
  <c r="C75" i="116"/>
  <c r="C74" i="116"/>
  <c r="C73" i="116"/>
  <c r="C72" i="116"/>
  <c r="C71" i="116"/>
  <c r="C70" i="116"/>
  <c r="C69" i="116"/>
  <c r="C68" i="116"/>
  <c r="C67" i="116"/>
  <c r="C66" i="116"/>
  <c r="C65" i="116"/>
  <c r="C64" i="116"/>
  <c r="C63" i="116"/>
  <c r="C62" i="116"/>
  <c r="C61" i="116"/>
  <c r="C60" i="116"/>
  <c r="C59" i="116"/>
  <c r="C58" i="116"/>
  <c r="C57" i="116"/>
  <c r="C56" i="116"/>
  <c r="C55" i="116"/>
  <c r="C54" i="116"/>
  <c r="C53" i="116"/>
  <c r="C52" i="116"/>
  <c r="C51" i="116"/>
  <c r="C50" i="116"/>
  <c r="C49" i="116"/>
  <c r="C48" i="116"/>
  <c r="C47" i="116"/>
  <c r="C46" i="116"/>
  <c r="C45" i="116"/>
  <c r="C44" i="116"/>
  <c r="C43" i="116"/>
  <c r="C42" i="116"/>
  <c r="C41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C16" i="116"/>
  <c r="C15" i="116"/>
  <c r="C14" i="116"/>
  <c r="C13" i="116"/>
  <c r="C12" i="116"/>
  <c r="C11" i="116"/>
  <c r="C10" i="116"/>
  <c r="C9" i="116"/>
  <c r="C8" i="116"/>
  <c r="C7" i="116"/>
  <c r="C75" i="115"/>
  <c r="C74" i="115"/>
  <c r="C73" i="115"/>
  <c r="C72" i="115"/>
  <c r="C71" i="115"/>
  <c r="C70" i="115"/>
  <c r="C69" i="115"/>
  <c r="C68" i="115"/>
  <c r="C67" i="115"/>
  <c r="C66" i="115"/>
  <c r="C65" i="115"/>
  <c r="C64" i="115"/>
  <c r="C63" i="115"/>
  <c r="C62" i="115"/>
  <c r="C61" i="115"/>
  <c r="C60" i="115"/>
  <c r="C59" i="115"/>
  <c r="C58" i="115"/>
  <c r="C57" i="115"/>
  <c r="C56" i="115"/>
  <c r="C55" i="115"/>
  <c r="C54" i="115"/>
  <c r="C53" i="115"/>
  <c r="C52" i="115"/>
  <c r="C51" i="115"/>
  <c r="C50" i="115"/>
  <c r="C49" i="115"/>
  <c r="C48" i="115"/>
  <c r="C47" i="115"/>
  <c r="C46" i="115"/>
  <c r="C45" i="115"/>
  <c r="C44" i="115"/>
  <c r="C43" i="115"/>
  <c r="C42" i="115"/>
  <c r="C41" i="115"/>
  <c r="C40" i="115"/>
  <c r="C39" i="115"/>
  <c r="C38" i="115"/>
  <c r="C37" i="115"/>
  <c r="C36" i="115"/>
  <c r="C35" i="115"/>
  <c r="C34" i="115"/>
  <c r="C33" i="115"/>
  <c r="C32" i="115"/>
  <c r="C31" i="115"/>
  <c r="C30" i="115"/>
  <c r="C29" i="115"/>
  <c r="C28" i="115"/>
  <c r="C27" i="115"/>
  <c r="C26" i="115"/>
  <c r="C25" i="115"/>
  <c r="C24" i="115"/>
  <c r="C23" i="115"/>
  <c r="C22" i="115"/>
  <c r="C21" i="115"/>
  <c r="C20" i="115"/>
  <c r="C19" i="115"/>
  <c r="C18" i="115"/>
  <c r="C17" i="115"/>
  <c r="C16" i="115"/>
  <c r="C15" i="115"/>
  <c r="C14" i="115"/>
  <c r="C13" i="115"/>
  <c r="C12" i="115"/>
  <c r="C11" i="115"/>
  <c r="C10" i="115"/>
  <c r="C9" i="115"/>
  <c r="C8" i="115"/>
  <c r="C7" i="115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3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3" i="114"/>
  <c r="C42" i="114"/>
  <c r="C41" i="114"/>
  <c r="C40" i="114"/>
  <c r="C39" i="114"/>
  <c r="C38" i="114"/>
  <c r="C37" i="114"/>
  <c r="C36" i="114"/>
  <c r="C35" i="114"/>
  <c r="C34" i="114"/>
  <c r="C33" i="114"/>
  <c r="C32" i="114"/>
  <c r="C31" i="114"/>
  <c r="C30" i="114"/>
  <c r="C29" i="114"/>
  <c r="C28" i="114"/>
  <c r="C27" i="114"/>
  <c r="C26" i="114"/>
  <c r="C25" i="114"/>
  <c r="C24" i="114"/>
  <c r="C23" i="114"/>
  <c r="C22" i="114"/>
  <c r="C21" i="114"/>
  <c r="C20" i="114"/>
  <c r="C19" i="114"/>
  <c r="C18" i="114"/>
  <c r="C17" i="114"/>
  <c r="C16" i="114"/>
  <c r="C15" i="114"/>
  <c r="C14" i="114"/>
  <c r="C13" i="114"/>
  <c r="C12" i="114"/>
  <c r="C11" i="114"/>
  <c r="C10" i="114"/>
  <c r="C9" i="114"/>
  <c r="C8" i="114"/>
  <c r="C7" i="114"/>
  <c r="C75" i="113"/>
  <c r="C74" i="113"/>
  <c r="C73" i="113"/>
  <c r="C72" i="113"/>
  <c r="C71" i="113"/>
  <c r="C70" i="113"/>
  <c r="C69" i="113"/>
  <c r="C68" i="113"/>
  <c r="C67" i="113"/>
  <c r="C66" i="113"/>
  <c r="C65" i="113"/>
  <c r="C64" i="113"/>
  <c r="C63" i="113"/>
  <c r="C62" i="113"/>
  <c r="C61" i="113"/>
  <c r="C60" i="113"/>
  <c r="C59" i="113"/>
  <c r="C58" i="113"/>
  <c r="C57" i="113"/>
  <c r="C56" i="113"/>
  <c r="C55" i="113"/>
  <c r="C54" i="113"/>
  <c r="C53" i="113"/>
  <c r="C52" i="113"/>
  <c r="C51" i="113"/>
  <c r="C50" i="113"/>
  <c r="C49" i="113"/>
  <c r="C48" i="113"/>
  <c r="C47" i="113"/>
  <c r="C46" i="113"/>
  <c r="C45" i="113"/>
  <c r="C44" i="113"/>
  <c r="C43" i="113"/>
  <c r="C42" i="113"/>
  <c r="C41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C16" i="113"/>
  <c r="C15" i="113"/>
  <c r="C14" i="113"/>
  <c r="C13" i="113"/>
  <c r="C12" i="113"/>
  <c r="C11" i="113"/>
  <c r="C10" i="113"/>
  <c r="C9" i="113"/>
  <c r="C8" i="113"/>
  <c r="C7" i="113"/>
  <c r="C77" i="115" l="1"/>
  <c r="BJ74" i="121" l="1"/>
  <c r="BI74" i="121"/>
  <c r="BH74" i="121"/>
  <c r="BG74" i="121"/>
  <c r="BF74" i="121"/>
  <c r="BE74" i="121"/>
  <c r="BD74" i="121"/>
  <c r="BC74" i="121"/>
  <c r="BB74" i="121"/>
  <c r="BA74" i="121"/>
  <c r="AZ74" i="121"/>
  <c r="AY74" i="121"/>
  <c r="AX74" i="121"/>
  <c r="AW74" i="121"/>
  <c r="AV74" i="121"/>
  <c r="AU74" i="121"/>
  <c r="AT74" i="121"/>
  <c r="AS74" i="121"/>
  <c r="AR74" i="121"/>
  <c r="AQ74" i="121"/>
  <c r="AP74" i="121"/>
  <c r="AO74" i="121"/>
  <c r="AN74" i="121"/>
  <c r="AM74" i="121"/>
  <c r="AL74" i="121"/>
  <c r="AK74" i="121"/>
  <c r="AJ74" i="121"/>
  <c r="AI74" i="121"/>
  <c r="AH74" i="121"/>
  <c r="AG74" i="121"/>
  <c r="AF74" i="121"/>
  <c r="AE74" i="121"/>
  <c r="AC74" i="121"/>
  <c r="AB74" i="121"/>
  <c r="Z74" i="121"/>
  <c r="Y74" i="121"/>
  <c r="X74" i="121"/>
  <c r="W74" i="121"/>
  <c r="V74" i="121"/>
  <c r="U74" i="121"/>
  <c r="T74" i="121"/>
  <c r="S74" i="121"/>
  <c r="R74" i="121"/>
  <c r="Q74" i="121"/>
  <c r="P74" i="121"/>
  <c r="O74" i="121"/>
  <c r="N74" i="121"/>
  <c r="M74" i="121"/>
  <c r="L74" i="121"/>
  <c r="K74" i="121"/>
  <c r="J74" i="121"/>
  <c r="I74" i="121"/>
  <c r="H74" i="121"/>
  <c r="G74" i="121"/>
  <c r="AD73" i="121"/>
  <c r="AD5" i="121" l="1"/>
  <c r="AD7" i="121"/>
  <c r="AD9" i="121"/>
  <c r="AD11" i="121"/>
  <c r="AD13" i="121"/>
  <c r="AD15" i="121"/>
  <c r="AD17" i="121"/>
  <c r="AD19" i="121"/>
  <c r="AD21" i="121"/>
  <c r="AD23" i="121"/>
  <c r="AD25" i="121"/>
  <c r="AD27" i="121"/>
  <c r="AD29" i="121"/>
  <c r="AD31" i="121"/>
  <c r="AD33" i="121"/>
  <c r="AD35" i="121"/>
  <c r="AD37" i="121"/>
  <c r="AD39" i="121"/>
  <c r="C43" i="1" s="1"/>
  <c r="AD41" i="121"/>
  <c r="AD43" i="121"/>
  <c r="AD45" i="121"/>
  <c r="AD47" i="121"/>
  <c r="AD49" i="121"/>
  <c r="AD51" i="121"/>
  <c r="AD53" i="121"/>
  <c r="AD55" i="121"/>
  <c r="AD57" i="121"/>
  <c r="AD59" i="121"/>
  <c r="AD61" i="121"/>
  <c r="AD63" i="121"/>
  <c r="AD65" i="121"/>
  <c r="AD67" i="121"/>
  <c r="AD69" i="121"/>
  <c r="AD71" i="121"/>
  <c r="AA74" i="121"/>
  <c r="AD6" i="121"/>
  <c r="AD8" i="121"/>
  <c r="AD10" i="121"/>
  <c r="AD12" i="121"/>
  <c r="AD14" i="121"/>
  <c r="AD16" i="121"/>
  <c r="AD18" i="121"/>
  <c r="AD20" i="121"/>
  <c r="AD22" i="121"/>
  <c r="AD24" i="121"/>
  <c r="AD26" i="121"/>
  <c r="AD28" i="121"/>
  <c r="AD30" i="121"/>
  <c r="AD32" i="121"/>
  <c r="AD34" i="121"/>
  <c r="AD36" i="121"/>
  <c r="AD38" i="121"/>
  <c r="AD40" i="121"/>
  <c r="AD42" i="121"/>
  <c r="AD44" i="121"/>
  <c r="AD46" i="121"/>
  <c r="AD48" i="121"/>
  <c r="AD50" i="121"/>
  <c r="AD52" i="121"/>
  <c r="AD54" i="121"/>
  <c r="AD56" i="121"/>
  <c r="AD58" i="121"/>
  <c r="AD60" i="121"/>
  <c r="AD62" i="121"/>
  <c r="AD64" i="121"/>
  <c r="AD66" i="121"/>
  <c r="AD68" i="121"/>
  <c r="AD70" i="121"/>
  <c r="AD72" i="121"/>
  <c r="AD4" i="121"/>
  <c r="C74" i="1" l="1"/>
  <c r="C70" i="1"/>
  <c r="C66" i="1"/>
  <c r="C62" i="1"/>
  <c r="C58" i="1"/>
  <c r="C54" i="1"/>
  <c r="C50" i="1"/>
  <c r="C46" i="1"/>
  <c r="C42" i="1"/>
  <c r="C38" i="1"/>
  <c r="C34" i="1"/>
  <c r="C30" i="1"/>
  <c r="C24" i="1"/>
  <c r="C20" i="1"/>
  <c r="C16" i="1"/>
  <c r="C14" i="1"/>
  <c r="C12" i="1"/>
  <c r="C10" i="1"/>
  <c r="C75" i="1"/>
  <c r="C71" i="1"/>
  <c r="C67" i="1"/>
  <c r="C63" i="1"/>
  <c r="C59" i="1"/>
  <c r="C55" i="1"/>
  <c r="C51" i="1"/>
  <c r="C49" i="1"/>
  <c r="C47" i="1"/>
  <c r="C41" i="1"/>
  <c r="C39" i="1"/>
  <c r="C37" i="1"/>
  <c r="C35" i="1"/>
  <c r="C33" i="1"/>
  <c r="C31" i="1"/>
  <c r="C29" i="1"/>
  <c r="C27" i="1"/>
  <c r="C25" i="1"/>
  <c r="C23" i="1"/>
  <c r="C21" i="1"/>
  <c r="C19" i="1"/>
  <c r="C17" i="1"/>
  <c r="C15" i="1"/>
  <c r="C13" i="1"/>
  <c r="C11" i="1"/>
  <c r="C9" i="1"/>
  <c r="C76" i="1"/>
  <c r="C72" i="1"/>
  <c r="C68" i="1"/>
  <c r="C64" i="1"/>
  <c r="C60" i="1"/>
  <c r="C56" i="1"/>
  <c r="C52" i="1"/>
  <c r="C48" i="1"/>
  <c r="C44" i="1"/>
  <c r="C40" i="1"/>
  <c r="C36" i="1"/>
  <c r="C32" i="1"/>
  <c r="C28" i="1"/>
  <c r="C26" i="1"/>
  <c r="C22" i="1"/>
  <c r="C18" i="1"/>
  <c r="C73" i="1"/>
  <c r="C69" i="1"/>
  <c r="C65" i="1"/>
  <c r="C61" i="1"/>
  <c r="C57" i="1"/>
  <c r="C53" i="1"/>
  <c r="C45" i="1"/>
  <c r="AD74" i="121"/>
  <c r="C8" i="1"/>
  <c r="E16" i="81" l="1"/>
  <c r="AD76" i="120"/>
  <c r="O76" i="120"/>
  <c r="F76" i="120"/>
  <c r="F75" i="120"/>
  <c r="F74" i="120"/>
  <c r="F73" i="120"/>
  <c r="F72" i="120"/>
  <c r="F71" i="120"/>
  <c r="F70" i="120"/>
  <c r="F69" i="120"/>
  <c r="F68" i="120"/>
  <c r="F67" i="120"/>
  <c r="F66" i="120"/>
  <c r="F65" i="120"/>
  <c r="F64" i="120"/>
  <c r="F63" i="120"/>
  <c r="F62" i="120"/>
  <c r="F61" i="120"/>
  <c r="F60" i="120"/>
  <c r="F59" i="120"/>
  <c r="F58" i="120"/>
  <c r="F57" i="120"/>
  <c r="F56" i="120"/>
  <c r="F55" i="120"/>
  <c r="F54" i="120"/>
  <c r="F53" i="120"/>
  <c r="F52" i="120"/>
  <c r="F51" i="120"/>
  <c r="F50" i="120"/>
  <c r="F49" i="120"/>
  <c r="F48" i="120"/>
  <c r="F47" i="120"/>
  <c r="F46" i="120"/>
  <c r="F45" i="120"/>
  <c r="F44" i="120"/>
  <c r="F43" i="120"/>
  <c r="F42" i="120"/>
  <c r="F41" i="120"/>
  <c r="F40" i="120"/>
  <c r="F39" i="120"/>
  <c r="F38" i="120"/>
  <c r="F37" i="120"/>
  <c r="F36" i="120"/>
  <c r="F35" i="120"/>
  <c r="F34" i="120"/>
  <c r="F33" i="120"/>
  <c r="F32" i="120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C76" i="120"/>
  <c r="D5" i="120"/>
  <c r="E5" i="120" s="1"/>
  <c r="F5" i="120" s="1"/>
  <c r="G5" i="120" s="1"/>
  <c r="H5" i="120" s="1"/>
  <c r="I5" i="120" s="1"/>
  <c r="J5" i="120" s="1"/>
  <c r="K5" i="120" s="1"/>
  <c r="L5" i="120" s="1"/>
  <c r="AD76" i="119"/>
  <c r="O76" i="119"/>
  <c r="F76" i="119"/>
  <c r="F75" i="119"/>
  <c r="F74" i="119"/>
  <c r="F73" i="119"/>
  <c r="F72" i="119"/>
  <c r="F71" i="119"/>
  <c r="F70" i="119"/>
  <c r="F69" i="119"/>
  <c r="F68" i="119"/>
  <c r="F67" i="119"/>
  <c r="F66" i="119"/>
  <c r="F65" i="119"/>
  <c r="F64" i="119"/>
  <c r="F63" i="119"/>
  <c r="F62" i="119"/>
  <c r="F61" i="119"/>
  <c r="F60" i="119"/>
  <c r="F59" i="119"/>
  <c r="F58" i="119"/>
  <c r="F57" i="119"/>
  <c r="F56" i="119"/>
  <c r="F55" i="119"/>
  <c r="F54" i="119"/>
  <c r="F53" i="119"/>
  <c r="F52" i="119"/>
  <c r="F51" i="119"/>
  <c r="F50" i="119"/>
  <c r="F49" i="119"/>
  <c r="F48" i="119"/>
  <c r="F47" i="119"/>
  <c r="F46" i="119"/>
  <c r="F45" i="119"/>
  <c r="F44" i="119"/>
  <c r="F43" i="119"/>
  <c r="F42" i="119"/>
  <c r="F41" i="119"/>
  <c r="F40" i="119"/>
  <c r="F39" i="119"/>
  <c r="F38" i="119"/>
  <c r="F37" i="119"/>
  <c r="F36" i="119"/>
  <c r="F35" i="119"/>
  <c r="F34" i="119"/>
  <c r="F33" i="119"/>
  <c r="F32" i="119"/>
  <c r="F31" i="119"/>
  <c r="F30" i="119"/>
  <c r="F29" i="119"/>
  <c r="F28" i="119"/>
  <c r="F27" i="119"/>
  <c r="F26" i="119"/>
  <c r="F25" i="119"/>
  <c r="F24" i="119"/>
  <c r="F23" i="119"/>
  <c r="F22" i="119"/>
  <c r="F21" i="119"/>
  <c r="F20" i="119"/>
  <c r="F19" i="119"/>
  <c r="F18" i="119"/>
  <c r="F17" i="119"/>
  <c r="F16" i="119"/>
  <c r="F15" i="119"/>
  <c r="F14" i="119"/>
  <c r="F13" i="119"/>
  <c r="F12" i="119"/>
  <c r="F11" i="119"/>
  <c r="F10" i="119"/>
  <c r="F9" i="119"/>
  <c r="F8" i="119"/>
  <c r="F7" i="119"/>
  <c r="D5" i="119"/>
  <c r="E5" i="119" s="1"/>
  <c r="F5" i="119" s="1"/>
  <c r="G5" i="119" s="1"/>
  <c r="H5" i="119" s="1"/>
  <c r="AD76" i="118"/>
  <c r="O76" i="118"/>
  <c r="F76" i="118"/>
  <c r="F75" i="118"/>
  <c r="F74" i="118"/>
  <c r="F73" i="118"/>
  <c r="F72" i="118"/>
  <c r="F71" i="118"/>
  <c r="F70" i="118"/>
  <c r="F69" i="118"/>
  <c r="F68" i="118"/>
  <c r="F67" i="118"/>
  <c r="F66" i="118"/>
  <c r="F65" i="118"/>
  <c r="F64" i="118"/>
  <c r="F63" i="118"/>
  <c r="F62" i="118"/>
  <c r="F61" i="118"/>
  <c r="F60" i="118"/>
  <c r="F59" i="118"/>
  <c r="F58" i="118"/>
  <c r="F57" i="118"/>
  <c r="F56" i="118"/>
  <c r="F55" i="118"/>
  <c r="F54" i="118"/>
  <c r="F53" i="118"/>
  <c r="F52" i="118"/>
  <c r="F51" i="118"/>
  <c r="F50" i="118"/>
  <c r="F49" i="118"/>
  <c r="F48" i="118"/>
  <c r="F47" i="118"/>
  <c r="F46" i="118"/>
  <c r="F45" i="118"/>
  <c r="F44" i="118"/>
  <c r="F43" i="118"/>
  <c r="F42" i="118"/>
  <c r="F41" i="118"/>
  <c r="F40" i="118"/>
  <c r="F39" i="118"/>
  <c r="F38" i="118"/>
  <c r="F37" i="118"/>
  <c r="F36" i="118"/>
  <c r="F35" i="118"/>
  <c r="F34" i="118"/>
  <c r="F33" i="118"/>
  <c r="F32" i="118"/>
  <c r="F31" i="118"/>
  <c r="F30" i="118"/>
  <c r="F29" i="118"/>
  <c r="F28" i="118"/>
  <c r="F27" i="118"/>
  <c r="F26" i="118"/>
  <c r="F25" i="118"/>
  <c r="F24" i="118"/>
  <c r="F23" i="118"/>
  <c r="F22" i="118"/>
  <c r="F21" i="118"/>
  <c r="F20" i="118"/>
  <c r="F19" i="118"/>
  <c r="F18" i="118"/>
  <c r="F17" i="118"/>
  <c r="F16" i="118"/>
  <c r="F15" i="118"/>
  <c r="F14" i="118"/>
  <c r="F13" i="118"/>
  <c r="F12" i="118"/>
  <c r="F11" i="118"/>
  <c r="F10" i="118"/>
  <c r="F9" i="118"/>
  <c r="F8" i="118"/>
  <c r="F7" i="118"/>
  <c r="D5" i="118"/>
  <c r="E5" i="118" s="1"/>
  <c r="F5" i="118" s="1"/>
  <c r="G5" i="118" s="1"/>
  <c r="H5" i="118" s="1"/>
  <c r="C76" i="117"/>
  <c r="F76" i="117"/>
  <c r="F75" i="117"/>
  <c r="F74" i="117"/>
  <c r="F73" i="117"/>
  <c r="F72" i="117"/>
  <c r="F71" i="117"/>
  <c r="F70" i="117"/>
  <c r="F69" i="117"/>
  <c r="F68" i="117"/>
  <c r="F67" i="117"/>
  <c r="F66" i="117"/>
  <c r="F65" i="117"/>
  <c r="F64" i="117"/>
  <c r="F63" i="117"/>
  <c r="F62" i="117"/>
  <c r="F61" i="117"/>
  <c r="F60" i="117"/>
  <c r="F59" i="117"/>
  <c r="F58" i="117"/>
  <c r="F57" i="117"/>
  <c r="F56" i="117"/>
  <c r="F55" i="117"/>
  <c r="F54" i="117"/>
  <c r="F53" i="117"/>
  <c r="F52" i="117"/>
  <c r="F51" i="117"/>
  <c r="F50" i="117"/>
  <c r="F49" i="117"/>
  <c r="F48" i="117"/>
  <c r="F47" i="117"/>
  <c r="F46" i="117"/>
  <c r="F45" i="117"/>
  <c r="F44" i="117"/>
  <c r="F43" i="117"/>
  <c r="F42" i="117"/>
  <c r="F41" i="117"/>
  <c r="F40" i="117"/>
  <c r="F39" i="117"/>
  <c r="F38" i="117"/>
  <c r="F37" i="117"/>
  <c r="F36" i="117"/>
  <c r="F35" i="117"/>
  <c r="F34" i="117"/>
  <c r="F33" i="117"/>
  <c r="F32" i="117"/>
  <c r="F31" i="117"/>
  <c r="F30" i="117"/>
  <c r="F29" i="117"/>
  <c r="F28" i="117"/>
  <c r="F27" i="117"/>
  <c r="F26" i="117"/>
  <c r="F25" i="117"/>
  <c r="F24" i="117"/>
  <c r="AF76" i="117"/>
  <c r="O76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F7" i="117"/>
  <c r="D5" i="117"/>
  <c r="E5" i="117" s="1"/>
  <c r="F5" i="117" s="1"/>
  <c r="G5" i="117" s="1"/>
  <c r="H5" i="117" s="1"/>
  <c r="O76" i="116"/>
  <c r="C76" i="116"/>
  <c r="F76" i="116"/>
  <c r="F75" i="116"/>
  <c r="F74" i="116"/>
  <c r="F73" i="116"/>
  <c r="F72" i="116"/>
  <c r="F71" i="116"/>
  <c r="F70" i="116"/>
  <c r="F69" i="116"/>
  <c r="F68" i="116"/>
  <c r="F67" i="116"/>
  <c r="F66" i="116"/>
  <c r="F65" i="116"/>
  <c r="F64" i="116"/>
  <c r="F63" i="116"/>
  <c r="F62" i="116"/>
  <c r="F61" i="116"/>
  <c r="F60" i="116"/>
  <c r="F59" i="116"/>
  <c r="F58" i="116"/>
  <c r="F57" i="116"/>
  <c r="F56" i="116"/>
  <c r="F55" i="116"/>
  <c r="F54" i="116"/>
  <c r="F53" i="116"/>
  <c r="F52" i="116"/>
  <c r="F51" i="116"/>
  <c r="F50" i="116"/>
  <c r="F49" i="116"/>
  <c r="F48" i="116"/>
  <c r="F47" i="116"/>
  <c r="F46" i="116"/>
  <c r="F45" i="116"/>
  <c r="F44" i="116"/>
  <c r="F43" i="116"/>
  <c r="F42" i="116"/>
  <c r="F41" i="116"/>
  <c r="F40" i="116"/>
  <c r="F39" i="116"/>
  <c r="F38" i="116"/>
  <c r="F37" i="116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AD76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D5" i="116"/>
  <c r="E5" i="116" s="1"/>
  <c r="F5" i="116" s="1"/>
  <c r="G5" i="116" s="1"/>
  <c r="H5" i="116" s="1"/>
  <c r="F77" i="115"/>
  <c r="F75" i="115"/>
  <c r="F74" i="115"/>
  <c r="F73" i="115"/>
  <c r="F72" i="115"/>
  <c r="F71" i="115"/>
  <c r="F70" i="115"/>
  <c r="F69" i="115"/>
  <c r="F68" i="115"/>
  <c r="F67" i="115"/>
  <c r="F66" i="115"/>
  <c r="F65" i="115"/>
  <c r="F64" i="115"/>
  <c r="F63" i="115"/>
  <c r="F62" i="115"/>
  <c r="F61" i="115"/>
  <c r="F60" i="115"/>
  <c r="F59" i="115"/>
  <c r="F58" i="115"/>
  <c r="F57" i="115"/>
  <c r="F56" i="115"/>
  <c r="F55" i="115"/>
  <c r="F54" i="115"/>
  <c r="F53" i="115"/>
  <c r="F52" i="115"/>
  <c r="F51" i="115"/>
  <c r="F50" i="115"/>
  <c r="F49" i="115"/>
  <c r="F48" i="115"/>
  <c r="F47" i="115"/>
  <c r="F46" i="115"/>
  <c r="F45" i="115"/>
  <c r="F44" i="115"/>
  <c r="F43" i="115"/>
  <c r="F42" i="115"/>
  <c r="F41" i="115"/>
  <c r="F40" i="115"/>
  <c r="F39" i="115"/>
  <c r="F38" i="115"/>
  <c r="F37" i="115"/>
  <c r="F36" i="115"/>
  <c r="F35" i="115"/>
  <c r="F34" i="115"/>
  <c r="F33" i="115"/>
  <c r="F32" i="115"/>
  <c r="F31" i="115"/>
  <c r="F30" i="115"/>
  <c r="F29" i="115"/>
  <c r="F28" i="115"/>
  <c r="F27" i="115"/>
  <c r="F26" i="115"/>
  <c r="F25" i="115"/>
  <c r="F24" i="115"/>
  <c r="AD77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D5" i="115"/>
  <c r="E5" i="115" s="1"/>
  <c r="F5" i="115" s="1"/>
  <c r="G5" i="115" s="1"/>
  <c r="H5" i="115" s="1"/>
  <c r="O77" i="114"/>
  <c r="AD77" i="114"/>
  <c r="F76" i="114"/>
  <c r="F77" i="114"/>
  <c r="F75" i="114"/>
  <c r="F74" i="114"/>
  <c r="F73" i="114"/>
  <c r="F72" i="114"/>
  <c r="F71" i="114"/>
  <c r="F70" i="114"/>
  <c r="F69" i="114"/>
  <c r="F68" i="114"/>
  <c r="F67" i="114"/>
  <c r="F66" i="114"/>
  <c r="F65" i="114"/>
  <c r="F64" i="114"/>
  <c r="F63" i="114"/>
  <c r="F62" i="114"/>
  <c r="F61" i="114"/>
  <c r="F60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2" i="114"/>
  <c r="F41" i="114"/>
  <c r="F40" i="114"/>
  <c r="F39" i="114"/>
  <c r="F38" i="114"/>
  <c r="F37" i="114"/>
  <c r="F36" i="114"/>
  <c r="F35" i="114"/>
  <c r="F34" i="114"/>
  <c r="F33" i="114"/>
  <c r="F32" i="114"/>
  <c r="F31" i="114"/>
  <c r="F30" i="114"/>
  <c r="F29" i="114"/>
  <c r="F28" i="114"/>
  <c r="F27" i="114"/>
  <c r="F26" i="114"/>
  <c r="F25" i="114"/>
  <c r="F24" i="114"/>
  <c r="F23" i="114"/>
  <c r="F22" i="114"/>
  <c r="F21" i="114"/>
  <c r="F20" i="114"/>
  <c r="F19" i="114"/>
  <c r="F18" i="114"/>
  <c r="F17" i="114"/>
  <c r="F16" i="114"/>
  <c r="F15" i="114"/>
  <c r="F14" i="114"/>
  <c r="F13" i="114"/>
  <c r="F12" i="114"/>
  <c r="F11" i="114"/>
  <c r="F10" i="114"/>
  <c r="F9" i="114"/>
  <c r="F8" i="114"/>
  <c r="F7" i="114"/>
  <c r="D5" i="114"/>
  <c r="E5" i="114" s="1"/>
  <c r="F5" i="114" s="1"/>
  <c r="G5" i="114" s="1"/>
  <c r="H5" i="114" s="1"/>
  <c r="O76" i="113"/>
  <c r="F45" i="113"/>
  <c r="F42" i="113"/>
  <c r="F23" i="113"/>
  <c r="F76" i="113"/>
  <c r="F75" i="113"/>
  <c r="F74" i="113"/>
  <c r="F73" i="113"/>
  <c r="F72" i="113"/>
  <c r="F71" i="113"/>
  <c r="F70" i="113"/>
  <c r="F69" i="113"/>
  <c r="F68" i="113"/>
  <c r="F67" i="113"/>
  <c r="F66" i="113"/>
  <c r="F65" i="113"/>
  <c r="F64" i="113"/>
  <c r="F63" i="113"/>
  <c r="F62" i="113"/>
  <c r="F61" i="113"/>
  <c r="F60" i="113"/>
  <c r="F59" i="113"/>
  <c r="F58" i="113"/>
  <c r="F57" i="113"/>
  <c r="F56" i="113"/>
  <c r="F55" i="113"/>
  <c r="F54" i="113"/>
  <c r="F53" i="113"/>
  <c r="F52" i="113"/>
  <c r="F51" i="113"/>
  <c r="F50" i="113"/>
  <c r="F49" i="113"/>
  <c r="F48" i="113"/>
  <c r="F47" i="113"/>
  <c r="F46" i="113"/>
  <c r="F44" i="113"/>
  <c r="F43" i="113"/>
  <c r="F41" i="113"/>
  <c r="F40" i="113"/>
  <c r="F39" i="113"/>
  <c r="F38" i="113"/>
  <c r="F37" i="113"/>
  <c r="F36" i="113"/>
  <c r="F35" i="113"/>
  <c r="F34" i="113"/>
  <c r="F33" i="113"/>
  <c r="F32" i="113"/>
  <c r="F31" i="113"/>
  <c r="F30" i="113"/>
  <c r="F29" i="113"/>
  <c r="F28" i="113"/>
  <c r="F27" i="113"/>
  <c r="F26" i="113"/>
  <c r="F25" i="113"/>
  <c r="F24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AD76" i="113"/>
  <c r="G72" i="113"/>
  <c r="C76" i="113"/>
  <c r="D5" i="113"/>
  <c r="E5" i="113" s="1"/>
  <c r="F5" i="113" s="1"/>
  <c r="G5" i="113" s="1"/>
  <c r="H5" i="113" s="1"/>
  <c r="I5" i="113" s="1"/>
  <c r="J5" i="113" s="1"/>
  <c r="K5" i="113" s="1"/>
  <c r="L5" i="113" s="1"/>
  <c r="M5" i="113" s="1"/>
  <c r="N5" i="113" s="1"/>
  <c r="O5" i="113" s="1"/>
  <c r="P5" i="113" s="1"/>
  <c r="Q5" i="113" s="1"/>
  <c r="R5" i="113" s="1"/>
  <c r="S5" i="113" s="1"/>
  <c r="T5" i="113" s="1"/>
  <c r="M5" i="120" l="1"/>
  <c r="N5" i="120" s="1"/>
  <c r="O5" i="120" s="1"/>
  <c r="P5" i="120" s="1"/>
  <c r="Q5" i="120" s="1"/>
  <c r="R5" i="120" s="1"/>
  <c r="S5" i="120" s="1"/>
  <c r="T5" i="120" s="1"/>
  <c r="U5" i="120" s="1"/>
  <c r="V5" i="120" s="1"/>
  <c r="W5" i="120" s="1"/>
  <c r="X5" i="120" s="1"/>
  <c r="Y5" i="120" s="1"/>
  <c r="Z5" i="120" s="1"/>
  <c r="AA5" i="120" s="1"/>
  <c r="AB5" i="120" s="1"/>
  <c r="AC5" i="120" s="1"/>
  <c r="AD5" i="120" s="1"/>
  <c r="AE5" i="120" s="1"/>
  <c r="AF5" i="120" s="1"/>
  <c r="AG5" i="120" s="1"/>
  <c r="AH5" i="120" s="1"/>
  <c r="AI5" i="120" s="1"/>
  <c r="AJ5" i="120" s="1"/>
  <c r="U5" i="113"/>
  <c r="V5" i="113" s="1"/>
  <c r="W5" i="113" s="1"/>
  <c r="X5" i="113" s="1"/>
  <c r="Y5" i="113" s="1"/>
  <c r="Z5" i="113" s="1"/>
  <c r="AA5" i="113" s="1"/>
  <c r="AB5" i="113" s="1"/>
  <c r="AC5" i="113" s="1"/>
  <c r="AD5" i="113" s="1"/>
  <c r="AE5" i="113" s="1"/>
  <c r="AF5" i="113" s="1"/>
  <c r="AG5" i="113" s="1"/>
  <c r="AH5" i="113" s="1"/>
  <c r="AI5" i="113" s="1"/>
  <c r="AJ5" i="113" s="1"/>
  <c r="G48" i="113"/>
  <c r="G40" i="115"/>
  <c r="G62" i="113"/>
  <c r="G54" i="113"/>
  <c r="G46" i="113"/>
  <c r="G66" i="113"/>
  <c r="G21" i="113"/>
  <c r="G76" i="114"/>
  <c r="G8" i="113"/>
  <c r="G12" i="113"/>
  <c r="G16" i="113"/>
  <c r="G20" i="113"/>
  <c r="G25" i="113"/>
  <c r="G27" i="113"/>
  <c r="G29" i="113"/>
  <c r="G31" i="113"/>
  <c r="G33" i="113"/>
  <c r="G35" i="113"/>
  <c r="G37" i="113"/>
  <c r="G39" i="113"/>
  <c r="G41" i="113"/>
  <c r="G47" i="113"/>
  <c r="G49" i="113"/>
  <c r="G51" i="113"/>
  <c r="G53" i="113"/>
  <c r="G55" i="113"/>
  <c r="G57" i="113"/>
  <c r="G59" i="113"/>
  <c r="G61" i="113"/>
  <c r="G63" i="113"/>
  <c r="G65" i="113"/>
  <c r="G67" i="113"/>
  <c r="G69" i="113"/>
  <c r="G71" i="113"/>
  <c r="G73" i="113"/>
  <c r="G75" i="113"/>
  <c r="I5" i="114"/>
  <c r="J5" i="114" s="1"/>
  <c r="K5" i="114" s="1"/>
  <c r="L5" i="114" s="1"/>
  <c r="G12" i="114"/>
  <c r="G14" i="114"/>
  <c r="G16" i="114"/>
  <c r="G20" i="114"/>
  <c r="G22" i="114"/>
  <c r="G24" i="114"/>
  <c r="G26" i="114"/>
  <c r="G28" i="114"/>
  <c r="G30" i="114"/>
  <c r="G32" i="114"/>
  <c r="G34" i="114"/>
  <c r="G36" i="114"/>
  <c r="I5" i="115"/>
  <c r="J5" i="115" s="1"/>
  <c r="K5" i="115" s="1"/>
  <c r="L5" i="115" s="1"/>
  <c r="G8" i="115"/>
  <c r="G10" i="115"/>
  <c r="G12" i="115"/>
  <c r="G14" i="115"/>
  <c r="G16" i="115"/>
  <c r="G18" i="115"/>
  <c r="G20" i="115"/>
  <c r="G22" i="115"/>
  <c r="G25" i="115"/>
  <c r="G27" i="115"/>
  <c r="G29" i="115"/>
  <c r="G33" i="115"/>
  <c r="G35" i="115"/>
  <c r="G37" i="115"/>
  <c r="G52" i="115"/>
  <c r="G54" i="115"/>
  <c r="G56" i="115"/>
  <c r="G58" i="115"/>
  <c r="G60" i="115"/>
  <c r="G62" i="115"/>
  <c r="G64" i="115"/>
  <c r="G66" i="115"/>
  <c r="G68" i="115"/>
  <c r="G70" i="115"/>
  <c r="G72" i="115"/>
  <c r="G74" i="115"/>
  <c r="I5" i="116"/>
  <c r="J5" i="116" s="1"/>
  <c r="K5" i="116" s="1"/>
  <c r="L5" i="116" s="1"/>
  <c r="G37" i="116"/>
  <c r="G39" i="116"/>
  <c r="I5" i="117"/>
  <c r="J5" i="117" s="1"/>
  <c r="K5" i="117" s="1"/>
  <c r="L5" i="117" s="1"/>
  <c r="G36" i="117"/>
  <c r="G38" i="117"/>
  <c r="I5" i="118"/>
  <c r="J5" i="118" s="1"/>
  <c r="K5" i="118" s="1"/>
  <c r="L5" i="118" s="1"/>
  <c r="G12" i="118"/>
  <c r="G14" i="118"/>
  <c r="G16" i="118"/>
  <c r="G20" i="118"/>
  <c r="G22" i="118"/>
  <c r="G24" i="118"/>
  <c r="G28" i="118"/>
  <c r="G30" i="118"/>
  <c r="G32" i="118"/>
  <c r="G36" i="118"/>
  <c r="G38" i="118"/>
  <c r="G35" i="119"/>
  <c r="G37" i="119"/>
  <c r="G39" i="119"/>
  <c r="G9" i="113"/>
  <c r="G11" i="113"/>
  <c r="G13" i="113"/>
  <c r="G15" i="113"/>
  <c r="G17" i="113"/>
  <c r="G19" i="113"/>
  <c r="G43" i="113"/>
  <c r="G50" i="113"/>
  <c r="G52" i="113"/>
  <c r="G56" i="113"/>
  <c r="G58" i="113"/>
  <c r="G60" i="113"/>
  <c r="G64" i="113"/>
  <c r="G68" i="113"/>
  <c r="G70" i="113"/>
  <c r="G74" i="113"/>
  <c r="G13" i="114"/>
  <c r="G15" i="114"/>
  <c r="G17" i="114"/>
  <c r="G21" i="114"/>
  <c r="G25" i="114"/>
  <c r="G27" i="114"/>
  <c r="G29" i="114"/>
  <c r="G33" i="114"/>
  <c r="G37" i="114"/>
  <c r="G39" i="114"/>
  <c r="G9" i="115"/>
  <c r="G13" i="115"/>
  <c r="G15" i="115"/>
  <c r="G17" i="115"/>
  <c r="G21" i="115"/>
  <c r="G24" i="115"/>
  <c r="G26" i="115"/>
  <c r="G28" i="115"/>
  <c r="G30" i="115"/>
  <c r="G32" i="115"/>
  <c r="G34" i="115"/>
  <c r="G36" i="115"/>
  <c r="G38" i="115"/>
  <c r="G49" i="115"/>
  <c r="G51" i="115"/>
  <c r="G53" i="115"/>
  <c r="G55" i="115"/>
  <c r="G57" i="115"/>
  <c r="G61" i="115"/>
  <c r="G63" i="115"/>
  <c r="G65" i="115"/>
  <c r="G69" i="115"/>
  <c r="G73" i="115"/>
  <c r="G38" i="116"/>
  <c r="G37" i="117"/>
  <c r="G39" i="117"/>
  <c r="G13" i="118"/>
  <c r="G15" i="118"/>
  <c r="G19" i="118"/>
  <c r="G21" i="118"/>
  <c r="G27" i="118"/>
  <c r="G29" i="118"/>
  <c r="G31" i="118"/>
  <c r="G35" i="118"/>
  <c r="G37" i="118"/>
  <c r="G39" i="118"/>
  <c r="I5" i="119"/>
  <c r="J5" i="119" s="1"/>
  <c r="K5" i="119" s="1"/>
  <c r="L5" i="119" s="1"/>
  <c r="G36" i="119"/>
  <c r="G38" i="119"/>
  <c r="G23" i="113"/>
  <c r="G45" i="113"/>
  <c r="G23" i="118"/>
  <c r="G15" i="120"/>
  <c r="G17" i="120"/>
  <c r="G19" i="120"/>
  <c r="G39" i="120"/>
  <c r="G41" i="120"/>
  <c r="G43" i="120"/>
  <c r="G45" i="120"/>
  <c r="G47" i="120"/>
  <c r="G49" i="120"/>
  <c r="G51" i="120"/>
  <c r="G53" i="120"/>
  <c r="G55" i="120"/>
  <c r="G57" i="120"/>
  <c r="G16" i="120"/>
  <c r="G18" i="120"/>
  <c r="G40" i="120"/>
  <c r="G42" i="120"/>
  <c r="G44" i="120"/>
  <c r="G46" i="120"/>
  <c r="G48" i="120"/>
  <c r="G50" i="120"/>
  <c r="G52" i="120"/>
  <c r="G54" i="120"/>
  <c r="G56" i="120"/>
  <c r="G58" i="120"/>
  <c r="G42" i="113"/>
  <c r="G44" i="113"/>
  <c r="G19" i="114"/>
  <c r="G35" i="114"/>
  <c r="G24" i="113"/>
  <c r="G28" i="113"/>
  <c r="G32" i="113"/>
  <c r="G36" i="113"/>
  <c r="G40" i="113"/>
  <c r="G18" i="114"/>
  <c r="G67" i="115"/>
  <c r="G18" i="118"/>
  <c r="G26" i="118"/>
  <c r="G34" i="118"/>
  <c r="G38" i="114"/>
  <c r="C77" i="114"/>
  <c r="G31" i="114"/>
  <c r="G50" i="115"/>
  <c r="G11" i="115"/>
  <c r="G19" i="115"/>
  <c r="G31" i="115"/>
  <c r="G39" i="115"/>
  <c r="G10" i="113"/>
  <c r="G14" i="113"/>
  <c r="G18" i="113"/>
  <c r="G22" i="113"/>
  <c r="G26" i="113"/>
  <c r="G30" i="113"/>
  <c r="G34" i="113"/>
  <c r="G38" i="113"/>
  <c r="G71" i="115"/>
  <c r="G17" i="118"/>
  <c r="G25" i="118"/>
  <c r="G33" i="118"/>
  <c r="G7" i="113"/>
  <c r="G59" i="115"/>
  <c r="G75" i="115"/>
  <c r="G7" i="120"/>
  <c r="G8" i="120"/>
  <c r="G9" i="120"/>
  <c r="G10" i="120"/>
  <c r="G11" i="120"/>
  <c r="G12" i="120"/>
  <c r="G13" i="120"/>
  <c r="G14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C76" i="119"/>
  <c r="G7" i="119"/>
  <c r="G8" i="119"/>
  <c r="G9" i="119"/>
  <c r="G10" i="119"/>
  <c r="G11" i="119"/>
  <c r="G12" i="119"/>
  <c r="G13" i="119"/>
  <c r="G14" i="119"/>
  <c r="G15" i="119"/>
  <c r="G16" i="119"/>
  <c r="G17" i="119"/>
  <c r="G18" i="119"/>
  <c r="G19" i="119"/>
  <c r="G20" i="119"/>
  <c r="G21" i="119"/>
  <c r="G22" i="119"/>
  <c r="G23" i="119"/>
  <c r="G24" i="119"/>
  <c r="G25" i="119"/>
  <c r="G26" i="119"/>
  <c r="G27" i="119"/>
  <c r="G28" i="119"/>
  <c r="G29" i="119"/>
  <c r="G30" i="119"/>
  <c r="G31" i="119"/>
  <c r="G32" i="119"/>
  <c r="G33" i="119"/>
  <c r="G34" i="119"/>
  <c r="G40" i="119"/>
  <c r="G41" i="119"/>
  <c r="G43" i="119"/>
  <c r="G45" i="119"/>
  <c r="G42" i="119"/>
  <c r="G44" i="119"/>
  <c r="G46" i="119"/>
  <c r="G47" i="119"/>
  <c r="G48" i="119"/>
  <c r="G49" i="119"/>
  <c r="G50" i="119"/>
  <c r="G51" i="119"/>
  <c r="G52" i="119"/>
  <c r="G53" i="119"/>
  <c r="G54" i="119"/>
  <c r="G55" i="119"/>
  <c r="G56" i="119"/>
  <c r="G57" i="119"/>
  <c r="G58" i="119"/>
  <c r="G59" i="119"/>
  <c r="G60" i="119"/>
  <c r="G61" i="119"/>
  <c r="G62" i="119"/>
  <c r="G63" i="119"/>
  <c r="G64" i="119"/>
  <c r="G65" i="119"/>
  <c r="G66" i="119"/>
  <c r="G67" i="119"/>
  <c r="G68" i="119"/>
  <c r="G69" i="119"/>
  <c r="G70" i="119"/>
  <c r="G71" i="119"/>
  <c r="G72" i="119"/>
  <c r="G73" i="119"/>
  <c r="G74" i="119"/>
  <c r="G75" i="119"/>
  <c r="G8" i="118"/>
  <c r="G10" i="118"/>
  <c r="C76" i="118"/>
  <c r="G7" i="118"/>
  <c r="G9" i="118"/>
  <c r="G11" i="118"/>
  <c r="G46" i="118"/>
  <c r="G42" i="118"/>
  <c r="G44" i="118"/>
  <c r="G40" i="118"/>
  <c r="G41" i="118"/>
  <c r="G43" i="118"/>
  <c r="G45" i="118"/>
  <c r="G47" i="118"/>
  <c r="G48" i="118"/>
  <c r="G49" i="118"/>
  <c r="G50" i="118"/>
  <c r="G51" i="118"/>
  <c r="G52" i="118"/>
  <c r="G53" i="118"/>
  <c r="G54" i="118"/>
  <c r="G55" i="118"/>
  <c r="G56" i="118"/>
  <c r="G57" i="118"/>
  <c r="G58" i="118"/>
  <c r="G59" i="118"/>
  <c r="G60" i="118"/>
  <c r="G61" i="118"/>
  <c r="G62" i="118"/>
  <c r="G63" i="118"/>
  <c r="G64" i="118"/>
  <c r="G65" i="118"/>
  <c r="G66" i="118"/>
  <c r="G67" i="118"/>
  <c r="G68" i="118"/>
  <c r="G69" i="118"/>
  <c r="G70" i="118"/>
  <c r="G71" i="118"/>
  <c r="G72" i="118"/>
  <c r="G73" i="118"/>
  <c r="G74" i="118"/>
  <c r="G75" i="118"/>
  <c r="G43" i="117"/>
  <c r="G7" i="117"/>
  <c r="G8" i="117"/>
  <c r="G9" i="117"/>
  <c r="G10" i="117"/>
  <c r="G11" i="117"/>
  <c r="G12" i="117"/>
  <c r="G13" i="117"/>
  <c r="G14" i="117"/>
  <c r="G15" i="117"/>
  <c r="G16" i="117"/>
  <c r="G17" i="117"/>
  <c r="G18" i="117"/>
  <c r="G19" i="117"/>
  <c r="G20" i="117"/>
  <c r="G2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40" i="117"/>
  <c r="G41" i="117"/>
  <c r="G42" i="117"/>
  <c r="G44" i="117"/>
  <c r="G45" i="117"/>
  <c r="G46" i="117"/>
  <c r="G47" i="117"/>
  <c r="G48" i="117"/>
  <c r="G49" i="117"/>
  <c r="G50" i="117"/>
  <c r="G51" i="117"/>
  <c r="G52" i="117"/>
  <c r="G53" i="117"/>
  <c r="G54" i="117"/>
  <c r="G55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0" i="117"/>
  <c r="G71" i="117"/>
  <c r="G72" i="117"/>
  <c r="G73" i="117"/>
  <c r="G74" i="117"/>
  <c r="G75" i="117"/>
  <c r="G7" i="116"/>
  <c r="G8" i="116"/>
  <c r="G9" i="116"/>
  <c r="G10" i="116"/>
  <c r="G11" i="116"/>
  <c r="G12" i="116"/>
  <c r="G13" i="116"/>
  <c r="G14" i="116"/>
  <c r="G15" i="116"/>
  <c r="G16" i="116"/>
  <c r="G17" i="116"/>
  <c r="G18" i="116"/>
  <c r="G19" i="116"/>
  <c r="G20" i="116"/>
  <c r="G21" i="116"/>
  <c r="G22" i="116"/>
  <c r="G23" i="116"/>
  <c r="G24" i="116"/>
  <c r="G25" i="116"/>
  <c r="G26" i="116"/>
  <c r="G27" i="116"/>
  <c r="G28" i="116"/>
  <c r="G29" i="116"/>
  <c r="G30" i="116"/>
  <c r="G31" i="116"/>
  <c r="G32" i="116"/>
  <c r="G33" i="116"/>
  <c r="G34" i="116"/>
  <c r="G35" i="116"/>
  <c r="G36" i="116"/>
  <c r="G40" i="116"/>
  <c r="G41" i="116"/>
  <c r="G43" i="116"/>
  <c r="G42" i="116"/>
  <c r="G44" i="116"/>
  <c r="G45" i="116"/>
  <c r="G46" i="116"/>
  <c r="G47" i="116"/>
  <c r="G48" i="116"/>
  <c r="G49" i="116"/>
  <c r="G50" i="116"/>
  <c r="G51" i="116"/>
  <c r="G52" i="116"/>
  <c r="G53" i="116"/>
  <c r="G54" i="116"/>
  <c r="G55" i="116"/>
  <c r="G56" i="116"/>
  <c r="G57" i="116"/>
  <c r="G58" i="116"/>
  <c r="G59" i="116"/>
  <c r="G60" i="116"/>
  <c r="G61" i="116"/>
  <c r="G62" i="116"/>
  <c r="G63" i="116"/>
  <c r="G64" i="116"/>
  <c r="G65" i="116"/>
  <c r="G66" i="116"/>
  <c r="G67" i="116"/>
  <c r="G68" i="116"/>
  <c r="G69" i="116"/>
  <c r="G70" i="116"/>
  <c r="G71" i="116"/>
  <c r="G72" i="116"/>
  <c r="G73" i="116"/>
  <c r="G74" i="116"/>
  <c r="G75" i="116"/>
  <c r="G7" i="115"/>
  <c r="G23" i="115"/>
  <c r="G41" i="115"/>
  <c r="G42" i="115"/>
  <c r="G43" i="115"/>
  <c r="G44" i="115"/>
  <c r="G45" i="115"/>
  <c r="G46" i="115"/>
  <c r="G47" i="115"/>
  <c r="G48" i="115"/>
  <c r="G8" i="114"/>
  <c r="G10" i="114"/>
  <c r="G7" i="114"/>
  <c r="G9" i="114"/>
  <c r="G11" i="114"/>
  <c r="G42" i="114"/>
  <c r="G44" i="114"/>
  <c r="G45" i="114"/>
  <c r="G23" i="114"/>
  <c r="G40" i="114"/>
  <c r="G41" i="114"/>
  <c r="G43" i="114"/>
  <c r="G46" i="114"/>
  <c r="G47" i="114"/>
  <c r="G48" i="114"/>
  <c r="G49" i="114"/>
  <c r="G50" i="114"/>
  <c r="G51" i="114"/>
  <c r="G52" i="114"/>
  <c r="G53" i="114"/>
  <c r="G54" i="114"/>
  <c r="G55" i="114"/>
  <c r="G56" i="114"/>
  <c r="G57" i="114"/>
  <c r="G58" i="114"/>
  <c r="G59" i="114"/>
  <c r="G60" i="114"/>
  <c r="G61" i="114"/>
  <c r="G62" i="114"/>
  <c r="G63" i="114"/>
  <c r="G64" i="114"/>
  <c r="G65" i="114"/>
  <c r="G66" i="114"/>
  <c r="G67" i="114"/>
  <c r="G68" i="114"/>
  <c r="G69" i="114"/>
  <c r="G70" i="114"/>
  <c r="G71" i="114"/>
  <c r="G72" i="114"/>
  <c r="G73" i="114"/>
  <c r="G74" i="114"/>
  <c r="G75" i="114"/>
  <c r="M5" i="114" l="1"/>
  <c r="N5" i="114" s="1"/>
  <c r="O5" i="114" s="1"/>
  <c r="P5" i="114" s="1"/>
  <c r="Q5" i="114" s="1"/>
  <c r="R5" i="114" s="1"/>
  <c r="S5" i="114" s="1"/>
  <c r="M5" i="119"/>
  <c r="N5" i="119" s="1"/>
  <c r="O5" i="119" s="1"/>
  <c r="P5" i="119" s="1"/>
  <c r="Q5" i="119" s="1"/>
  <c r="R5" i="119" s="1"/>
  <c r="S5" i="119" s="1"/>
  <c r="T5" i="119" s="1"/>
  <c r="U5" i="119" s="1"/>
  <c r="V5" i="119" s="1"/>
  <c r="W5" i="119" s="1"/>
  <c r="X5" i="119" s="1"/>
  <c r="Y5" i="119" s="1"/>
  <c r="Z5" i="119" s="1"/>
  <c r="AA5" i="119" s="1"/>
  <c r="AB5" i="119" s="1"/>
  <c r="AC5" i="119" s="1"/>
  <c r="AD5" i="119" s="1"/>
  <c r="AE5" i="119" s="1"/>
  <c r="AF5" i="119" s="1"/>
  <c r="AG5" i="119" s="1"/>
  <c r="AH5" i="119" s="1"/>
  <c r="AI5" i="119" s="1"/>
  <c r="AJ5" i="119" s="1"/>
  <c r="M5" i="117"/>
  <c r="N5" i="117" s="1"/>
  <c r="O5" i="117" s="1"/>
  <c r="P5" i="117" s="1"/>
  <c r="Q5" i="117" s="1"/>
  <c r="R5" i="117" s="1"/>
  <c r="S5" i="117" s="1"/>
  <c r="M5" i="118"/>
  <c r="N5" i="118" s="1"/>
  <c r="O5" i="118" s="1"/>
  <c r="P5" i="118" s="1"/>
  <c r="Q5" i="118" s="1"/>
  <c r="R5" i="118" s="1"/>
  <c r="S5" i="118" s="1"/>
  <c r="T5" i="118" s="1"/>
  <c r="U5" i="118" s="1"/>
  <c r="V5" i="118" s="1"/>
  <c r="W5" i="118" s="1"/>
  <c r="X5" i="118" s="1"/>
  <c r="Y5" i="118" s="1"/>
  <c r="Z5" i="118" s="1"/>
  <c r="AA5" i="118" s="1"/>
  <c r="AB5" i="118" s="1"/>
  <c r="AC5" i="118" s="1"/>
  <c r="AD5" i="118" s="1"/>
  <c r="AE5" i="118" s="1"/>
  <c r="AF5" i="118" s="1"/>
  <c r="AG5" i="118" s="1"/>
  <c r="AH5" i="118" s="1"/>
  <c r="AI5" i="118" s="1"/>
  <c r="AJ5" i="118" s="1"/>
  <c r="M5" i="116"/>
  <c r="N5" i="116" s="1"/>
  <c r="O5" i="116" s="1"/>
  <c r="P5" i="116" s="1"/>
  <c r="Q5" i="116" s="1"/>
  <c r="R5" i="116" s="1"/>
  <c r="S5" i="116" s="1"/>
  <c r="T5" i="116" s="1"/>
  <c r="U5" i="116" s="1"/>
  <c r="V5" i="116" s="1"/>
  <c r="W5" i="116" s="1"/>
  <c r="X5" i="116" s="1"/>
  <c r="Y5" i="116" s="1"/>
  <c r="Z5" i="116" s="1"/>
  <c r="AA5" i="116" s="1"/>
  <c r="AB5" i="116" s="1"/>
  <c r="AC5" i="116" s="1"/>
  <c r="AD5" i="116" s="1"/>
  <c r="AE5" i="116" s="1"/>
  <c r="AF5" i="116" s="1"/>
  <c r="AG5" i="116" s="1"/>
  <c r="AH5" i="116" s="1"/>
  <c r="AI5" i="116" s="1"/>
  <c r="AJ5" i="116" s="1"/>
  <c r="M5" i="115"/>
  <c r="N5" i="115" s="1"/>
  <c r="O5" i="115" s="1"/>
  <c r="P5" i="115" s="1"/>
  <c r="Q5" i="115" s="1"/>
  <c r="R5" i="115" s="1"/>
  <c r="S5" i="115" s="1"/>
  <c r="T5" i="115" s="1"/>
  <c r="U5" i="115" s="1"/>
  <c r="V5" i="115" s="1"/>
  <c r="W5" i="115" s="1"/>
  <c r="X5" i="115" s="1"/>
  <c r="Y5" i="115" s="1"/>
  <c r="Z5" i="115" s="1"/>
  <c r="AA5" i="115" s="1"/>
  <c r="AB5" i="115" s="1"/>
  <c r="AC5" i="115" s="1"/>
  <c r="AD5" i="115" s="1"/>
  <c r="AE5" i="115" s="1"/>
  <c r="AF5" i="115" s="1"/>
  <c r="AG5" i="115" s="1"/>
  <c r="AH5" i="115" s="1"/>
  <c r="AI5" i="115" s="1"/>
  <c r="AJ5" i="115" s="1"/>
  <c r="G77" i="115"/>
  <c r="G76" i="113"/>
  <c r="G77" i="114"/>
  <c r="G76" i="120"/>
  <c r="G76" i="119"/>
  <c r="G76" i="118"/>
  <c r="G76" i="117"/>
  <c r="G76" i="116"/>
  <c r="T5" i="114" l="1"/>
  <c r="U5" i="114" s="1"/>
  <c r="V5" i="114" s="1"/>
  <c r="W5" i="114" s="1"/>
  <c r="X5" i="114" s="1"/>
  <c r="Y5" i="114" s="1"/>
  <c r="Z5" i="114" s="1"/>
  <c r="AA5" i="114" s="1"/>
  <c r="AB5" i="114" s="1"/>
  <c r="AC5" i="114" s="1"/>
  <c r="AD5" i="114" s="1"/>
  <c r="AE5" i="114" s="1"/>
  <c r="AF5" i="114" s="1"/>
  <c r="AG5" i="114" s="1"/>
  <c r="AH5" i="114" s="1"/>
  <c r="AI5" i="114" s="1"/>
  <c r="AJ5" i="114" s="1"/>
  <c r="G76" i="83"/>
  <c r="H76" i="83" s="1"/>
  <c r="L76" i="83" s="1"/>
  <c r="AA76" i="83" s="1"/>
  <c r="N76" i="83" l="1"/>
  <c r="E5" i="100"/>
  <c r="F5" i="100" s="1"/>
  <c r="G5" i="100" s="1"/>
  <c r="H5" i="100" s="1"/>
  <c r="O76" i="83" l="1"/>
  <c r="AB76" i="83" s="1"/>
  <c r="G61" i="31"/>
  <c r="AC75" i="67" l="1"/>
  <c r="AC74" i="67"/>
  <c r="AC73" i="67"/>
  <c r="AC72" i="67"/>
  <c r="AC71" i="67"/>
  <c r="AC70" i="67"/>
  <c r="AC69" i="67"/>
  <c r="AC68" i="67"/>
  <c r="AC67" i="67"/>
  <c r="AC66" i="67"/>
  <c r="AC65" i="67"/>
  <c r="AC64" i="67"/>
  <c r="AC63" i="67"/>
  <c r="AC62" i="67"/>
  <c r="AC61" i="67"/>
  <c r="AC60" i="67"/>
  <c r="AC59" i="67"/>
  <c r="AC58" i="67"/>
  <c r="AC57" i="67"/>
  <c r="AC56" i="67"/>
  <c r="AC55" i="67"/>
  <c r="AC54" i="67"/>
  <c r="AC53" i="67"/>
  <c r="AC52" i="67"/>
  <c r="AC51" i="67"/>
  <c r="AC50" i="67"/>
  <c r="AC49" i="67"/>
  <c r="AC48" i="67"/>
  <c r="AC47" i="67"/>
  <c r="AC46" i="67"/>
  <c r="AC45" i="67"/>
  <c r="AC44" i="67"/>
  <c r="AC43" i="67"/>
  <c r="AC42" i="67"/>
  <c r="AC41" i="67"/>
  <c r="AC40" i="67"/>
  <c r="AC39" i="67"/>
  <c r="AC38" i="67"/>
  <c r="AC37" i="67"/>
  <c r="AC36" i="67"/>
  <c r="AC35" i="67"/>
  <c r="AC34" i="67"/>
  <c r="AC33" i="67"/>
  <c r="AC32" i="67"/>
  <c r="AC31" i="67"/>
  <c r="AC30" i="67"/>
  <c r="AC29" i="67"/>
  <c r="AC28" i="67"/>
  <c r="AC27" i="67"/>
  <c r="AC26" i="67"/>
  <c r="AC25" i="67"/>
  <c r="AC24" i="67"/>
  <c r="AC23" i="67"/>
  <c r="AC22" i="67"/>
  <c r="AC21" i="67"/>
  <c r="AC20" i="67"/>
  <c r="AC19" i="67"/>
  <c r="AC18" i="67"/>
  <c r="AC17" i="67"/>
  <c r="AC16" i="67"/>
  <c r="AC15" i="67"/>
  <c r="AC14" i="67"/>
  <c r="AC13" i="67"/>
  <c r="AC12" i="67"/>
  <c r="AC11" i="67"/>
  <c r="AC10" i="67"/>
  <c r="AC9" i="67"/>
  <c r="AC8" i="67"/>
  <c r="AC7" i="67"/>
  <c r="M75" i="67"/>
  <c r="M74" i="67"/>
  <c r="M73" i="67"/>
  <c r="M72" i="67"/>
  <c r="M71" i="67"/>
  <c r="M70" i="67"/>
  <c r="M69" i="67"/>
  <c r="M68" i="67"/>
  <c r="M67" i="67"/>
  <c r="M66" i="67"/>
  <c r="M65" i="67"/>
  <c r="M64" i="67"/>
  <c r="M63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M13" i="67"/>
  <c r="M12" i="67"/>
  <c r="M11" i="67"/>
  <c r="M10" i="67"/>
  <c r="M9" i="67"/>
  <c r="M8" i="67"/>
  <c r="M7" i="67"/>
  <c r="P73" i="76"/>
  <c r="P72" i="76"/>
  <c r="P71" i="76"/>
  <c r="P70" i="76"/>
  <c r="P69" i="76"/>
  <c r="P68" i="76"/>
  <c r="P67" i="76"/>
  <c r="P66" i="76"/>
  <c r="P65" i="76"/>
  <c r="P64" i="76"/>
  <c r="P63" i="76"/>
  <c r="P62" i="76"/>
  <c r="P61" i="76"/>
  <c r="P60" i="76"/>
  <c r="P59" i="76"/>
  <c r="P58" i="76"/>
  <c r="P57" i="76"/>
  <c r="P56" i="76"/>
  <c r="P55" i="76"/>
  <c r="P54" i="76"/>
  <c r="P53" i="76"/>
  <c r="P52" i="76"/>
  <c r="P51" i="76"/>
  <c r="P50" i="76"/>
  <c r="P49" i="76"/>
  <c r="P48" i="76"/>
  <c r="P47" i="76"/>
  <c r="P46" i="76"/>
  <c r="P45" i="76"/>
  <c r="P44" i="76"/>
  <c r="P43" i="76"/>
  <c r="P42" i="76"/>
  <c r="P41" i="76"/>
  <c r="P40" i="76"/>
  <c r="P39" i="76"/>
  <c r="P38" i="76"/>
  <c r="P37" i="76"/>
  <c r="P36" i="76"/>
  <c r="P35" i="76"/>
  <c r="P34" i="76"/>
  <c r="P33" i="76"/>
  <c r="P32" i="76"/>
  <c r="P31" i="76"/>
  <c r="P30" i="76"/>
  <c r="P29" i="76"/>
  <c r="P28" i="76"/>
  <c r="P27" i="76"/>
  <c r="P26" i="76"/>
  <c r="P25" i="76"/>
  <c r="P24" i="76"/>
  <c r="P23" i="76"/>
  <c r="P22" i="76"/>
  <c r="P21" i="76"/>
  <c r="P20" i="76"/>
  <c r="P19" i="76"/>
  <c r="P18" i="76"/>
  <c r="P17" i="76"/>
  <c r="P16" i="76"/>
  <c r="P15" i="76"/>
  <c r="P14" i="76"/>
  <c r="P13" i="76"/>
  <c r="P12" i="76"/>
  <c r="P11" i="76"/>
  <c r="P10" i="76"/>
  <c r="P9" i="76"/>
  <c r="P8" i="76"/>
  <c r="P7" i="76"/>
  <c r="P6" i="76"/>
  <c r="P5" i="76"/>
  <c r="AE73" i="76"/>
  <c r="AE72" i="76"/>
  <c r="AE71" i="76"/>
  <c r="AE70" i="76"/>
  <c r="AE69" i="76"/>
  <c r="AE68" i="76"/>
  <c r="AE67" i="76"/>
  <c r="AE66" i="76"/>
  <c r="AE65" i="76"/>
  <c r="AE64" i="76"/>
  <c r="AE63" i="76"/>
  <c r="AE62" i="76"/>
  <c r="AE61" i="76"/>
  <c r="AE60" i="76"/>
  <c r="AE59" i="76"/>
  <c r="AE58" i="76"/>
  <c r="AE57" i="76"/>
  <c r="AE56" i="76"/>
  <c r="AE55" i="76"/>
  <c r="AE54" i="76"/>
  <c r="AE53" i="76"/>
  <c r="AE52" i="76"/>
  <c r="AE51" i="76"/>
  <c r="AE50" i="76"/>
  <c r="AE49" i="76"/>
  <c r="AE48" i="76"/>
  <c r="AE47" i="76"/>
  <c r="AE46" i="76"/>
  <c r="AE45" i="76"/>
  <c r="AE44" i="76"/>
  <c r="AE43" i="76"/>
  <c r="AE42" i="76"/>
  <c r="AE41" i="76"/>
  <c r="AE40" i="76"/>
  <c r="AE39" i="76"/>
  <c r="AE38" i="76"/>
  <c r="AE37" i="76"/>
  <c r="AE36" i="76"/>
  <c r="AE35" i="76"/>
  <c r="AE34" i="76"/>
  <c r="AE33" i="76"/>
  <c r="AE32" i="76"/>
  <c r="AE31" i="76"/>
  <c r="AE30" i="76"/>
  <c r="AE29" i="76"/>
  <c r="AE28" i="76"/>
  <c r="AE27" i="76"/>
  <c r="AE26" i="76"/>
  <c r="AE25" i="76"/>
  <c r="AE24" i="76"/>
  <c r="AE23" i="76"/>
  <c r="AE22" i="76"/>
  <c r="AE21" i="76"/>
  <c r="AE20" i="76"/>
  <c r="AE19" i="76"/>
  <c r="AE18" i="76"/>
  <c r="AE17" i="76"/>
  <c r="AE16" i="76"/>
  <c r="AE15" i="76"/>
  <c r="AE14" i="76"/>
  <c r="AE13" i="76"/>
  <c r="AE12" i="76"/>
  <c r="AE11" i="76"/>
  <c r="AE10" i="76"/>
  <c r="AE9" i="76"/>
  <c r="AE8" i="76"/>
  <c r="AE7" i="76"/>
  <c r="AE6" i="76"/>
  <c r="AE5" i="76"/>
  <c r="AC76" i="67" l="1"/>
  <c r="M76" i="67"/>
  <c r="E78" i="81" s="1"/>
  <c r="AH35" i="46" l="1"/>
  <c r="AH29" i="46"/>
  <c r="AH28" i="46"/>
  <c r="AH16" i="46"/>
  <c r="AH17" i="46"/>
  <c r="AH13" i="46"/>
  <c r="AH10" i="46"/>
  <c r="Q35" i="46"/>
  <c r="Q29" i="46"/>
  <c r="Q28" i="46"/>
  <c r="Q17" i="46"/>
  <c r="Q13" i="46"/>
  <c r="M9" i="31"/>
  <c r="M67" i="31"/>
  <c r="M66" i="31"/>
  <c r="M64" i="31"/>
  <c r="M65" i="31"/>
  <c r="M63" i="31"/>
  <c r="M62" i="31"/>
  <c r="M60" i="31"/>
  <c r="M59" i="31"/>
  <c r="M58" i="31"/>
  <c r="M57" i="31"/>
  <c r="M56" i="31"/>
  <c r="M55" i="31"/>
  <c r="M54" i="31"/>
  <c r="M50" i="31"/>
  <c r="M51" i="31"/>
  <c r="M52" i="31"/>
  <c r="M53" i="31"/>
  <c r="M48" i="31"/>
  <c r="M47" i="31"/>
  <c r="M46" i="31"/>
  <c r="M44" i="31"/>
  <c r="M43" i="31"/>
  <c r="M42" i="31"/>
  <c r="M40" i="31"/>
  <c r="M39" i="31"/>
  <c r="M36" i="31"/>
  <c r="M35" i="31"/>
  <c r="M34" i="31"/>
  <c r="M33" i="31"/>
  <c r="M32" i="31"/>
  <c r="M31" i="31"/>
  <c r="M30" i="31"/>
  <c r="M29" i="31"/>
  <c r="M28" i="31"/>
  <c r="M27" i="31"/>
  <c r="M26" i="31"/>
  <c r="M25" i="31"/>
  <c r="M24" i="31"/>
  <c r="M22" i="31"/>
  <c r="M21" i="31"/>
  <c r="M20" i="31"/>
  <c r="M19" i="31"/>
  <c r="M15" i="31"/>
  <c r="M14" i="31"/>
  <c r="M13" i="31"/>
  <c r="M12" i="31"/>
  <c r="M69" i="31" l="1"/>
  <c r="L9" i="5"/>
  <c r="L8" i="5"/>
  <c r="C35" i="46" l="1"/>
  <c r="C29" i="46"/>
  <c r="C28" i="46"/>
  <c r="C23" i="46"/>
  <c r="C16" i="46"/>
  <c r="C17" i="46"/>
  <c r="C11" i="46"/>
  <c r="C12" i="46"/>
  <c r="C13" i="46"/>
  <c r="C14" i="46"/>
  <c r="C10" i="46"/>
  <c r="C67" i="31"/>
  <c r="C66" i="31"/>
  <c r="C65" i="31"/>
  <c r="C64" i="31"/>
  <c r="C63" i="31"/>
  <c r="C62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2" i="31"/>
  <c r="C43" i="31"/>
  <c r="C44" i="31"/>
  <c r="C68" i="31"/>
  <c r="C13" i="31"/>
  <c r="C14" i="31"/>
  <c r="C15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9" i="31"/>
  <c r="C12" i="31"/>
  <c r="B9" i="5"/>
  <c r="B8" i="5"/>
  <c r="H131" i="108"/>
  <c r="H127" i="108"/>
  <c r="H107" i="108"/>
  <c r="H102" i="108"/>
  <c r="H50" i="108"/>
  <c r="H48" i="108"/>
  <c r="H41" i="108"/>
  <c r="H39" i="108"/>
  <c r="H30" i="108"/>
  <c r="H13" i="108"/>
  <c r="G11" i="108"/>
  <c r="C9" i="31" l="1"/>
  <c r="C69" i="31"/>
  <c r="H132" i="108"/>
  <c r="AP54" i="13" l="1"/>
  <c r="L54" i="13"/>
  <c r="J54" i="13"/>
  <c r="I5" i="100" l="1"/>
  <c r="J5" i="100" s="1"/>
  <c r="K5" i="100" s="1"/>
  <c r="L5" i="100" s="1"/>
  <c r="M5" i="100" s="1"/>
  <c r="N5" i="100" s="1"/>
  <c r="O5" i="100" s="1"/>
  <c r="P5" i="100" l="1"/>
  <c r="H79" i="81"/>
  <c r="H15" i="81"/>
  <c r="G90" i="81"/>
  <c r="C77" i="1" l="1"/>
  <c r="F74" i="2" l="1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G16" i="46" l="1"/>
  <c r="M70" i="31" l="1"/>
  <c r="G45" i="31"/>
  <c r="G41" i="31"/>
  <c r="G18" i="31"/>
  <c r="G17" i="31"/>
  <c r="G37" i="31"/>
  <c r="G38" i="31"/>
  <c r="C99" i="84" l="1"/>
  <c r="C92" i="84"/>
  <c r="C97" i="84" s="1"/>
  <c r="C88" i="84"/>
  <c r="C76" i="84"/>
  <c r="H18" i="81" s="1"/>
  <c r="D5" i="84"/>
  <c r="E5" i="84" s="1"/>
  <c r="F5" i="84" s="1"/>
  <c r="G5" i="84" s="1"/>
  <c r="H5" i="84" s="1"/>
  <c r="I5" i="84" s="1"/>
  <c r="J5" i="84" s="1"/>
  <c r="K5" i="84" s="1"/>
  <c r="L5" i="84" s="1"/>
  <c r="M5" i="84" s="1"/>
  <c r="N5" i="84" s="1"/>
  <c r="O5" i="84" s="1"/>
  <c r="P5" i="84" s="1"/>
  <c r="Q5" i="84" s="1"/>
  <c r="R5" i="84" s="1"/>
  <c r="S5" i="84" s="1"/>
  <c r="T5" i="84" s="1"/>
  <c r="U5" i="84" s="1"/>
  <c r="V5" i="84" s="1"/>
  <c r="W5" i="84" s="1"/>
  <c r="X5" i="84" s="1"/>
  <c r="Y5" i="84" s="1"/>
  <c r="Z5" i="84" s="1"/>
  <c r="AA5" i="84" s="1"/>
  <c r="AB5" i="84" s="1"/>
  <c r="C95" i="84" l="1"/>
  <c r="C96" i="84" s="1"/>
  <c r="C98" i="84" s="1"/>
  <c r="C100" i="84" s="1"/>
  <c r="C101" i="84" l="1"/>
  <c r="C102" i="84" s="1"/>
  <c r="C100" i="83"/>
  <c r="C93" i="83"/>
  <c r="C98" i="83" s="1"/>
  <c r="C89" i="83"/>
  <c r="D5" i="83"/>
  <c r="E5" i="83" s="1"/>
  <c r="F5" i="83" s="1"/>
  <c r="G5" i="83" s="1"/>
  <c r="H5" i="83" s="1"/>
  <c r="I5" i="83" s="1"/>
  <c r="J5" i="83" s="1"/>
  <c r="K5" i="83" s="1"/>
  <c r="L5" i="83" s="1"/>
  <c r="M5" i="83" s="1"/>
  <c r="N5" i="83" s="1"/>
  <c r="O5" i="83" s="1"/>
  <c r="C77" i="83" l="1"/>
  <c r="C96" i="83"/>
  <c r="C97" i="83" s="1"/>
  <c r="C99" i="83" s="1"/>
  <c r="C101" i="83" s="1"/>
  <c r="H17" i="81" l="1"/>
  <c r="C102" i="83"/>
  <c r="C103" i="83" s="1"/>
  <c r="H16" i="81" l="1"/>
  <c r="G16" i="81" l="1"/>
  <c r="AI39" i="13"/>
  <c r="K8" i="1" l="1"/>
  <c r="I8" i="1"/>
  <c r="E8" i="1"/>
  <c r="G8" i="1"/>
  <c r="K16" i="1"/>
  <c r="I16" i="1"/>
  <c r="G16" i="1"/>
  <c r="E16" i="1"/>
  <c r="K20" i="1"/>
  <c r="E20" i="1"/>
  <c r="I20" i="1"/>
  <c r="G20" i="1"/>
  <c r="K28" i="1"/>
  <c r="I28" i="1"/>
  <c r="G28" i="1"/>
  <c r="E28" i="1"/>
  <c r="K36" i="1"/>
  <c r="I36" i="1"/>
  <c r="G36" i="1"/>
  <c r="E36" i="1"/>
  <c r="I9" i="1"/>
  <c r="G9" i="1"/>
  <c r="K9" i="1"/>
  <c r="I13" i="1"/>
  <c r="G13" i="1"/>
  <c r="E13" i="1"/>
  <c r="K13" i="1"/>
  <c r="I17" i="1"/>
  <c r="G17" i="1"/>
  <c r="E17" i="1"/>
  <c r="K17" i="1"/>
  <c r="I21" i="1"/>
  <c r="G21" i="1"/>
  <c r="E21" i="1"/>
  <c r="K21" i="1"/>
  <c r="I25" i="1"/>
  <c r="G25" i="1"/>
  <c r="E25" i="1"/>
  <c r="K25" i="1"/>
  <c r="I29" i="1"/>
  <c r="G29" i="1"/>
  <c r="E29" i="1"/>
  <c r="K29" i="1"/>
  <c r="I33" i="1"/>
  <c r="G33" i="1"/>
  <c r="E33" i="1"/>
  <c r="K33" i="1"/>
  <c r="I37" i="1"/>
  <c r="G37" i="1"/>
  <c r="E37" i="1"/>
  <c r="K37" i="1"/>
  <c r="I41" i="1"/>
  <c r="G41" i="1"/>
  <c r="E41" i="1"/>
  <c r="K41" i="1"/>
  <c r="I45" i="1"/>
  <c r="G45" i="1"/>
  <c r="E45" i="1"/>
  <c r="K45" i="1"/>
  <c r="I49" i="1"/>
  <c r="G49" i="1"/>
  <c r="E49" i="1"/>
  <c r="K49" i="1"/>
  <c r="I53" i="1"/>
  <c r="G53" i="1"/>
  <c r="E53" i="1"/>
  <c r="K53" i="1"/>
  <c r="I57" i="1"/>
  <c r="G57" i="1"/>
  <c r="K57" i="1"/>
  <c r="I61" i="1"/>
  <c r="G61" i="1"/>
  <c r="E61" i="1"/>
  <c r="K61" i="1"/>
  <c r="I65" i="1"/>
  <c r="G65" i="1"/>
  <c r="E65" i="1"/>
  <c r="K65" i="1"/>
  <c r="I69" i="1"/>
  <c r="G69" i="1"/>
  <c r="E69" i="1"/>
  <c r="K69" i="1"/>
  <c r="I73" i="1"/>
  <c r="G73" i="1"/>
  <c r="E73" i="1"/>
  <c r="K73" i="1"/>
  <c r="G14" i="1"/>
  <c r="E14" i="1"/>
  <c r="K14" i="1"/>
  <c r="I14" i="1"/>
  <c r="G22" i="1"/>
  <c r="I22" i="1"/>
  <c r="E22" i="1"/>
  <c r="K22" i="1"/>
  <c r="G34" i="1"/>
  <c r="I34" i="1"/>
  <c r="E34" i="1"/>
  <c r="K34" i="1"/>
  <c r="G42" i="1"/>
  <c r="E42" i="1"/>
  <c r="K42" i="1"/>
  <c r="I42" i="1"/>
  <c r="G46" i="1"/>
  <c r="E46" i="1"/>
  <c r="I46" i="1"/>
  <c r="K46" i="1"/>
  <c r="G50" i="1"/>
  <c r="E50" i="1"/>
  <c r="K50" i="1"/>
  <c r="I50" i="1"/>
  <c r="G54" i="1"/>
  <c r="E54" i="1"/>
  <c r="K54" i="1"/>
  <c r="I54" i="1"/>
  <c r="G58" i="1"/>
  <c r="E58" i="1"/>
  <c r="K58" i="1"/>
  <c r="I58" i="1"/>
  <c r="G62" i="1"/>
  <c r="E62" i="1"/>
  <c r="K62" i="1"/>
  <c r="I62" i="1"/>
  <c r="G66" i="1"/>
  <c r="E66" i="1"/>
  <c r="K66" i="1"/>
  <c r="I66" i="1"/>
  <c r="G70" i="1"/>
  <c r="E70" i="1"/>
  <c r="K70" i="1"/>
  <c r="I70" i="1"/>
  <c r="G74" i="1"/>
  <c r="I74" i="1"/>
  <c r="E74" i="1"/>
  <c r="K74" i="1"/>
  <c r="G10" i="1"/>
  <c r="E10" i="1"/>
  <c r="K10" i="1"/>
  <c r="G18" i="1"/>
  <c r="E18" i="1"/>
  <c r="I18" i="1"/>
  <c r="K18" i="1"/>
  <c r="G26" i="1"/>
  <c r="E26" i="1"/>
  <c r="K26" i="1"/>
  <c r="I26" i="1"/>
  <c r="G30" i="1"/>
  <c r="E30" i="1"/>
  <c r="I30" i="1"/>
  <c r="K30" i="1"/>
  <c r="G38" i="1"/>
  <c r="E38" i="1"/>
  <c r="K38" i="1"/>
  <c r="I38" i="1"/>
  <c r="E11" i="1"/>
  <c r="K11" i="1"/>
  <c r="I11" i="1"/>
  <c r="G11" i="1"/>
  <c r="E15" i="1"/>
  <c r="K15" i="1"/>
  <c r="I15" i="1"/>
  <c r="G15" i="1"/>
  <c r="E19" i="1"/>
  <c r="G19" i="1"/>
  <c r="K19" i="1"/>
  <c r="I19" i="1"/>
  <c r="E23" i="1"/>
  <c r="K23" i="1"/>
  <c r="G23" i="1"/>
  <c r="I23" i="1"/>
  <c r="E27" i="1"/>
  <c r="K27" i="1"/>
  <c r="I27" i="1"/>
  <c r="G27" i="1"/>
  <c r="E31" i="1"/>
  <c r="K31" i="1"/>
  <c r="I31" i="1"/>
  <c r="G31" i="1"/>
  <c r="E35" i="1"/>
  <c r="G35" i="1"/>
  <c r="K35" i="1"/>
  <c r="I35" i="1"/>
  <c r="E39" i="1"/>
  <c r="K39" i="1"/>
  <c r="G39" i="1"/>
  <c r="I39" i="1"/>
  <c r="E43" i="1"/>
  <c r="K43" i="1"/>
  <c r="I43" i="1"/>
  <c r="G43" i="1"/>
  <c r="E47" i="1"/>
  <c r="G47" i="1"/>
  <c r="K47" i="1"/>
  <c r="I47" i="1"/>
  <c r="E51" i="1"/>
  <c r="K51" i="1"/>
  <c r="I51" i="1"/>
  <c r="G51" i="1"/>
  <c r="E55" i="1"/>
  <c r="K55" i="1"/>
  <c r="G55" i="1"/>
  <c r="I55" i="1"/>
  <c r="E59" i="1"/>
  <c r="G59" i="1"/>
  <c r="K59" i="1"/>
  <c r="I59" i="1"/>
  <c r="E63" i="1"/>
  <c r="K63" i="1"/>
  <c r="I63" i="1"/>
  <c r="G63" i="1"/>
  <c r="E67" i="1"/>
  <c r="K67" i="1"/>
  <c r="I67" i="1"/>
  <c r="G67" i="1"/>
  <c r="E71" i="1"/>
  <c r="K71" i="1"/>
  <c r="G71" i="1"/>
  <c r="I71" i="1"/>
  <c r="E75" i="1"/>
  <c r="G75" i="1"/>
  <c r="K75" i="1"/>
  <c r="I75" i="1"/>
  <c r="K12" i="1"/>
  <c r="I12" i="1"/>
  <c r="G12" i="1"/>
  <c r="E12" i="1"/>
  <c r="K24" i="1"/>
  <c r="I24" i="1"/>
  <c r="E24" i="1"/>
  <c r="G24" i="1"/>
  <c r="K32" i="1"/>
  <c r="E32" i="1"/>
  <c r="I32" i="1"/>
  <c r="G32" i="1"/>
  <c r="K40" i="1"/>
  <c r="I40" i="1"/>
  <c r="E40" i="1"/>
  <c r="G40" i="1"/>
  <c r="K44" i="1"/>
  <c r="I44" i="1"/>
  <c r="G44" i="1"/>
  <c r="E44" i="1"/>
  <c r="K48" i="1"/>
  <c r="E48" i="1"/>
  <c r="G48" i="1"/>
  <c r="I52" i="1"/>
  <c r="G52" i="1"/>
  <c r="E52" i="1"/>
  <c r="K56" i="1"/>
  <c r="I56" i="1"/>
  <c r="E56" i="1"/>
  <c r="G56" i="1"/>
  <c r="K60" i="1"/>
  <c r="I60" i="1"/>
  <c r="G60" i="1"/>
  <c r="E60" i="1"/>
  <c r="K64" i="1"/>
  <c r="E64" i="1"/>
  <c r="I64" i="1"/>
  <c r="G64" i="1"/>
  <c r="K68" i="1"/>
  <c r="I68" i="1"/>
  <c r="E68" i="1"/>
  <c r="K72" i="1"/>
  <c r="E72" i="1"/>
  <c r="I72" i="1"/>
  <c r="G72" i="1"/>
  <c r="K76" i="1"/>
  <c r="I76" i="1"/>
  <c r="E76" i="1"/>
  <c r="G76" i="1"/>
  <c r="G79" i="81"/>
  <c r="J75" i="72"/>
  <c r="AE74" i="80"/>
  <c r="AE74" i="76"/>
  <c r="P74" i="80"/>
  <c r="C74" i="80"/>
  <c r="F43" i="80"/>
  <c r="F40" i="80"/>
  <c r="F21" i="80"/>
  <c r="D4" i="80"/>
  <c r="E4" i="80" s="1"/>
  <c r="F4" i="80" s="1"/>
  <c r="G4" i="80" s="1"/>
  <c r="H4" i="80" s="1"/>
  <c r="I4" i="80" s="1"/>
  <c r="J4" i="80" s="1"/>
  <c r="K4" i="80" s="1"/>
  <c r="L4" i="80" s="1"/>
  <c r="M4" i="80" s="1"/>
  <c r="N4" i="80" s="1"/>
  <c r="O4" i="80" s="1"/>
  <c r="P4" i="80" s="1"/>
  <c r="Q4" i="80" s="1"/>
  <c r="R4" i="80" s="1"/>
  <c r="S4" i="80" s="1"/>
  <c r="T4" i="80" s="1"/>
  <c r="U4" i="80" s="1"/>
  <c r="V4" i="80" s="1"/>
  <c r="W4" i="80" s="1"/>
  <c r="X4" i="80" s="1"/>
  <c r="Y4" i="80" s="1"/>
  <c r="Z4" i="80" s="1"/>
  <c r="AA4" i="80" s="1"/>
  <c r="AB4" i="80" s="1"/>
  <c r="AC4" i="80" s="1"/>
  <c r="AD4" i="80" s="1"/>
  <c r="AE4" i="80" s="1"/>
  <c r="AF4" i="80" s="1"/>
  <c r="AG4" i="80" s="1"/>
  <c r="AH4" i="80" s="1"/>
  <c r="AI4" i="80" s="1"/>
  <c r="AJ4" i="80" s="1"/>
  <c r="AK4" i="80" s="1"/>
  <c r="P74" i="76"/>
  <c r="C74" i="76"/>
  <c r="F43" i="76"/>
  <c r="F40" i="76"/>
  <c r="F21" i="76"/>
  <c r="G14" i="31"/>
  <c r="AH30" i="46"/>
  <c r="G26" i="31"/>
  <c r="BK63" i="1"/>
  <c r="BM63" i="1" s="1"/>
  <c r="G66" i="31"/>
  <c r="G19" i="31"/>
  <c r="G20" i="31"/>
  <c r="G27" i="31"/>
  <c r="G28" i="31"/>
  <c r="Q18" i="46"/>
  <c r="G35" i="46"/>
  <c r="G33" i="46"/>
  <c r="G26" i="46"/>
  <c r="C24" i="46"/>
  <c r="C18" i="46"/>
  <c r="S53" i="67"/>
  <c r="S75" i="67"/>
  <c r="S58" i="67"/>
  <c r="S43" i="67"/>
  <c r="G67" i="31"/>
  <c r="G65" i="31"/>
  <c r="G64" i="31"/>
  <c r="G63" i="31"/>
  <c r="G62" i="31"/>
  <c r="G60" i="31"/>
  <c r="G59" i="31"/>
  <c r="G58" i="31"/>
  <c r="G57" i="31"/>
  <c r="G56" i="31"/>
  <c r="G55" i="31"/>
  <c r="G53" i="31"/>
  <c r="G52" i="31"/>
  <c r="G51" i="31"/>
  <c r="G50" i="31"/>
  <c r="G49" i="31"/>
  <c r="G48" i="31"/>
  <c r="G47" i="31"/>
  <c r="G46" i="31"/>
  <c r="G44" i="31"/>
  <c r="G43" i="31"/>
  <c r="G42" i="31"/>
  <c r="G68" i="31"/>
  <c r="G40" i="31"/>
  <c r="G39" i="31"/>
  <c r="G36" i="31"/>
  <c r="G35" i="31"/>
  <c r="G34" i="31"/>
  <c r="G32" i="31"/>
  <c r="G31" i="31"/>
  <c r="G30" i="31"/>
  <c r="G25" i="31"/>
  <c r="G24" i="31"/>
  <c r="G23" i="31"/>
  <c r="G22" i="31"/>
  <c r="G21" i="31"/>
  <c r="G15" i="31"/>
  <c r="G13" i="31"/>
  <c r="G7" i="31"/>
  <c r="BK71" i="1"/>
  <c r="BM71" i="1" s="1"/>
  <c r="S69" i="67"/>
  <c r="BK67" i="1"/>
  <c r="BM67" i="1" s="1"/>
  <c r="S65" i="67"/>
  <c r="S61" i="67"/>
  <c r="S60" i="67"/>
  <c r="BK57" i="1"/>
  <c r="BM57" i="1" s="1"/>
  <c r="S55" i="67"/>
  <c r="S50" i="67"/>
  <c r="BK50" i="1"/>
  <c r="BM50" i="1" s="1"/>
  <c r="BK48" i="1"/>
  <c r="BM48" i="1" s="1"/>
  <c r="S46" i="67"/>
  <c r="S44" i="67"/>
  <c r="BK40" i="1"/>
  <c r="BM40" i="1" s="1"/>
  <c r="S38" i="67"/>
  <c r="BK36" i="1"/>
  <c r="BM36" i="1" s="1"/>
  <c r="S34" i="67"/>
  <c r="S33" i="67"/>
  <c r="BK30" i="1"/>
  <c r="BM30" i="1" s="1"/>
  <c r="S28" i="67"/>
  <c r="BK26" i="1"/>
  <c r="BM26" i="1" s="1"/>
  <c r="BK25" i="1"/>
  <c r="BM25" i="1" s="1"/>
  <c r="BK21" i="1"/>
  <c r="BM21" i="1" s="1"/>
  <c r="S19" i="67"/>
  <c r="S17" i="67"/>
  <c r="BK17" i="1"/>
  <c r="BM17" i="1" s="1"/>
  <c r="S14" i="67"/>
  <c r="BK12" i="1"/>
  <c r="BM12" i="1" s="1"/>
  <c r="BK8" i="1"/>
  <c r="BM8" i="1" s="1"/>
  <c r="S74" i="67"/>
  <c r="S73" i="67"/>
  <c r="S72" i="67"/>
  <c r="S70" i="67"/>
  <c r="S68" i="67"/>
  <c r="S66" i="67"/>
  <c r="S64" i="67"/>
  <c r="S62" i="67"/>
  <c r="S59" i="67"/>
  <c r="S56" i="67"/>
  <c r="S54" i="67"/>
  <c r="S49" i="67"/>
  <c r="S48" i="67"/>
  <c r="S47" i="67"/>
  <c r="S41" i="67"/>
  <c r="S39" i="67"/>
  <c r="S37" i="67"/>
  <c r="S36" i="67"/>
  <c r="S32" i="67"/>
  <c r="S31" i="67"/>
  <c r="S29" i="67"/>
  <c r="S27" i="67"/>
  <c r="S25" i="67"/>
  <c r="S24" i="67"/>
  <c r="S22" i="67"/>
  <c r="S20" i="67"/>
  <c r="S18" i="67"/>
  <c r="S13" i="67"/>
  <c r="T13" i="67" s="1"/>
  <c r="S11" i="67"/>
  <c r="S10" i="67"/>
  <c r="S9" i="67"/>
  <c r="S7" i="67"/>
  <c r="D4" i="76"/>
  <c r="E4" i="76" s="1"/>
  <c r="F4" i="76" s="1"/>
  <c r="G4" i="76" s="1"/>
  <c r="H4" i="76" s="1"/>
  <c r="I4" i="76" s="1"/>
  <c r="J4" i="76" s="1"/>
  <c r="K4" i="76" s="1"/>
  <c r="L4" i="76" s="1"/>
  <c r="M4" i="76" s="1"/>
  <c r="N4" i="76" s="1"/>
  <c r="O4" i="76" s="1"/>
  <c r="P4" i="76" s="1"/>
  <c r="Q4" i="76" s="1"/>
  <c r="R4" i="76" s="1"/>
  <c r="S4" i="76" s="1"/>
  <c r="T4" i="76" s="1"/>
  <c r="U4" i="76" s="1"/>
  <c r="V4" i="76" s="1"/>
  <c r="W4" i="76" s="1"/>
  <c r="X4" i="76" s="1"/>
  <c r="Y4" i="76" s="1"/>
  <c r="Z4" i="76" s="1"/>
  <c r="AA4" i="76" s="1"/>
  <c r="AB4" i="76" s="1"/>
  <c r="AC4" i="76" s="1"/>
  <c r="AD4" i="76" s="1"/>
  <c r="AE4" i="76" s="1"/>
  <c r="AF4" i="76" s="1"/>
  <c r="AG4" i="76" s="1"/>
  <c r="AH4" i="76" s="1"/>
  <c r="AI4" i="76" s="1"/>
  <c r="AJ4" i="76" s="1"/>
  <c r="AK4" i="76" s="1"/>
  <c r="X76" i="13"/>
  <c r="I74" i="2"/>
  <c r="I71" i="2"/>
  <c r="I69" i="2"/>
  <c r="I67" i="2"/>
  <c r="I64" i="2"/>
  <c r="I63" i="2"/>
  <c r="I60" i="2"/>
  <c r="I59" i="2"/>
  <c r="I58" i="2"/>
  <c r="I57" i="2"/>
  <c r="I56" i="2"/>
  <c r="I55" i="2"/>
  <c r="I53" i="2"/>
  <c r="I52" i="2"/>
  <c r="I51" i="2"/>
  <c r="I48" i="2"/>
  <c r="I47" i="2"/>
  <c r="I45" i="2"/>
  <c r="I42" i="2"/>
  <c r="I35" i="2"/>
  <c r="I33" i="2"/>
  <c r="I31" i="2"/>
  <c r="I29" i="2"/>
  <c r="I28" i="2"/>
  <c r="I27" i="2"/>
  <c r="I26" i="2"/>
  <c r="I25" i="2"/>
  <c r="I23" i="2"/>
  <c r="I22" i="2"/>
  <c r="I21" i="2"/>
  <c r="I19" i="2"/>
  <c r="I17" i="2"/>
  <c r="I15" i="2"/>
  <c r="I13" i="2"/>
  <c r="I10" i="2"/>
  <c r="I9" i="2"/>
  <c r="I7" i="2"/>
  <c r="I6" i="2"/>
  <c r="BO77" i="1"/>
  <c r="BL77" i="1"/>
  <c r="BK10" i="1"/>
  <c r="BM10" i="1" s="1"/>
  <c r="BK11" i="1"/>
  <c r="BM11" i="1" s="1"/>
  <c r="BK14" i="1"/>
  <c r="BM14" i="1" s="1"/>
  <c r="BK15" i="1"/>
  <c r="BM15" i="1" s="1"/>
  <c r="BK19" i="1"/>
  <c r="BM19" i="1" s="1"/>
  <c r="BK20" i="1"/>
  <c r="BM20" i="1" s="1"/>
  <c r="BK23" i="1"/>
  <c r="BM23" i="1" s="1"/>
  <c r="BK28" i="1"/>
  <c r="BM28" i="1" s="1"/>
  <c r="BK29" i="1"/>
  <c r="BM29" i="1" s="1"/>
  <c r="BK32" i="1"/>
  <c r="BM32" i="1" s="1"/>
  <c r="BK33" i="1"/>
  <c r="BM33" i="1" s="1"/>
  <c r="BK34" i="1"/>
  <c r="BM34" i="1" s="1"/>
  <c r="BK35" i="1"/>
  <c r="BM35" i="1" s="1"/>
  <c r="BK37" i="1"/>
  <c r="BM37" i="1" s="1"/>
  <c r="BK38" i="1"/>
  <c r="BM38" i="1" s="1"/>
  <c r="BK42" i="1"/>
  <c r="BM42" i="1" s="1"/>
  <c r="BK44" i="1"/>
  <c r="BM44" i="1" s="1"/>
  <c r="BK47" i="1"/>
  <c r="BM47" i="1" s="1"/>
  <c r="BK49" i="1"/>
  <c r="BM49" i="1" s="1"/>
  <c r="BK51" i="1"/>
  <c r="BM51" i="1" s="1"/>
  <c r="BK54" i="1"/>
  <c r="BM54" i="1" s="1"/>
  <c r="BK55" i="1"/>
  <c r="BM55" i="1" s="1"/>
  <c r="BK56" i="1"/>
  <c r="BM56" i="1" s="1"/>
  <c r="BK60" i="1"/>
  <c r="BM60" i="1" s="1"/>
  <c r="BK61" i="1"/>
  <c r="BM61" i="1" s="1"/>
  <c r="BK65" i="1"/>
  <c r="BM65" i="1" s="1"/>
  <c r="BK69" i="1"/>
  <c r="BM69" i="1" s="1"/>
  <c r="BK70" i="1"/>
  <c r="BM70" i="1" s="1"/>
  <c r="BK73" i="1"/>
  <c r="BM73" i="1" s="1"/>
  <c r="BK74" i="1"/>
  <c r="BM74" i="1" s="1"/>
  <c r="BK75" i="1"/>
  <c r="BM75" i="1" s="1"/>
  <c r="BK76" i="1"/>
  <c r="BM76" i="1" s="1"/>
  <c r="BI77" i="1"/>
  <c r="BF77" i="1"/>
  <c r="BC77" i="1"/>
  <c r="AH77" i="13"/>
  <c r="AG77" i="13"/>
  <c r="AG75" i="72"/>
  <c r="D5" i="72"/>
  <c r="E5" i="72" s="1"/>
  <c r="F5" i="72" s="1"/>
  <c r="G5" i="72" s="1"/>
  <c r="H5" i="72" s="1"/>
  <c r="I5" i="72" s="1"/>
  <c r="J5" i="72" s="1"/>
  <c r="K5" i="72" s="1"/>
  <c r="L5" i="72" s="1"/>
  <c r="M5" i="72" s="1"/>
  <c r="N5" i="72" s="1"/>
  <c r="O5" i="72" s="1"/>
  <c r="P5" i="72" s="1"/>
  <c r="Q5" i="72" s="1"/>
  <c r="Q4" i="1"/>
  <c r="Q12" i="1" s="1"/>
  <c r="C99" i="67"/>
  <c r="C92" i="67"/>
  <c r="C97" i="67" s="1"/>
  <c r="C88" i="67"/>
  <c r="E81" i="67"/>
  <c r="E83" i="67" s="1"/>
  <c r="E4" i="67" s="1"/>
  <c r="D5" i="67"/>
  <c r="E5" i="67" s="1"/>
  <c r="F5" i="67" s="1"/>
  <c r="G5" i="67" s="1"/>
  <c r="H5" i="67" s="1"/>
  <c r="I5" i="67" s="1"/>
  <c r="J5" i="67" s="1"/>
  <c r="K5" i="67" s="1"/>
  <c r="L5" i="67" s="1"/>
  <c r="M5" i="67" s="1"/>
  <c r="N5" i="67" s="1"/>
  <c r="O5" i="67" s="1"/>
  <c r="P5" i="67" s="1"/>
  <c r="Q5" i="67" s="1"/>
  <c r="G29" i="46"/>
  <c r="S45" i="67"/>
  <c r="V77" i="13"/>
  <c r="F77" i="13"/>
  <c r="E42" i="13"/>
  <c r="E40" i="13"/>
  <c r="H40" i="13" s="1"/>
  <c r="D41" i="25" s="1"/>
  <c r="E38" i="13"/>
  <c r="H38" i="13" s="1"/>
  <c r="D39" i="25" s="1"/>
  <c r="E36" i="13"/>
  <c r="E34" i="13"/>
  <c r="H34" i="13" s="1"/>
  <c r="D35" i="25" s="1"/>
  <c r="E32" i="13"/>
  <c r="H32" i="13" s="1"/>
  <c r="D33" i="25" s="1"/>
  <c r="E30" i="13"/>
  <c r="G30" i="13" s="1"/>
  <c r="E28" i="13"/>
  <c r="H28" i="13" s="1"/>
  <c r="D29" i="25" s="1"/>
  <c r="E26" i="13"/>
  <c r="G26" i="13" s="1"/>
  <c r="E24" i="13"/>
  <c r="H24" i="13" s="1"/>
  <c r="D25" i="25" s="1"/>
  <c r="E22" i="13"/>
  <c r="G22" i="13" s="1"/>
  <c r="E20" i="13"/>
  <c r="E18" i="13"/>
  <c r="E16" i="13"/>
  <c r="H16" i="13" s="1"/>
  <c r="D17" i="25" s="1"/>
  <c r="E14" i="13"/>
  <c r="G14" i="13" s="1"/>
  <c r="E12" i="13"/>
  <c r="H12" i="13" s="1"/>
  <c r="D13" i="25" s="1"/>
  <c r="E10" i="13"/>
  <c r="D4" i="49"/>
  <c r="F4" i="49"/>
  <c r="D5" i="49"/>
  <c r="F5" i="49"/>
  <c r="D6" i="49"/>
  <c r="F6" i="49"/>
  <c r="D7" i="49"/>
  <c r="F7" i="49"/>
  <c r="D8" i="49"/>
  <c r="F8" i="49"/>
  <c r="D9" i="49"/>
  <c r="F9" i="49"/>
  <c r="D10" i="49"/>
  <c r="F10" i="49"/>
  <c r="D11" i="49"/>
  <c r="F11" i="49"/>
  <c r="D12" i="49"/>
  <c r="F12" i="49"/>
  <c r="D13" i="49"/>
  <c r="F13" i="49"/>
  <c r="D14" i="49"/>
  <c r="F14" i="49"/>
  <c r="D15" i="49"/>
  <c r="F15" i="49"/>
  <c r="D16" i="49"/>
  <c r="F16" i="49"/>
  <c r="D17" i="49"/>
  <c r="F17" i="49"/>
  <c r="D18" i="49"/>
  <c r="F18" i="49"/>
  <c r="D19" i="49"/>
  <c r="F19" i="49"/>
  <c r="D20" i="49"/>
  <c r="F20" i="49"/>
  <c r="D21" i="49"/>
  <c r="F21" i="49"/>
  <c r="D22" i="49"/>
  <c r="F22" i="49"/>
  <c r="D23" i="49"/>
  <c r="F23" i="49"/>
  <c r="D24" i="49"/>
  <c r="F24" i="49"/>
  <c r="D25" i="49"/>
  <c r="F25" i="49"/>
  <c r="D26" i="49"/>
  <c r="F26" i="49"/>
  <c r="D27" i="49"/>
  <c r="F27" i="49"/>
  <c r="D28" i="49"/>
  <c r="F28" i="49"/>
  <c r="D29" i="49"/>
  <c r="F29" i="49"/>
  <c r="D30" i="49"/>
  <c r="F30" i="49"/>
  <c r="D31" i="49"/>
  <c r="F31" i="49"/>
  <c r="D32" i="49"/>
  <c r="F32" i="49"/>
  <c r="D33" i="49"/>
  <c r="F33" i="49"/>
  <c r="D34" i="49"/>
  <c r="F34" i="49"/>
  <c r="D35" i="49"/>
  <c r="F35" i="49"/>
  <c r="D36" i="49"/>
  <c r="F36" i="49"/>
  <c r="D37" i="49"/>
  <c r="F37" i="49"/>
  <c r="D38" i="49"/>
  <c r="F38" i="49"/>
  <c r="D39" i="49"/>
  <c r="F39" i="49"/>
  <c r="D40" i="49"/>
  <c r="F40" i="49"/>
  <c r="D41" i="49"/>
  <c r="F41" i="49"/>
  <c r="D42" i="49"/>
  <c r="F42" i="49"/>
  <c r="D43" i="49"/>
  <c r="F43" i="49"/>
  <c r="D44" i="49"/>
  <c r="F44" i="49"/>
  <c r="D45" i="49"/>
  <c r="F45" i="49"/>
  <c r="D46" i="49"/>
  <c r="F46" i="49"/>
  <c r="D47" i="49"/>
  <c r="F47" i="49"/>
  <c r="D48" i="49"/>
  <c r="F48" i="49"/>
  <c r="D49" i="49"/>
  <c r="F49" i="49"/>
  <c r="D50" i="49"/>
  <c r="F50" i="49"/>
  <c r="D51" i="49"/>
  <c r="F51" i="49"/>
  <c r="D52" i="49"/>
  <c r="F52" i="49"/>
  <c r="D53" i="49"/>
  <c r="F53" i="49"/>
  <c r="D54" i="49"/>
  <c r="F54" i="49"/>
  <c r="D55" i="49"/>
  <c r="F55" i="49"/>
  <c r="D56" i="49"/>
  <c r="F56" i="49"/>
  <c r="D57" i="49"/>
  <c r="F57" i="49"/>
  <c r="D58" i="49"/>
  <c r="F58" i="49"/>
  <c r="D59" i="49"/>
  <c r="F59" i="49"/>
  <c r="D60" i="49"/>
  <c r="F60" i="49"/>
  <c r="D61" i="49"/>
  <c r="F61" i="49"/>
  <c r="D62" i="49"/>
  <c r="F62" i="49"/>
  <c r="D63" i="49"/>
  <c r="F63" i="49"/>
  <c r="D64" i="49"/>
  <c r="F64" i="49"/>
  <c r="D65" i="49"/>
  <c r="F65" i="49"/>
  <c r="D66" i="49"/>
  <c r="F66" i="49"/>
  <c r="D67" i="49"/>
  <c r="F67" i="49"/>
  <c r="D68" i="49"/>
  <c r="F68" i="49"/>
  <c r="D69" i="49"/>
  <c r="F69" i="49"/>
  <c r="D70" i="49"/>
  <c r="F70" i="49"/>
  <c r="D71" i="49"/>
  <c r="F71" i="49"/>
  <c r="D72" i="49"/>
  <c r="F72" i="49"/>
  <c r="E73" i="49"/>
  <c r="E77" i="49" s="1"/>
  <c r="C73" i="49"/>
  <c r="C77" i="49" s="1"/>
  <c r="E8" i="13"/>
  <c r="E9" i="13"/>
  <c r="H9" i="13" s="1"/>
  <c r="D10" i="25" s="1"/>
  <c r="E11" i="13"/>
  <c r="E13" i="13"/>
  <c r="H13" i="13" s="1"/>
  <c r="D14" i="25" s="1"/>
  <c r="E15" i="13"/>
  <c r="E17" i="13"/>
  <c r="H17" i="13" s="1"/>
  <c r="D18" i="25" s="1"/>
  <c r="E19" i="13"/>
  <c r="E21" i="13"/>
  <c r="H21" i="13" s="1"/>
  <c r="D22" i="25" s="1"/>
  <c r="E23" i="13"/>
  <c r="E25" i="13"/>
  <c r="H25" i="13" s="1"/>
  <c r="D26" i="25" s="1"/>
  <c r="E27" i="13"/>
  <c r="E29" i="13"/>
  <c r="H29" i="13" s="1"/>
  <c r="D30" i="25" s="1"/>
  <c r="E31" i="13"/>
  <c r="E33" i="13"/>
  <c r="H33" i="13" s="1"/>
  <c r="D34" i="25" s="1"/>
  <c r="E35" i="13"/>
  <c r="E37" i="13"/>
  <c r="G37" i="13" s="1"/>
  <c r="E39" i="13"/>
  <c r="E41" i="13"/>
  <c r="E43" i="13"/>
  <c r="E44" i="13"/>
  <c r="H44" i="13" s="1"/>
  <c r="D45" i="25" s="1"/>
  <c r="E45" i="13"/>
  <c r="H45" i="13" s="1"/>
  <c r="D46" i="25" s="1"/>
  <c r="E46" i="13"/>
  <c r="H46" i="13" s="1"/>
  <c r="D47" i="25" s="1"/>
  <c r="E47" i="13"/>
  <c r="E48" i="13"/>
  <c r="H48" i="13" s="1"/>
  <c r="D49" i="25" s="1"/>
  <c r="E49" i="13"/>
  <c r="H49" i="13" s="1"/>
  <c r="D50" i="25" s="1"/>
  <c r="E50" i="13"/>
  <c r="G50" i="13" s="1"/>
  <c r="E51" i="13"/>
  <c r="E52" i="13"/>
  <c r="H52" i="13" s="1"/>
  <c r="D53" i="25" s="1"/>
  <c r="E53" i="13"/>
  <c r="H53" i="13" s="1"/>
  <c r="D54" i="25" s="1"/>
  <c r="E54" i="13"/>
  <c r="H54" i="13" s="1"/>
  <c r="D55" i="25" s="1"/>
  <c r="E55" i="13"/>
  <c r="E56" i="13"/>
  <c r="H56" i="13" s="1"/>
  <c r="D57" i="25" s="1"/>
  <c r="E57" i="13"/>
  <c r="H57" i="13" s="1"/>
  <c r="D58" i="25" s="1"/>
  <c r="E58" i="13"/>
  <c r="H58" i="13" s="1"/>
  <c r="D59" i="25" s="1"/>
  <c r="E59" i="13"/>
  <c r="E60" i="13"/>
  <c r="G60" i="13" s="1"/>
  <c r="E61" i="13"/>
  <c r="E62" i="13"/>
  <c r="H62" i="13" s="1"/>
  <c r="D63" i="25" s="1"/>
  <c r="E63" i="13"/>
  <c r="E64" i="13"/>
  <c r="H64" i="13" s="1"/>
  <c r="D65" i="25" s="1"/>
  <c r="E65" i="13"/>
  <c r="H65" i="13" s="1"/>
  <c r="D66" i="25" s="1"/>
  <c r="E66" i="13"/>
  <c r="G66" i="13" s="1"/>
  <c r="E67" i="13"/>
  <c r="E68" i="13"/>
  <c r="E69" i="13"/>
  <c r="H69" i="13" s="1"/>
  <c r="D70" i="25" s="1"/>
  <c r="E70" i="13"/>
  <c r="H70" i="13" s="1"/>
  <c r="D71" i="25" s="1"/>
  <c r="E71" i="13"/>
  <c r="E72" i="13"/>
  <c r="H72" i="13" s="1"/>
  <c r="D73" i="25" s="1"/>
  <c r="E73" i="13"/>
  <c r="H73" i="13" s="1"/>
  <c r="D74" i="25" s="1"/>
  <c r="E74" i="13"/>
  <c r="H74" i="13" s="1"/>
  <c r="D75" i="25" s="1"/>
  <c r="E75" i="13"/>
  <c r="E76" i="13"/>
  <c r="G76" i="13" s="1"/>
  <c r="I20" i="2"/>
  <c r="I50" i="2"/>
  <c r="I68" i="2"/>
  <c r="I64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G12" i="46"/>
  <c r="G54" i="31"/>
  <c r="G33" i="31"/>
  <c r="Q30" i="46"/>
  <c r="L10" i="5"/>
  <c r="D6" i="46"/>
  <c r="E6" i="46" s="1"/>
  <c r="F6" i="46" s="1"/>
  <c r="G6" i="46" s="1"/>
  <c r="H6" i="46" s="1"/>
  <c r="I6" i="46" s="1"/>
  <c r="J6" i="46" s="1"/>
  <c r="K6" i="46" s="1"/>
  <c r="D76" i="33"/>
  <c r="E76" i="33"/>
  <c r="Q16" i="1"/>
  <c r="I48" i="1"/>
  <c r="K52" i="1"/>
  <c r="E57" i="1"/>
  <c r="G68" i="1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D6" i="31"/>
  <c r="E6" i="31" s="1"/>
  <c r="F6" i="31" s="1"/>
  <c r="G6" i="31" s="1"/>
  <c r="H6" i="31" s="1"/>
  <c r="I6" i="31" s="1"/>
  <c r="J6" i="31" s="1"/>
  <c r="K6" i="31" s="1"/>
  <c r="L6" i="31" s="1"/>
  <c r="M6" i="31" s="1"/>
  <c r="N6" i="31" s="1"/>
  <c r="AI76" i="13"/>
  <c r="F77" i="25" s="1"/>
  <c r="AI75" i="13"/>
  <c r="AK75" i="13" s="1"/>
  <c r="AL75" i="13" s="1"/>
  <c r="AI74" i="13"/>
  <c r="AK74" i="13" s="1"/>
  <c r="AI73" i="13"/>
  <c r="AK73" i="13" s="1"/>
  <c r="AL73" i="13" s="1"/>
  <c r="AI72" i="13"/>
  <c r="AI71" i="13"/>
  <c r="AK71" i="13" s="1"/>
  <c r="AI70" i="13"/>
  <c r="AK70" i="13" s="1"/>
  <c r="AO70" i="13" s="1"/>
  <c r="AI69" i="13"/>
  <c r="AK69" i="13" s="1"/>
  <c r="AO69" i="13" s="1"/>
  <c r="AI68" i="13"/>
  <c r="F69" i="25" s="1"/>
  <c r="AI67" i="13"/>
  <c r="AK67" i="13" s="1"/>
  <c r="AL67" i="13" s="1"/>
  <c r="AI66" i="13"/>
  <c r="AI65" i="13"/>
  <c r="AK65" i="13" s="1"/>
  <c r="AL65" i="13" s="1"/>
  <c r="AI64" i="13"/>
  <c r="AK64" i="13" s="1"/>
  <c r="AI63" i="13"/>
  <c r="AK63" i="13" s="1"/>
  <c r="AI62" i="13"/>
  <c r="AI61" i="13"/>
  <c r="AK61" i="13" s="1"/>
  <c r="AM61" i="13" s="1"/>
  <c r="G62" i="25" s="1"/>
  <c r="AI60" i="13"/>
  <c r="F61" i="25" s="1"/>
  <c r="AI59" i="13"/>
  <c r="AK59" i="13" s="1"/>
  <c r="AL59" i="13" s="1"/>
  <c r="AI58" i="13"/>
  <c r="AK58" i="13" s="1"/>
  <c r="AI57" i="13"/>
  <c r="AK57" i="13" s="1"/>
  <c r="AL57" i="13" s="1"/>
  <c r="AI56" i="13"/>
  <c r="AI55" i="13"/>
  <c r="AK55" i="13" s="1"/>
  <c r="AI54" i="13"/>
  <c r="AK54" i="13" s="1"/>
  <c r="AN54" i="13" s="1"/>
  <c r="AI53" i="13"/>
  <c r="AK53" i="13" s="1"/>
  <c r="AL53" i="13" s="1"/>
  <c r="AI52" i="13"/>
  <c r="F53" i="25" s="1"/>
  <c r="AI51" i="13"/>
  <c r="AK51" i="13" s="1"/>
  <c r="AL51" i="13" s="1"/>
  <c r="AI50" i="13"/>
  <c r="AI49" i="13"/>
  <c r="AK49" i="13" s="1"/>
  <c r="AL49" i="13" s="1"/>
  <c r="AI48" i="13"/>
  <c r="AK48" i="13" s="1"/>
  <c r="AI47" i="13"/>
  <c r="AK47" i="13" s="1"/>
  <c r="AI46" i="13"/>
  <c r="AI45" i="13"/>
  <c r="AK45" i="13" s="1"/>
  <c r="AN45" i="13" s="1"/>
  <c r="AI44" i="13"/>
  <c r="F45" i="25" s="1"/>
  <c r="AI43" i="13"/>
  <c r="AK43" i="13" s="1"/>
  <c r="AL43" i="13" s="1"/>
  <c r="AI42" i="13"/>
  <c r="AK42" i="13" s="1"/>
  <c r="AI41" i="13"/>
  <c r="AK41" i="13" s="1"/>
  <c r="AL41" i="13" s="1"/>
  <c r="AI40" i="13"/>
  <c r="AI38" i="13"/>
  <c r="AK38" i="13" s="1"/>
  <c r="AI37" i="13"/>
  <c r="AK37" i="13" s="1"/>
  <c r="AI36" i="13"/>
  <c r="AK36" i="13" s="1"/>
  <c r="AI35" i="13"/>
  <c r="AI34" i="13"/>
  <c r="AK34" i="13" s="1"/>
  <c r="AM34" i="13" s="1"/>
  <c r="G35" i="25" s="1"/>
  <c r="AI33" i="13"/>
  <c r="AI32" i="13"/>
  <c r="AK32" i="13" s="1"/>
  <c r="AN32" i="13" s="1"/>
  <c r="AI31" i="13"/>
  <c r="AK31" i="13" s="1"/>
  <c r="AI30" i="13"/>
  <c r="AK30" i="13" s="1"/>
  <c r="AI29" i="13"/>
  <c r="AK29" i="13" s="1"/>
  <c r="AL29" i="13" s="1"/>
  <c r="AI28" i="13"/>
  <c r="AK28" i="13" s="1"/>
  <c r="AI27" i="13"/>
  <c r="AI26" i="13"/>
  <c r="AK26" i="13" s="1"/>
  <c r="AN26" i="13" s="1"/>
  <c r="AI25" i="13"/>
  <c r="AK25" i="13" s="1"/>
  <c r="AI24" i="13"/>
  <c r="AI23" i="13"/>
  <c r="AK23" i="13" s="1"/>
  <c r="AN23" i="13" s="1"/>
  <c r="AI22" i="13"/>
  <c r="AK22" i="13" s="1"/>
  <c r="AI21" i="13"/>
  <c r="AK21" i="13" s="1"/>
  <c r="AN21" i="13" s="1"/>
  <c r="AI20" i="13"/>
  <c r="AK20" i="13" s="1"/>
  <c r="AL20" i="13" s="1"/>
  <c r="AI19" i="13"/>
  <c r="F20" i="25" s="1"/>
  <c r="AI18" i="13"/>
  <c r="AK18" i="13" s="1"/>
  <c r="AL18" i="13" s="1"/>
  <c r="AI17" i="13"/>
  <c r="AI16" i="13"/>
  <c r="AK16" i="13" s="1"/>
  <c r="AM16" i="13" s="1"/>
  <c r="G17" i="25" s="1"/>
  <c r="AI15" i="13"/>
  <c r="F16" i="25" s="1"/>
  <c r="AI14" i="13"/>
  <c r="AK14" i="13" s="1"/>
  <c r="AM14" i="13" s="1"/>
  <c r="G15" i="25" s="1"/>
  <c r="AI13" i="13"/>
  <c r="AK13" i="13" s="1"/>
  <c r="AO13" i="13" s="1"/>
  <c r="AI12" i="13"/>
  <c r="AK12" i="13" s="1"/>
  <c r="AM12" i="13" s="1"/>
  <c r="G13" i="25" s="1"/>
  <c r="AI11" i="13"/>
  <c r="AI10" i="13"/>
  <c r="AK10" i="13" s="1"/>
  <c r="AI9" i="13"/>
  <c r="AK9" i="13" s="1"/>
  <c r="AM9" i="13" s="1"/>
  <c r="G10" i="25" s="1"/>
  <c r="AI8" i="13"/>
  <c r="AK8" i="13" s="1"/>
  <c r="AA76" i="13"/>
  <c r="Z76" i="13"/>
  <c r="Y76" i="13"/>
  <c r="O77" i="13"/>
  <c r="Q76" i="13"/>
  <c r="Q24" i="13"/>
  <c r="C7" i="5"/>
  <c r="D7" i="5" s="1"/>
  <c r="E7" i="5" s="1"/>
  <c r="F7" i="5" s="1"/>
  <c r="G7" i="5" s="1"/>
  <c r="H7" i="5" s="1"/>
  <c r="I7" i="5" s="1"/>
  <c r="J7" i="5" s="1"/>
  <c r="K7" i="5" s="1"/>
  <c r="L7" i="5" s="1"/>
  <c r="M7" i="5" s="1"/>
  <c r="N7" i="5" s="1"/>
  <c r="O7" i="5" s="1"/>
  <c r="P7" i="5" s="1"/>
  <c r="L6" i="2"/>
  <c r="E6" i="2"/>
  <c r="E7" i="2"/>
  <c r="E8" i="2"/>
  <c r="E9" i="2"/>
  <c r="E10" i="2"/>
  <c r="E11" i="2"/>
  <c r="G11" i="2" s="1"/>
  <c r="H11" i="2" s="1"/>
  <c r="E12" i="2"/>
  <c r="G12" i="2" s="1"/>
  <c r="H12" i="2" s="1"/>
  <c r="E13" i="2"/>
  <c r="E14" i="2"/>
  <c r="E15" i="2"/>
  <c r="E16" i="2"/>
  <c r="G16" i="2" s="1"/>
  <c r="H16" i="2" s="1"/>
  <c r="E17" i="2"/>
  <c r="G17" i="2" s="1"/>
  <c r="H17" i="2" s="1"/>
  <c r="E18" i="2"/>
  <c r="E19" i="2"/>
  <c r="E20" i="2"/>
  <c r="G20" i="2" s="1"/>
  <c r="H20" i="2" s="1"/>
  <c r="E21" i="2"/>
  <c r="G21" i="2" s="1"/>
  <c r="H21" i="2" s="1"/>
  <c r="E22" i="2"/>
  <c r="E23" i="2"/>
  <c r="E24" i="2"/>
  <c r="G24" i="2" s="1"/>
  <c r="H24" i="2" s="1"/>
  <c r="E25" i="2"/>
  <c r="E26" i="2"/>
  <c r="E27" i="2"/>
  <c r="E28" i="2"/>
  <c r="G28" i="2" s="1"/>
  <c r="H28" i="2" s="1"/>
  <c r="E29" i="2"/>
  <c r="E30" i="2"/>
  <c r="E31" i="2"/>
  <c r="E32" i="2"/>
  <c r="G32" i="2" s="1"/>
  <c r="H32" i="2" s="1"/>
  <c r="E33" i="2"/>
  <c r="E34" i="2"/>
  <c r="E35" i="2"/>
  <c r="E36" i="2"/>
  <c r="G36" i="2" s="1"/>
  <c r="H36" i="2" s="1"/>
  <c r="E37" i="2"/>
  <c r="G37" i="2" s="1"/>
  <c r="H37" i="2" s="1"/>
  <c r="E38" i="2"/>
  <c r="E39" i="2"/>
  <c r="E40" i="2"/>
  <c r="G40" i="2" s="1"/>
  <c r="H40" i="2" s="1"/>
  <c r="E41" i="2"/>
  <c r="E42" i="2"/>
  <c r="E43" i="2"/>
  <c r="G43" i="2" s="1"/>
  <c r="H43" i="2" s="1"/>
  <c r="E44" i="2"/>
  <c r="G44" i="2" s="1"/>
  <c r="H44" i="2" s="1"/>
  <c r="E45" i="2"/>
  <c r="G45" i="2" s="1"/>
  <c r="H45" i="2" s="1"/>
  <c r="E46" i="2"/>
  <c r="E47" i="2"/>
  <c r="E48" i="2"/>
  <c r="E49" i="2"/>
  <c r="G49" i="2" s="1"/>
  <c r="H49" i="2" s="1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G73" i="2" s="1"/>
  <c r="H73" i="2" s="1"/>
  <c r="E74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V6" i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D75" i="2"/>
  <c r="E44" i="81" s="1"/>
  <c r="G44" i="81" s="1"/>
  <c r="C3" i="49"/>
  <c r="D3" i="49" s="1"/>
  <c r="E3" i="49" s="1"/>
  <c r="F3" i="49" s="1"/>
  <c r="G3" i="49" s="1"/>
  <c r="Q9" i="13"/>
  <c r="X9" i="13"/>
  <c r="Q8" i="13"/>
  <c r="X8" i="13"/>
  <c r="Q10" i="13"/>
  <c r="X10" i="13"/>
  <c r="Q11" i="13"/>
  <c r="X11" i="13"/>
  <c r="Q12" i="13"/>
  <c r="X12" i="13"/>
  <c r="Q13" i="13"/>
  <c r="X13" i="13"/>
  <c r="Q14" i="13"/>
  <c r="X14" i="13"/>
  <c r="Q15" i="13"/>
  <c r="X15" i="13"/>
  <c r="Q16" i="13"/>
  <c r="X16" i="13"/>
  <c r="Q17" i="13"/>
  <c r="X17" i="13"/>
  <c r="Q18" i="13"/>
  <c r="X18" i="13"/>
  <c r="Q19" i="13"/>
  <c r="X19" i="13"/>
  <c r="Q20" i="13"/>
  <c r="X20" i="13"/>
  <c r="Q21" i="13"/>
  <c r="X21" i="13"/>
  <c r="Q22" i="13"/>
  <c r="X22" i="13"/>
  <c r="Q23" i="13"/>
  <c r="X23" i="13"/>
  <c r="X24" i="13"/>
  <c r="Q25" i="13"/>
  <c r="X25" i="13"/>
  <c r="Q26" i="13"/>
  <c r="X26" i="13"/>
  <c r="Q27" i="13"/>
  <c r="X27" i="13"/>
  <c r="Q28" i="13"/>
  <c r="AC28" i="13" s="1"/>
  <c r="X28" i="13"/>
  <c r="Q29" i="13"/>
  <c r="X29" i="13"/>
  <c r="Q30" i="13"/>
  <c r="X30" i="13"/>
  <c r="Q31" i="13"/>
  <c r="X31" i="13"/>
  <c r="Q32" i="13"/>
  <c r="X32" i="13"/>
  <c r="Q33" i="13"/>
  <c r="X33" i="13"/>
  <c r="Q34" i="13"/>
  <c r="X34" i="13"/>
  <c r="Q35" i="13"/>
  <c r="X35" i="13"/>
  <c r="Q36" i="13"/>
  <c r="X36" i="13"/>
  <c r="Q37" i="13"/>
  <c r="X37" i="13"/>
  <c r="Q38" i="13"/>
  <c r="X38" i="13"/>
  <c r="Q39" i="13"/>
  <c r="X39" i="13"/>
  <c r="Q40" i="13"/>
  <c r="X40" i="13"/>
  <c r="Q41" i="13"/>
  <c r="X41" i="13"/>
  <c r="Q42" i="13"/>
  <c r="X42" i="13"/>
  <c r="Q43" i="13"/>
  <c r="X43" i="13"/>
  <c r="Q44" i="13"/>
  <c r="X44" i="13"/>
  <c r="Q45" i="13"/>
  <c r="X45" i="13"/>
  <c r="Q46" i="13"/>
  <c r="X46" i="13"/>
  <c r="Q47" i="13"/>
  <c r="X47" i="13"/>
  <c r="Q48" i="13"/>
  <c r="X48" i="13"/>
  <c r="Q49" i="13"/>
  <c r="X49" i="13"/>
  <c r="Q50" i="13"/>
  <c r="X50" i="13"/>
  <c r="Q51" i="13"/>
  <c r="X51" i="13"/>
  <c r="Q52" i="13"/>
  <c r="X52" i="13"/>
  <c r="Q53" i="13"/>
  <c r="X53" i="13"/>
  <c r="Q54" i="13"/>
  <c r="X54" i="13"/>
  <c r="Q55" i="13"/>
  <c r="X55" i="13"/>
  <c r="Q56" i="13"/>
  <c r="X56" i="13"/>
  <c r="Q57" i="13"/>
  <c r="X57" i="13"/>
  <c r="Q58" i="13"/>
  <c r="X58" i="13"/>
  <c r="Q59" i="13"/>
  <c r="X59" i="13"/>
  <c r="Q60" i="13"/>
  <c r="X60" i="13"/>
  <c r="Q61" i="13"/>
  <c r="X61" i="13"/>
  <c r="Q62" i="13"/>
  <c r="X62" i="13"/>
  <c r="Q63" i="13"/>
  <c r="X63" i="13"/>
  <c r="Q64" i="13"/>
  <c r="X64" i="13"/>
  <c r="Q65" i="13"/>
  <c r="X65" i="13"/>
  <c r="Q66" i="13"/>
  <c r="X66" i="13"/>
  <c r="Q67" i="13"/>
  <c r="X67" i="13"/>
  <c r="Q68" i="13"/>
  <c r="X68" i="13"/>
  <c r="Q69" i="13"/>
  <c r="X69" i="13"/>
  <c r="Q70" i="13"/>
  <c r="X70" i="13"/>
  <c r="Q71" i="13"/>
  <c r="X71" i="13"/>
  <c r="Q72" i="13"/>
  <c r="X72" i="13"/>
  <c r="Q73" i="13"/>
  <c r="X73" i="13"/>
  <c r="Q74" i="13"/>
  <c r="X74" i="13"/>
  <c r="Q75" i="13"/>
  <c r="X75" i="13"/>
  <c r="C6" i="33"/>
  <c r="D6" i="33" s="1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" i="33" s="1"/>
  <c r="P6" i="33" s="1"/>
  <c r="Q6" i="33" s="1"/>
  <c r="R6" i="33" s="1"/>
  <c r="S6" i="33" s="1"/>
  <c r="T6" i="33" s="1"/>
  <c r="U6" i="33" s="1"/>
  <c r="V6" i="33" s="1"/>
  <c r="I6" i="13"/>
  <c r="J6" i="13" s="1"/>
  <c r="K6" i="13" s="1"/>
  <c r="L6" i="13" s="1"/>
  <c r="M6" i="13" s="1"/>
  <c r="N6" i="13" s="1"/>
  <c r="O6" i="13" s="1"/>
  <c r="P6" i="13" s="1"/>
  <c r="Q6" i="13" s="1"/>
  <c r="R6" i="13" s="1"/>
  <c r="S6" i="13" s="1"/>
  <c r="T6" i="13" s="1"/>
  <c r="U6" i="13" s="1"/>
  <c r="V6" i="13" s="1"/>
  <c r="W6" i="13" s="1"/>
  <c r="X6" i="13" s="1"/>
  <c r="Y6" i="13" s="1"/>
  <c r="Z6" i="13" s="1"/>
  <c r="AA6" i="13" s="1"/>
  <c r="AB6" i="13" s="1"/>
  <c r="AC6" i="13" s="1"/>
  <c r="AD6" i="13" s="1"/>
  <c r="AE6" i="13" s="1"/>
  <c r="AF6" i="13" s="1"/>
  <c r="AG6" i="13" s="1"/>
  <c r="AH6" i="13" s="1"/>
  <c r="AI6" i="13" s="1"/>
  <c r="AJ6" i="13" s="1"/>
  <c r="AK6" i="13" s="1"/>
  <c r="AL6" i="13" s="1"/>
  <c r="AM6" i="13" s="1"/>
  <c r="AN6" i="13" s="1"/>
  <c r="AO6" i="13" s="1"/>
  <c r="AP6" i="13" s="1"/>
  <c r="AQ6" i="13" s="1"/>
  <c r="AR6" i="13" s="1"/>
  <c r="D6" i="13"/>
  <c r="D7" i="25"/>
  <c r="E7" i="25" s="1"/>
  <c r="F7" i="25" s="1"/>
  <c r="G7" i="25" s="1"/>
  <c r="H7" i="25" s="1"/>
  <c r="I7" i="25" s="1"/>
  <c r="J7" i="25" s="1"/>
  <c r="N4" i="1"/>
  <c r="C75" i="2"/>
  <c r="F60" i="25"/>
  <c r="AP77" i="13"/>
  <c r="E35" i="81" s="1"/>
  <c r="H35" i="81" s="1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Z21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W77" i="13"/>
  <c r="S77" i="13"/>
  <c r="P77" i="13"/>
  <c r="L77" i="13"/>
  <c r="J77" i="13"/>
  <c r="C77" i="13"/>
  <c r="K75" i="2"/>
  <c r="O6" i="1"/>
  <c r="P6" i="1" s="1"/>
  <c r="Q6" i="1" s="1"/>
  <c r="R6" i="1" s="1"/>
  <c r="S6" i="1" s="1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AN19" i="13"/>
  <c r="AO19" i="13"/>
  <c r="D77" i="13"/>
  <c r="G12" i="31"/>
  <c r="L9" i="1"/>
  <c r="M9" i="1" s="1"/>
  <c r="N9" i="1" s="1"/>
  <c r="I8" i="2"/>
  <c r="L10" i="1"/>
  <c r="M10" i="1" s="1"/>
  <c r="N10" i="1" s="1"/>
  <c r="L11" i="1"/>
  <c r="M11" i="1" s="1"/>
  <c r="N11" i="1" s="1"/>
  <c r="L12" i="1"/>
  <c r="M12" i="1" s="1"/>
  <c r="N12" i="1" s="1"/>
  <c r="L13" i="1"/>
  <c r="M13" i="1" s="1"/>
  <c r="N13" i="1" s="1"/>
  <c r="I12" i="2"/>
  <c r="L14" i="1"/>
  <c r="M14" i="1" s="1"/>
  <c r="N14" i="1" s="1"/>
  <c r="L15" i="1"/>
  <c r="M15" i="1" s="1"/>
  <c r="N15" i="1" s="1"/>
  <c r="L17" i="1"/>
  <c r="M17" i="1" s="1"/>
  <c r="N17" i="1" s="1"/>
  <c r="I16" i="2"/>
  <c r="L18" i="1"/>
  <c r="M18" i="1" s="1"/>
  <c r="N18" i="1" s="1"/>
  <c r="L19" i="1"/>
  <c r="M19" i="1" s="1"/>
  <c r="N19" i="1" s="1"/>
  <c r="I18" i="2"/>
  <c r="L20" i="1"/>
  <c r="M20" i="1" s="1"/>
  <c r="N20" i="1" s="1"/>
  <c r="L21" i="1"/>
  <c r="M21" i="1" s="1"/>
  <c r="N21" i="1" s="1"/>
  <c r="L23" i="1"/>
  <c r="M23" i="1" s="1"/>
  <c r="N23" i="1" s="1"/>
  <c r="I24" i="2"/>
  <c r="L26" i="1"/>
  <c r="M26" i="1" s="1"/>
  <c r="N26" i="1" s="1"/>
  <c r="L27" i="1"/>
  <c r="M27" i="1" s="1"/>
  <c r="N27" i="1" s="1"/>
  <c r="L28" i="1"/>
  <c r="M28" i="1" s="1"/>
  <c r="N28" i="1" s="1"/>
  <c r="L29" i="1"/>
  <c r="M29" i="1" s="1"/>
  <c r="N29" i="1" s="1"/>
  <c r="L30" i="1"/>
  <c r="M30" i="1" s="1"/>
  <c r="N30" i="1" s="1"/>
  <c r="L31" i="1"/>
  <c r="M31" i="1" s="1"/>
  <c r="N31" i="1" s="1"/>
  <c r="I30" i="2"/>
  <c r="L32" i="1"/>
  <c r="M32" i="1" s="1"/>
  <c r="N32" i="1" s="1"/>
  <c r="L33" i="1"/>
  <c r="M33" i="1" s="1"/>
  <c r="N33" i="1" s="1"/>
  <c r="I32" i="2"/>
  <c r="L34" i="1"/>
  <c r="M34" i="1" s="1"/>
  <c r="N34" i="1" s="1"/>
  <c r="L35" i="1"/>
  <c r="M35" i="1" s="1"/>
  <c r="N35" i="1" s="1"/>
  <c r="L36" i="1"/>
  <c r="M36" i="1" s="1"/>
  <c r="N36" i="1" s="1"/>
  <c r="L37" i="1"/>
  <c r="M37" i="1" s="1"/>
  <c r="N37" i="1" s="1"/>
  <c r="I36" i="2"/>
  <c r="L38" i="1"/>
  <c r="M38" i="1" s="1"/>
  <c r="N38" i="1" s="1"/>
  <c r="L39" i="1"/>
  <c r="M39" i="1" s="1"/>
  <c r="N39" i="1" s="1"/>
  <c r="I38" i="2"/>
  <c r="L40" i="1"/>
  <c r="M40" i="1" s="1"/>
  <c r="N40" i="1" s="1"/>
  <c r="L41" i="1"/>
  <c r="M41" i="1" s="1"/>
  <c r="N41" i="1" s="1"/>
  <c r="I40" i="2"/>
  <c r="L42" i="1"/>
  <c r="M42" i="1" s="1"/>
  <c r="N42" i="1" s="1"/>
  <c r="L44" i="1"/>
  <c r="M44" i="1" s="1"/>
  <c r="N44" i="1" s="1"/>
  <c r="L45" i="1"/>
  <c r="M45" i="1" s="1"/>
  <c r="N45" i="1" s="1"/>
  <c r="L47" i="1"/>
  <c r="M47" i="1" s="1"/>
  <c r="N47" i="1" s="1"/>
  <c r="L48" i="1"/>
  <c r="M48" i="1" s="1"/>
  <c r="N48" i="1" s="1"/>
  <c r="L49" i="1"/>
  <c r="M49" i="1" s="1"/>
  <c r="N49" i="1" s="1"/>
  <c r="L50" i="1"/>
  <c r="M50" i="1" s="1"/>
  <c r="N50" i="1" s="1"/>
  <c r="L51" i="1"/>
  <c r="M51" i="1" s="1"/>
  <c r="N51" i="1" s="1"/>
  <c r="L52" i="1"/>
  <c r="M52" i="1" s="1"/>
  <c r="N52" i="1" s="1"/>
  <c r="L54" i="1"/>
  <c r="M54" i="1" s="1"/>
  <c r="N54" i="1" s="1"/>
  <c r="L55" i="1"/>
  <c r="M55" i="1" s="1"/>
  <c r="N55" i="1" s="1"/>
  <c r="L56" i="1"/>
  <c r="M56" i="1" s="1"/>
  <c r="N56" i="1" s="1"/>
  <c r="L57" i="1"/>
  <c r="M57" i="1" s="1"/>
  <c r="N57" i="1" s="1"/>
  <c r="L58" i="1"/>
  <c r="M58" i="1" s="1"/>
  <c r="N58" i="1" s="1"/>
  <c r="L59" i="1"/>
  <c r="M59" i="1" s="1"/>
  <c r="N59" i="1" s="1"/>
  <c r="L60" i="1"/>
  <c r="M60" i="1" s="1"/>
  <c r="N60" i="1" s="1"/>
  <c r="L61" i="1"/>
  <c r="M61" i="1" s="1"/>
  <c r="N61" i="1" s="1"/>
  <c r="L62" i="1"/>
  <c r="M62" i="1" s="1"/>
  <c r="N62" i="1" s="1"/>
  <c r="I61" i="2"/>
  <c r="L63" i="1"/>
  <c r="M63" i="1" s="1"/>
  <c r="N63" i="1" s="1"/>
  <c r="L64" i="1"/>
  <c r="M64" i="1" s="1"/>
  <c r="N64" i="1" s="1"/>
  <c r="L65" i="1"/>
  <c r="M65" i="1" s="1"/>
  <c r="N65" i="1" s="1"/>
  <c r="L66" i="1"/>
  <c r="M66" i="1" s="1"/>
  <c r="N66" i="1" s="1"/>
  <c r="M64" i="2"/>
  <c r="N64" i="2" s="1"/>
  <c r="M63" i="2"/>
  <c r="N63" i="2" s="1"/>
  <c r="M62" i="2"/>
  <c r="N62" i="2" s="1"/>
  <c r="M60" i="2"/>
  <c r="N60" i="2" s="1"/>
  <c r="M59" i="2"/>
  <c r="N59" i="2" s="1"/>
  <c r="M58" i="2"/>
  <c r="N58" i="2" s="1"/>
  <c r="M57" i="2"/>
  <c r="N57" i="2" s="1"/>
  <c r="M56" i="2"/>
  <c r="N56" i="2" s="1"/>
  <c r="M55" i="2"/>
  <c r="N55" i="2" s="1"/>
  <c r="M54" i="2"/>
  <c r="N54" i="2" s="1"/>
  <c r="M53" i="2"/>
  <c r="N53" i="2" s="1"/>
  <c r="M52" i="2"/>
  <c r="N52" i="2" s="1"/>
  <c r="M50" i="2"/>
  <c r="N50" i="2" s="1"/>
  <c r="M49" i="2"/>
  <c r="N49" i="2" s="1"/>
  <c r="M48" i="2"/>
  <c r="N48" i="2" s="1"/>
  <c r="M47" i="2"/>
  <c r="N47" i="2" s="1"/>
  <c r="M46" i="2"/>
  <c r="N46" i="2" s="1"/>
  <c r="M45" i="2"/>
  <c r="N45" i="2" s="1"/>
  <c r="M43" i="2"/>
  <c r="N43" i="2" s="1"/>
  <c r="M42" i="2"/>
  <c r="N42" i="2" s="1"/>
  <c r="M40" i="2"/>
  <c r="N40" i="2" s="1"/>
  <c r="M38" i="2"/>
  <c r="N38" i="2" s="1"/>
  <c r="M37" i="2"/>
  <c r="N37" i="2" s="1"/>
  <c r="M36" i="2"/>
  <c r="N36" i="2" s="1"/>
  <c r="M35" i="2"/>
  <c r="N35" i="2" s="1"/>
  <c r="M34" i="2"/>
  <c r="N34" i="2" s="1"/>
  <c r="M33" i="2"/>
  <c r="N33" i="2" s="1"/>
  <c r="M32" i="2"/>
  <c r="N32" i="2" s="1"/>
  <c r="M31" i="2"/>
  <c r="N31" i="2" s="1"/>
  <c r="M30" i="2"/>
  <c r="N30" i="2" s="1"/>
  <c r="M29" i="2"/>
  <c r="N29" i="2" s="1"/>
  <c r="M28" i="2"/>
  <c r="N28" i="2" s="1"/>
  <c r="M27" i="2"/>
  <c r="N27" i="2" s="1"/>
  <c r="M26" i="2"/>
  <c r="N26" i="2" s="1"/>
  <c r="M25" i="2"/>
  <c r="N25" i="2" s="1"/>
  <c r="M24" i="2"/>
  <c r="N24" i="2" s="1"/>
  <c r="M23" i="2"/>
  <c r="N23" i="2" s="1"/>
  <c r="M21" i="2"/>
  <c r="N21" i="2" s="1"/>
  <c r="M20" i="2"/>
  <c r="N20" i="2" s="1"/>
  <c r="M19" i="2"/>
  <c r="N19" i="2" s="1"/>
  <c r="M18" i="2"/>
  <c r="N18" i="2" s="1"/>
  <c r="M17" i="2"/>
  <c r="N17" i="2" s="1"/>
  <c r="M16" i="2"/>
  <c r="N16" i="2" s="1"/>
  <c r="M15" i="2"/>
  <c r="N15" i="2" s="1"/>
  <c r="M13" i="2"/>
  <c r="N13" i="2" s="1"/>
  <c r="M12" i="2"/>
  <c r="N12" i="2" s="1"/>
  <c r="M11" i="2"/>
  <c r="N11" i="2" s="1"/>
  <c r="M10" i="2"/>
  <c r="N10" i="2" s="1"/>
  <c r="M9" i="2"/>
  <c r="N9" i="2" s="1"/>
  <c r="M8" i="2"/>
  <c r="N8" i="2" s="1"/>
  <c r="M7" i="2"/>
  <c r="N7" i="2" s="1"/>
  <c r="M39" i="2"/>
  <c r="N39" i="2" s="1"/>
  <c r="M61" i="2"/>
  <c r="N61" i="2" s="1"/>
  <c r="G11" i="46"/>
  <c r="G21" i="46"/>
  <c r="G7" i="46"/>
  <c r="G13" i="46"/>
  <c r="G14" i="46"/>
  <c r="G10" i="46"/>
  <c r="G17" i="46"/>
  <c r="G29" i="31"/>
  <c r="I65" i="2"/>
  <c r="L67" i="1"/>
  <c r="M67" i="1" s="1"/>
  <c r="N67" i="1" s="1"/>
  <c r="M65" i="2"/>
  <c r="N65" i="2" s="1"/>
  <c r="I66" i="2"/>
  <c r="L68" i="1"/>
  <c r="M68" i="1" s="1"/>
  <c r="N68" i="1" s="1"/>
  <c r="M66" i="2"/>
  <c r="N66" i="2" s="1"/>
  <c r="L69" i="1"/>
  <c r="M69" i="1" s="1"/>
  <c r="N69" i="1" s="1"/>
  <c r="M67" i="2"/>
  <c r="N67" i="2" s="1"/>
  <c r="L70" i="1"/>
  <c r="M70" i="1" s="1"/>
  <c r="N70" i="1" s="1"/>
  <c r="M68" i="2"/>
  <c r="N68" i="2" s="1"/>
  <c r="L71" i="1"/>
  <c r="M71" i="1" s="1"/>
  <c r="N71" i="1" s="1"/>
  <c r="M69" i="2"/>
  <c r="N69" i="2" s="1"/>
  <c r="L72" i="1"/>
  <c r="M72" i="1" s="1"/>
  <c r="N72" i="1" s="1"/>
  <c r="M70" i="2"/>
  <c r="N70" i="2" s="1"/>
  <c r="L73" i="1"/>
  <c r="M73" i="1" s="1"/>
  <c r="N73" i="1" s="1"/>
  <c r="M71" i="2"/>
  <c r="N71" i="2" s="1"/>
  <c r="I72" i="2"/>
  <c r="L74" i="1"/>
  <c r="M74" i="1" s="1"/>
  <c r="N74" i="1" s="1"/>
  <c r="M72" i="2"/>
  <c r="N72" i="2" s="1"/>
  <c r="L75" i="1"/>
  <c r="M75" i="1" s="1"/>
  <c r="N75" i="1" s="1"/>
  <c r="M73" i="2"/>
  <c r="N73" i="2" s="1"/>
  <c r="L76" i="1"/>
  <c r="M76" i="1" s="1"/>
  <c r="N76" i="1" s="1"/>
  <c r="M74" i="2"/>
  <c r="N74" i="2" s="1"/>
  <c r="L8" i="1"/>
  <c r="M8" i="1" s="1"/>
  <c r="N8" i="1" s="1"/>
  <c r="M6" i="2"/>
  <c r="N6" i="2" s="1"/>
  <c r="AK39" i="13"/>
  <c r="AL39" i="13" s="1"/>
  <c r="F40" i="25"/>
  <c r="L22" i="1"/>
  <c r="M22" i="1" s="1"/>
  <c r="N22" i="1" s="1"/>
  <c r="L25" i="1"/>
  <c r="M25" i="1" s="1"/>
  <c r="N25" i="1" s="1"/>
  <c r="AJ77" i="13"/>
  <c r="AM19" i="13"/>
  <c r="G20" i="25" s="1"/>
  <c r="AL19" i="13"/>
  <c r="AL37" i="13"/>
  <c r="D5" i="2"/>
  <c r="E5" i="2" s="1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AZ77" i="1"/>
  <c r="S23" i="67"/>
  <c r="BK24" i="1"/>
  <c r="BM24" i="1" s="1"/>
  <c r="L24" i="1"/>
  <c r="M24" i="1" s="1"/>
  <c r="N24" i="1" s="1"/>
  <c r="M22" i="2"/>
  <c r="N22" i="2" s="1"/>
  <c r="S52" i="67"/>
  <c r="BK53" i="1"/>
  <c r="BM53" i="1" s="1"/>
  <c r="L53" i="1"/>
  <c r="M53" i="1" s="1"/>
  <c r="N53" i="1" s="1"/>
  <c r="M51" i="2"/>
  <c r="N51" i="2" s="1"/>
  <c r="W6" i="33" l="1"/>
  <c r="AQ6" i="33" s="1"/>
  <c r="AR6" i="33" s="1"/>
  <c r="AS6" i="33" s="1"/>
  <c r="L6" i="46"/>
  <c r="M6" i="46" s="1"/>
  <c r="N6" i="46" s="1"/>
  <c r="O6" i="46" s="1"/>
  <c r="P6" i="46" s="1"/>
  <c r="Q6" i="46" s="1"/>
  <c r="R6" i="46" s="1"/>
  <c r="S6" i="46" s="1"/>
  <c r="T6" i="46" s="1"/>
  <c r="U6" i="46" s="1"/>
  <c r="G21" i="76"/>
  <c r="G43" i="76"/>
  <c r="G21" i="80"/>
  <c r="G43" i="80"/>
  <c r="G40" i="76"/>
  <c r="G40" i="80"/>
  <c r="G75" i="33"/>
  <c r="H67" i="33"/>
  <c r="H57" i="33"/>
  <c r="H55" i="33"/>
  <c r="H47" i="33"/>
  <c r="H43" i="33"/>
  <c r="H39" i="33"/>
  <c r="H35" i="33"/>
  <c r="H25" i="33"/>
  <c r="H23" i="33"/>
  <c r="H11" i="33"/>
  <c r="H9" i="33"/>
  <c r="H7" i="33"/>
  <c r="H71" i="33"/>
  <c r="H63" i="33"/>
  <c r="H59" i="33"/>
  <c r="H51" i="33"/>
  <c r="H33" i="33"/>
  <c r="H31" i="33"/>
  <c r="H27" i="33"/>
  <c r="H19" i="33"/>
  <c r="H17" i="33"/>
  <c r="H15" i="33"/>
  <c r="H74" i="33"/>
  <c r="G72" i="33"/>
  <c r="G70" i="33"/>
  <c r="H68" i="33"/>
  <c r="H66" i="33"/>
  <c r="G64" i="33"/>
  <c r="H62" i="33"/>
  <c r="G60" i="33"/>
  <c r="H58" i="33"/>
  <c r="G56" i="33"/>
  <c r="H54" i="33"/>
  <c r="H52" i="33"/>
  <c r="H50" i="33"/>
  <c r="G48" i="33"/>
  <c r="G46" i="33"/>
  <c r="H44" i="33"/>
  <c r="H42" i="33"/>
  <c r="G40" i="33"/>
  <c r="G38" i="33"/>
  <c r="H36" i="33"/>
  <c r="H34" i="33"/>
  <c r="G32" i="33"/>
  <c r="G30" i="33"/>
  <c r="G28" i="33"/>
  <c r="H26" i="33"/>
  <c r="G24" i="33"/>
  <c r="H22" i="33"/>
  <c r="H20" i="33"/>
  <c r="H18" i="33"/>
  <c r="G16" i="33"/>
  <c r="H14" i="33"/>
  <c r="H12" i="33"/>
  <c r="H10" i="33"/>
  <c r="G8" i="33"/>
  <c r="F32" i="25"/>
  <c r="G64" i="13"/>
  <c r="AC48" i="13"/>
  <c r="F65" i="25"/>
  <c r="AC73" i="13"/>
  <c r="AC61" i="13"/>
  <c r="AC57" i="13"/>
  <c r="AC45" i="13"/>
  <c r="AC39" i="13"/>
  <c r="Q70" i="1"/>
  <c r="G69" i="31"/>
  <c r="G29" i="13"/>
  <c r="AB37" i="13"/>
  <c r="AC21" i="13"/>
  <c r="F38" i="25"/>
  <c r="G19" i="33"/>
  <c r="Q51" i="1"/>
  <c r="Q59" i="1"/>
  <c r="Q36" i="1"/>
  <c r="E76" i="81"/>
  <c r="H76" i="81" s="1"/>
  <c r="F43" i="25"/>
  <c r="G27" i="33"/>
  <c r="F14" i="25"/>
  <c r="F55" i="25"/>
  <c r="F75" i="25"/>
  <c r="G54" i="13"/>
  <c r="G43" i="33"/>
  <c r="F59" i="25"/>
  <c r="G71" i="33"/>
  <c r="AC74" i="13"/>
  <c r="AC66" i="13"/>
  <c r="AC62" i="13"/>
  <c r="AC54" i="13"/>
  <c r="AC38" i="13"/>
  <c r="AB75" i="13"/>
  <c r="F74" i="25"/>
  <c r="G12" i="13"/>
  <c r="F49" i="25"/>
  <c r="F62" i="25"/>
  <c r="AB28" i="13"/>
  <c r="G28" i="13"/>
  <c r="F66" i="25"/>
  <c r="AC55" i="13"/>
  <c r="AC47" i="13"/>
  <c r="AB8" i="13"/>
  <c r="AO16" i="13"/>
  <c r="F70" i="25"/>
  <c r="AC12" i="13"/>
  <c r="AC20" i="13"/>
  <c r="G52" i="33"/>
  <c r="G7" i="33"/>
  <c r="G36" i="33"/>
  <c r="H60" i="33"/>
  <c r="H16" i="33"/>
  <c r="H40" i="33"/>
  <c r="G68" i="33"/>
  <c r="F22" i="25"/>
  <c r="G8" i="13"/>
  <c r="H74" i="81"/>
  <c r="F76" i="25"/>
  <c r="H8" i="13"/>
  <c r="D9" i="25" s="1"/>
  <c r="AL26" i="13"/>
  <c r="F72" i="25"/>
  <c r="G65" i="13"/>
  <c r="H30" i="33"/>
  <c r="G16" i="13"/>
  <c r="G69" i="13"/>
  <c r="G22" i="33"/>
  <c r="H46" i="33"/>
  <c r="AB23" i="13"/>
  <c r="F11" i="25"/>
  <c r="G24" i="13"/>
  <c r="G57" i="13"/>
  <c r="G26" i="33"/>
  <c r="H38" i="33"/>
  <c r="AB65" i="13"/>
  <c r="AC15" i="13"/>
  <c r="AC8" i="13"/>
  <c r="Q67" i="1"/>
  <c r="Q55" i="1"/>
  <c r="Q47" i="1"/>
  <c r="Q27" i="1"/>
  <c r="AC42" i="13"/>
  <c r="AM20" i="13"/>
  <c r="G21" i="25" s="1"/>
  <c r="G58" i="13"/>
  <c r="AC25" i="13"/>
  <c r="G46" i="13"/>
  <c r="G62" i="13"/>
  <c r="G74" i="13"/>
  <c r="AK60" i="13"/>
  <c r="AO60" i="13" s="1"/>
  <c r="Q74" i="1"/>
  <c r="Q64" i="1"/>
  <c r="Q42" i="1"/>
  <c r="Q22" i="1"/>
  <c r="G57" i="33"/>
  <c r="Q32" i="1"/>
  <c r="Q11" i="1"/>
  <c r="AN16" i="13"/>
  <c r="F50" i="25"/>
  <c r="F71" i="25"/>
  <c r="G21" i="13"/>
  <c r="G11" i="33"/>
  <c r="G55" i="33"/>
  <c r="G63" i="33"/>
  <c r="AC29" i="13"/>
  <c r="AB18" i="13"/>
  <c r="T18" i="67"/>
  <c r="T54" i="67"/>
  <c r="AL32" i="13"/>
  <c r="AL16" i="13"/>
  <c r="F21" i="25"/>
  <c r="AB21" i="13"/>
  <c r="AC64" i="13"/>
  <c r="G15" i="33"/>
  <c r="G23" i="33"/>
  <c r="G31" i="33"/>
  <c r="G39" i="33"/>
  <c r="G47" i="33"/>
  <c r="G67" i="33"/>
  <c r="H75" i="33"/>
  <c r="AB52" i="13"/>
  <c r="AB48" i="13"/>
  <c r="G4" i="49"/>
  <c r="AR7" i="33" s="1"/>
  <c r="X7" i="33" s="1"/>
  <c r="AL12" i="13"/>
  <c r="F9" i="25"/>
  <c r="F46" i="25"/>
  <c r="G52" i="13"/>
  <c r="G35" i="33"/>
  <c r="G51" i="33"/>
  <c r="G59" i="33"/>
  <c r="AC68" i="13"/>
  <c r="AC52" i="13"/>
  <c r="AC26" i="13"/>
  <c r="AE11" i="13"/>
  <c r="C12" i="25" s="1"/>
  <c r="AK52" i="13"/>
  <c r="AM52" i="13" s="1"/>
  <c r="G53" i="25" s="1"/>
  <c r="AK44" i="13"/>
  <c r="AL44" i="13" s="1"/>
  <c r="AK68" i="13"/>
  <c r="AL68" i="13" s="1"/>
  <c r="X79" i="13"/>
  <c r="BL6" i="1"/>
  <c r="BM6" i="1" s="1"/>
  <c r="BN6" i="1" s="1"/>
  <c r="BO6" i="1" s="1"/>
  <c r="BP6" i="1" s="1"/>
  <c r="C95" i="67"/>
  <c r="C96" i="67" s="1"/>
  <c r="C101" i="67" s="1"/>
  <c r="AM26" i="13"/>
  <c r="G27" i="25" s="1"/>
  <c r="F27" i="25"/>
  <c r="F39" i="25"/>
  <c r="AC9" i="13"/>
  <c r="G33" i="13"/>
  <c r="G12" i="33"/>
  <c r="Q73" i="1"/>
  <c r="Q69" i="1"/>
  <c r="Q63" i="1"/>
  <c r="Q58" i="1"/>
  <c r="Q54" i="1"/>
  <c r="Q50" i="1"/>
  <c r="Q46" i="1"/>
  <c r="Q40" i="1"/>
  <c r="Q35" i="1"/>
  <c r="Q31" i="1"/>
  <c r="Q26" i="1"/>
  <c r="Q20" i="1"/>
  <c r="Q15" i="1"/>
  <c r="Q10" i="1"/>
  <c r="H37" i="13"/>
  <c r="D38" i="25" s="1"/>
  <c r="AB31" i="13"/>
  <c r="AN70" i="13"/>
  <c r="AM18" i="13"/>
  <c r="G19" i="25" s="1"/>
  <c r="Q77" i="1"/>
  <c r="E9" i="81" s="1"/>
  <c r="H9" i="81" s="1"/>
  <c r="F15" i="25"/>
  <c r="G38" i="13"/>
  <c r="G20" i="33"/>
  <c r="H32" i="33"/>
  <c r="G44" i="33"/>
  <c r="H48" i="33"/>
  <c r="H64" i="33"/>
  <c r="AC60" i="13"/>
  <c r="Q76" i="1"/>
  <c r="Q72" i="1"/>
  <c r="Q68" i="1"/>
  <c r="Q66" i="1"/>
  <c r="Q62" i="1"/>
  <c r="Q52" i="1"/>
  <c r="Q48" i="1"/>
  <c r="Q44" i="1"/>
  <c r="Q39" i="1"/>
  <c r="Q34" i="1"/>
  <c r="Q30" i="1"/>
  <c r="Q24" i="1"/>
  <c r="Q19" i="1"/>
  <c r="Q14" i="1"/>
  <c r="Q8" i="1"/>
  <c r="F35" i="25"/>
  <c r="F44" i="25"/>
  <c r="G9" i="13"/>
  <c r="G17" i="13"/>
  <c r="G45" i="13"/>
  <c r="H8" i="33"/>
  <c r="H28" i="33"/>
  <c r="H72" i="33"/>
  <c r="AB33" i="13"/>
  <c r="Q75" i="1"/>
  <c r="Q71" i="1"/>
  <c r="Q65" i="1"/>
  <c r="Q60" i="1"/>
  <c r="Q56" i="1"/>
  <c r="Q43" i="1"/>
  <c r="Q38" i="1"/>
  <c r="Q28" i="1"/>
  <c r="Q23" i="1"/>
  <c r="Q18" i="1"/>
  <c r="AI81" i="13"/>
  <c r="T62" i="67"/>
  <c r="T70" i="67"/>
  <c r="T14" i="67"/>
  <c r="T38" i="67"/>
  <c r="Q38" i="46"/>
  <c r="E75" i="81" s="1"/>
  <c r="H75" i="81" s="1"/>
  <c r="T34" i="67"/>
  <c r="T50" i="67"/>
  <c r="T74" i="67"/>
  <c r="T9" i="67"/>
  <c r="L75" i="2"/>
  <c r="G77" i="81"/>
  <c r="H77" i="81"/>
  <c r="I43" i="2"/>
  <c r="G14" i="33"/>
  <c r="G18" i="33"/>
  <c r="G62" i="33"/>
  <c r="G74" i="33"/>
  <c r="G54" i="33"/>
  <c r="G58" i="33"/>
  <c r="H70" i="33"/>
  <c r="G10" i="33"/>
  <c r="G66" i="33"/>
  <c r="G25" i="33"/>
  <c r="G34" i="33"/>
  <c r="G42" i="33"/>
  <c r="G50" i="33"/>
  <c r="G17" i="81"/>
  <c r="G18" i="81"/>
  <c r="G36" i="46"/>
  <c r="G28" i="46"/>
  <c r="G30" i="46" s="1"/>
  <c r="T7" i="67"/>
  <c r="T31" i="67"/>
  <c r="T39" i="67"/>
  <c r="T43" i="67"/>
  <c r="T75" i="67"/>
  <c r="D79" i="1"/>
  <c r="T22" i="67"/>
  <c r="T46" i="67"/>
  <c r="G14" i="2"/>
  <c r="H14" i="2" s="1"/>
  <c r="G46" i="2"/>
  <c r="H46" i="2" s="1"/>
  <c r="T19" i="67"/>
  <c r="T55" i="67"/>
  <c r="T23" i="67"/>
  <c r="G31" i="2"/>
  <c r="H31" i="2" s="1"/>
  <c r="G27" i="2"/>
  <c r="H27" i="2" s="1"/>
  <c r="G23" i="2"/>
  <c r="H23" i="2" s="1"/>
  <c r="G72" i="2"/>
  <c r="H72" i="2" s="1"/>
  <c r="G68" i="2"/>
  <c r="H68" i="2" s="1"/>
  <c r="G64" i="2"/>
  <c r="H64" i="2" s="1"/>
  <c r="G60" i="2"/>
  <c r="H60" i="2" s="1"/>
  <c r="G56" i="2"/>
  <c r="H56" i="2" s="1"/>
  <c r="G52" i="2"/>
  <c r="H52" i="2" s="1"/>
  <c r="G48" i="2"/>
  <c r="H48" i="2" s="1"/>
  <c r="G8" i="2"/>
  <c r="H8" i="2" s="1"/>
  <c r="T10" i="67"/>
  <c r="T20" i="67"/>
  <c r="T27" i="67"/>
  <c r="T36" i="67"/>
  <c r="T47" i="67"/>
  <c r="T56" i="67"/>
  <c r="T66" i="67"/>
  <c r="T60" i="67"/>
  <c r="T58" i="67"/>
  <c r="G63" i="2"/>
  <c r="H63" i="2" s="1"/>
  <c r="G59" i="2"/>
  <c r="H59" i="2" s="1"/>
  <c r="G55" i="2"/>
  <c r="H55" i="2" s="1"/>
  <c r="T11" i="67"/>
  <c r="T59" i="67"/>
  <c r="D77" i="1"/>
  <c r="H77" i="1"/>
  <c r="F77" i="1"/>
  <c r="J77" i="1"/>
  <c r="O33" i="1"/>
  <c r="P33" i="1" s="1"/>
  <c r="I10" i="1"/>
  <c r="I77" i="1" s="1"/>
  <c r="O19" i="1"/>
  <c r="P19" i="1" s="1"/>
  <c r="E9" i="1"/>
  <c r="O9" i="1" s="1"/>
  <c r="P9" i="1" s="1"/>
  <c r="BN9" i="1" s="1"/>
  <c r="O49" i="1"/>
  <c r="P49" i="1" s="1"/>
  <c r="BN49" i="1" s="1"/>
  <c r="BP49" i="1" s="1"/>
  <c r="T32" i="67"/>
  <c r="T48" i="67"/>
  <c r="T68" i="67"/>
  <c r="O20" i="1"/>
  <c r="P20" i="1" s="1"/>
  <c r="BN20" i="1" s="1"/>
  <c r="BP20" i="1" s="1"/>
  <c r="K77" i="1"/>
  <c r="E23" i="81" s="1"/>
  <c r="H23" i="81" s="1"/>
  <c r="O75" i="1"/>
  <c r="P75" i="1" s="1"/>
  <c r="BN75" i="1" s="1"/>
  <c r="BP75" i="1" s="1"/>
  <c r="O58" i="1"/>
  <c r="P58" i="1" s="1"/>
  <c r="BN58" i="1" s="1"/>
  <c r="BP58" i="1" s="1"/>
  <c r="O53" i="1"/>
  <c r="P53" i="1" s="1"/>
  <c r="BN53" i="1" s="1"/>
  <c r="BP53" i="1" s="1"/>
  <c r="O22" i="1"/>
  <c r="P22" i="1" s="1"/>
  <c r="BN22" i="1" s="1"/>
  <c r="BP22" i="1" s="1"/>
  <c r="O64" i="1"/>
  <c r="P64" i="1" s="1"/>
  <c r="O21" i="1"/>
  <c r="P21" i="1" s="1"/>
  <c r="BN21" i="1" s="1"/>
  <c r="BP21" i="1" s="1"/>
  <c r="O31" i="1"/>
  <c r="P31" i="1" s="1"/>
  <c r="G77" i="1"/>
  <c r="E21" i="81" s="1"/>
  <c r="H21" i="81" s="1"/>
  <c r="O76" i="1"/>
  <c r="P76" i="1" s="1"/>
  <c r="BN76" i="1" s="1"/>
  <c r="BP76" i="1" s="1"/>
  <c r="O15" i="1"/>
  <c r="P15" i="1" s="1"/>
  <c r="O28" i="1"/>
  <c r="P28" i="1" s="1"/>
  <c r="O60" i="1"/>
  <c r="P60" i="1" s="1"/>
  <c r="BN60" i="1" s="1"/>
  <c r="BP60" i="1" s="1"/>
  <c r="O18" i="1"/>
  <c r="P18" i="1" s="1"/>
  <c r="BN18" i="1" s="1"/>
  <c r="BP18" i="1" s="1"/>
  <c r="O23" i="1"/>
  <c r="P23" i="1" s="1"/>
  <c r="BN23" i="1" s="1"/>
  <c r="BP23" i="1" s="1"/>
  <c r="O17" i="1"/>
  <c r="P17" i="1" s="1"/>
  <c r="O13" i="1"/>
  <c r="P13" i="1" s="1"/>
  <c r="BN13" i="1" s="1"/>
  <c r="BP13" i="1" s="1"/>
  <c r="I49" i="2"/>
  <c r="I37" i="2"/>
  <c r="G69" i="2"/>
  <c r="H69" i="2" s="1"/>
  <c r="G41" i="2"/>
  <c r="H41" i="2" s="1"/>
  <c r="G9" i="2"/>
  <c r="H9" i="2" s="1"/>
  <c r="T24" i="67"/>
  <c r="T28" i="67"/>
  <c r="I73" i="2"/>
  <c r="G61" i="2"/>
  <c r="H61" i="2" s="1"/>
  <c r="G57" i="2"/>
  <c r="H57" i="2" s="1"/>
  <c r="G53" i="2"/>
  <c r="H53" i="2" s="1"/>
  <c r="G33" i="2"/>
  <c r="H33" i="2" s="1"/>
  <c r="G29" i="2"/>
  <c r="H29" i="2" s="1"/>
  <c r="T52" i="67"/>
  <c r="G13" i="2"/>
  <c r="H13" i="2" s="1"/>
  <c r="T44" i="67"/>
  <c r="AK46" i="13"/>
  <c r="AO46" i="13" s="1"/>
  <c r="F47" i="25"/>
  <c r="F54" i="25"/>
  <c r="AK35" i="13"/>
  <c r="AN35" i="13" s="1"/>
  <c r="F36" i="25"/>
  <c r="AK40" i="13"/>
  <c r="AL40" i="13" s="1"/>
  <c r="F41" i="25"/>
  <c r="AE20" i="13"/>
  <c r="AD20" i="13" s="1"/>
  <c r="AB20" i="13"/>
  <c r="AK56" i="13"/>
  <c r="AL56" i="13" s="1"/>
  <c r="F57" i="25"/>
  <c r="AE69" i="13"/>
  <c r="C70" i="25" s="1"/>
  <c r="AC69" i="13"/>
  <c r="AE49" i="13"/>
  <c r="AQ49" i="13" s="1"/>
  <c r="Y49" i="1" s="1"/>
  <c r="BH49" i="1" s="1"/>
  <c r="BJ49" i="1" s="1"/>
  <c r="AC49" i="13"/>
  <c r="AK50" i="13"/>
  <c r="AN50" i="13" s="1"/>
  <c r="F51" i="25"/>
  <c r="AK62" i="13"/>
  <c r="AL62" i="13" s="1"/>
  <c r="F63" i="25"/>
  <c r="AK66" i="13"/>
  <c r="AN66" i="13" s="1"/>
  <c r="F67" i="25"/>
  <c r="AK72" i="13"/>
  <c r="AO72" i="13" s="1"/>
  <c r="F73" i="25"/>
  <c r="H73" i="33"/>
  <c r="G73" i="33"/>
  <c r="H69" i="33"/>
  <c r="G69" i="33"/>
  <c r="H65" i="33"/>
  <c r="G65" i="33"/>
  <c r="H61" i="33"/>
  <c r="G61" i="33"/>
  <c r="H53" i="33"/>
  <c r="G53" i="33"/>
  <c r="H49" i="33"/>
  <c r="G49" i="33"/>
  <c r="H45" i="33"/>
  <c r="G45" i="33"/>
  <c r="H41" i="33"/>
  <c r="G41" i="33"/>
  <c r="O67" i="1"/>
  <c r="P67" i="1" s="1"/>
  <c r="BN67" i="1" s="1"/>
  <c r="BP67" i="1" s="1"/>
  <c r="O61" i="1"/>
  <c r="P61" i="1" s="1"/>
  <c r="O54" i="1"/>
  <c r="P54" i="1" s="1"/>
  <c r="O50" i="1"/>
  <c r="P50" i="1" s="1"/>
  <c r="O45" i="1"/>
  <c r="P45" i="1" s="1"/>
  <c r="BN45" i="1" s="1"/>
  <c r="BP45" i="1" s="1"/>
  <c r="O42" i="1"/>
  <c r="P42" i="1" s="1"/>
  <c r="BN42" i="1" s="1"/>
  <c r="BP42" i="1" s="1"/>
  <c r="O40" i="1"/>
  <c r="P40" i="1" s="1"/>
  <c r="O38" i="1"/>
  <c r="P38" i="1" s="1"/>
  <c r="BN38" i="1" s="1"/>
  <c r="BP38" i="1" s="1"/>
  <c r="O32" i="1"/>
  <c r="P32" i="1" s="1"/>
  <c r="O30" i="1"/>
  <c r="P30" i="1" s="1"/>
  <c r="BN30" i="1" s="1"/>
  <c r="BP30" i="1" s="1"/>
  <c r="O27" i="1"/>
  <c r="P27" i="1" s="1"/>
  <c r="O12" i="1"/>
  <c r="P12" i="1" s="1"/>
  <c r="R12" i="1" s="1"/>
  <c r="G33" i="33"/>
  <c r="AE50" i="13"/>
  <c r="C51" i="25" s="1"/>
  <c r="AE42" i="13"/>
  <c r="AE40" i="13"/>
  <c r="AD40" i="13" s="1"/>
  <c r="AE38" i="13"/>
  <c r="C39" i="25" s="1"/>
  <c r="H42" i="13"/>
  <c r="D43" i="25" s="1"/>
  <c r="G42" i="13"/>
  <c r="BK59" i="1"/>
  <c r="BM59" i="1" s="1"/>
  <c r="BK18" i="1"/>
  <c r="BM18" i="1" s="1"/>
  <c r="H21" i="33"/>
  <c r="G21" i="33"/>
  <c r="O70" i="1"/>
  <c r="P70" i="1" s="1"/>
  <c r="O63" i="1"/>
  <c r="P63" i="1" s="1"/>
  <c r="BN63" i="1" s="1"/>
  <c r="BP63" i="1" s="1"/>
  <c r="O68" i="1"/>
  <c r="P68" i="1" s="1"/>
  <c r="BN68" i="1" s="1"/>
  <c r="BP68" i="1" s="1"/>
  <c r="O59" i="1"/>
  <c r="P59" i="1" s="1"/>
  <c r="BN59" i="1" s="1"/>
  <c r="BP59" i="1" s="1"/>
  <c r="O48" i="1"/>
  <c r="P48" i="1" s="1"/>
  <c r="O36" i="1"/>
  <c r="P36" i="1" s="1"/>
  <c r="O14" i="1"/>
  <c r="P14" i="1" s="1"/>
  <c r="BN14" i="1" s="1"/>
  <c r="BP14" i="1" s="1"/>
  <c r="H68" i="13"/>
  <c r="D69" i="25" s="1"/>
  <c r="G68" i="13"/>
  <c r="H61" i="13"/>
  <c r="D62" i="25" s="1"/>
  <c r="G61" i="13"/>
  <c r="H20" i="13"/>
  <c r="D21" i="25" s="1"/>
  <c r="G20" i="13"/>
  <c r="S8" i="67"/>
  <c r="T8" i="67" s="1"/>
  <c r="BK9" i="1"/>
  <c r="BM9" i="1" s="1"/>
  <c r="S12" i="67"/>
  <c r="T12" i="67" s="1"/>
  <c r="BK13" i="1"/>
  <c r="BM13" i="1" s="1"/>
  <c r="S21" i="67"/>
  <c r="T21" i="67" s="1"/>
  <c r="BK22" i="1"/>
  <c r="BM22" i="1" s="1"/>
  <c r="S26" i="67"/>
  <c r="T26" i="67" s="1"/>
  <c r="BK27" i="1"/>
  <c r="BM27" i="1" s="1"/>
  <c r="S30" i="67"/>
  <c r="T30" i="67" s="1"/>
  <c r="BK31" i="1"/>
  <c r="BM31" i="1" s="1"/>
  <c r="BK41" i="1"/>
  <c r="BM41" i="1" s="1"/>
  <c r="S40" i="67"/>
  <c r="T40" i="67" s="1"/>
  <c r="BK52" i="1"/>
  <c r="BM52" i="1" s="1"/>
  <c r="S51" i="67"/>
  <c r="T51" i="67" s="1"/>
  <c r="S57" i="67"/>
  <c r="T57" i="67" s="1"/>
  <c r="BK58" i="1"/>
  <c r="BM58" i="1" s="1"/>
  <c r="BK64" i="1"/>
  <c r="BM64" i="1" s="1"/>
  <c r="S63" i="67"/>
  <c r="T63" i="67" s="1"/>
  <c r="BK68" i="1"/>
  <c r="BM68" i="1" s="1"/>
  <c r="S67" i="67"/>
  <c r="T67" i="67" s="1"/>
  <c r="S71" i="67"/>
  <c r="T71" i="67" s="1"/>
  <c r="BK72" i="1"/>
  <c r="BM72" i="1" s="1"/>
  <c r="H37" i="33"/>
  <c r="G37" i="33"/>
  <c r="H29" i="33"/>
  <c r="G29" i="33"/>
  <c r="H13" i="33"/>
  <c r="G13" i="33"/>
  <c r="O65" i="1"/>
  <c r="P65" i="1" s="1"/>
  <c r="O56" i="1"/>
  <c r="P56" i="1" s="1"/>
  <c r="O25" i="1"/>
  <c r="P25" i="1" s="1"/>
  <c r="BN25" i="1" s="1"/>
  <c r="BP25" i="1" s="1"/>
  <c r="O8" i="1"/>
  <c r="P8" i="1" s="1"/>
  <c r="O71" i="1"/>
  <c r="P71" i="1" s="1"/>
  <c r="BN71" i="1" s="1"/>
  <c r="BP71" i="1" s="1"/>
  <c r="O57" i="1"/>
  <c r="P57" i="1" s="1"/>
  <c r="O52" i="1"/>
  <c r="P52" i="1" s="1"/>
  <c r="O34" i="1"/>
  <c r="P34" i="1" s="1"/>
  <c r="O26" i="1"/>
  <c r="P26" i="1" s="1"/>
  <c r="BN26" i="1" s="1"/>
  <c r="BP26" i="1" s="1"/>
  <c r="O11" i="1"/>
  <c r="P11" i="1" s="1"/>
  <c r="BN11" i="1" s="1"/>
  <c r="BP11" i="1" s="1"/>
  <c r="G48" i="13"/>
  <c r="G9" i="33"/>
  <c r="O74" i="1"/>
  <c r="P74" i="1" s="1"/>
  <c r="O73" i="1"/>
  <c r="P73" i="1" s="1"/>
  <c r="O72" i="1"/>
  <c r="P72" i="1" s="1"/>
  <c r="BN72" i="1" s="1"/>
  <c r="BP72" i="1" s="1"/>
  <c r="O69" i="1"/>
  <c r="P69" i="1" s="1"/>
  <c r="BN69" i="1" s="1"/>
  <c r="BP69" i="1" s="1"/>
  <c r="O66" i="1"/>
  <c r="P66" i="1" s="1"/>
  <c r="O62" i="1"/>
  <c r="P62" i="1" s="1"/>
  <c r="BN62" i="1" s="1"/>
  <c r="BP62" i="1" s="1"/>
  <c r="O55" i="1"/>
  <c r="P55" i="1" s="1"/>
  <c r="BN55" i="1" s="1"/>
  <c r="BP55" i="1" s="1"/>
  <c r="O51" i="1"/>
  <c r="P51" i="1" s="1"/>
  <c r="BN51" i="1" s="1"/>
  <c r="BP51" i="1" s="1"/>
  <c r="O47" i="1"/>
  <c r="P47" i="1" s="1"/>
  <c r="BN47" i="1" s="1"/>
  <c r="BP47" i="1" s="1"/>
  <c r="O44" i="1"/>
  <c r="P44" i="1" s="1"/>
  <c r="BN44" i="1" s="1"/>
  <c r="BP44" i="1" s="1"/>
  <c r="O41" i="1"/>
  <c r="P41" i="1" s="1"/>
  <c r="BN41" i="1" s="1"/>
  <c r="BP41" i="1" s="1"/>
  <c r="O39" i="1"/>
  <c r="P39" i="1" s="1"/>
  <c r="O37" i="1"/>
  <c r="P37" i="1" s="1"/>
  <c r="BN37" i="1" s="1"/>
  <c r="BP37" i="1" s="1"/>
  <c r="O35" i="1"/>
  <c r="P35" i="1" s="1"/>
  <c r="O29" i="1"/>
  <c r="P29" i="1" s="1"/>
  <c r="BN29" i="1" s="1"/>
  <c r="BP29" i="1" s="1"/>
  <c r="AN51" i="13"/>
  <c r="F10" i="25"/>
  <c r="F17" i="25"/>
  <c r="F29" i="25"/>
  <c r="F37" i="25"/>
  <c r="F42" i="25"/>
  <c r="F52" i="25"/>
  <c r="F58" i="25"/>
  <c r="F68" i="25"/>
  <c r="AB38" i="13"/>
  <c r="G17" i="33"/>
  <c r="H24" i="33"/>
  <c r="H56" i="33"/>
  <c r="G23" i="46"/>
  <c r="G24" i="46" s="1"/>
  <c r="S35" i="67"/>
  <c r="T35" i="67" s="1"/>
  <c r="T64" i="67"/>
  <c r="T72" i="67"/>
  <c r="AE47" i="13"/>
  <c r="C48" i="25" s="1"/>
  <c r="AE45" i="13"/>
  <c r="C46" i="25" s="1"/>
  <c r="AE35" i="13"/>
  <c r="AQ35" i="13" s="1"/>
  <c r="Y35" i="1" s="1"/>
  <c r="BH35" i="1" s="1"/>
  <c r="BJ35" i="1" s="1"/>
  <c r="AE27" i="13"/>
  <c r="C28" i="25" s="1"/>
  <c r="G65" i="2"/>
  <c r="H65" i="2" s="1"/>
  <c r="G25" i="2"/>
  <c r="H25" i="2" s="1"/>
  <c r="I78" i="25"/>
  <c r="BK66" i="1"/>
  <c r="BM66" i="1" s="1"/>
  <c r="BK45" i="1"/>
  <c r="BM45" i="1" s="1"/>
  <c r="BK39" i="1"/>
  <c r="BM39" i="1" s="1"/>
  <c r="C36" i="46"/>
  <c r="H60" i="13"/>
  <c r="D61" i="25" s="1"/>
  <c r="G72" i="49"/>
  <c r="AR75" i="33" s="1"/>
  <c r="X75" i="33" s="1"/>
  <c r="Z75" i="33" s="1"/>
  <c r="G70" i="49"/>
  <c r="AR73" i="33" s="1"/>
  <c r="X73" i="33" s="1"/>
  <c r="Z73" i="33" s="1"/>
  <c r="G68" i="49"/>
  <c r="AR71" i="33" s="1"/>
  <c r="X71" i="33" s="1"/>
  <c r="Z71" i="33" s="1"/>
  <c r="G66" i="49"/>
  <c r="AR69" i="33" s="1"/>
  <c r="X69" i="33" s="1"/>
  <c r="Z69" i="33" s="1"/>
  <c r="G64" i="49"/>
  <c r="AR67" i="33" s="1"/>
  <c r="X67" i="33" s="1"/>
  <c r="Z67" i="33" s="1"/>
  <c r="G62" i="49"/>
  <c r="AR65" i="33" s="1"/>
  <c r="X65" i="33" s="1"/>
  <c r="Z65" i="33" s="1"/>
  <c r="G60" i="49"/>
  <c r="AR63" i="33" s="1"/>
  <c r="X63" i="33" s="1"/>
  <c r="Z63" i="33" s="1"/>
  <c r="G58" i="49"/>
  <c r="AR61" i="33" s="1"/>
  <c r="X61" i="33" s="1"/>
  <c r="Z61" i="33" s="1"/>
  <c r="G56" i="49"/>
  <c r="AR59" i="33" s="1"/>
  <c r="X59" i="33" s="1"/>
  <c r="Z59" i="33" s="1"/>
  <c r="G54" i="49"/>
  <c r="AR57" i="33" s="1"/>
  <c r="X57" i="33" s="1"/>
  <c r="Z57" i="33" s="1"/>
  <c r="G52" i="49"/>
  <c r="AR55" i="33" s="1"/>
  <c r="X55" i="33" s="1"/>
  <c r="Z55" i="33" s="1"/>
  <c r="G50" i="49"/>
  <c r="AR53" i="33" s="1"/>
  <c r="X53" i="33" s="1"/>
  <c r="Z53" i="33" s="1"/>
  <c r="G48" i="49"/>
  <c r="AR51" i="33" s="1"/>
  <c r="X51" i="33" s="1"/>
  <c r="Z51" i="33" s="1"/>
  <c r="G46" i="49"/>
  <c r="AR49" i="33" s="1"/>
  <c r="X49" i="33" s="1"/>
  <c r="Z49" i="33" s="1"/>
  <c r="G44" i="49"/>
  <c r="AR47" i="33" s="1"/>
  <c r="X47" i="33" s="1"/>
  <c r="Z47" i="33" s="1"/>
  <c r="G40" i="49"/>
  <c r="AR43" i="33" s="1"/>
  <c r="X43" i="33" s="1"/>
  <c r="Z43" i="33" s="1"/>
  <c r="I34" i="2"/>
  <c r="I46" i="2"/>
  <c r="I54" i="2"/>
  <c r="I62" i="2"/>
  <c r="I70" i="2"/>
  <c r="F75" i="2"/>
  <c r="I11" i="2"/>
  <c r="G35" i="2"/>
  <c r="H35" i="2" s="1"/>
  <c r="I39" i="2"/>
  <c r="G67" i="2"/>
  <c r="H67" i="2" s="1"/>
  <c r="AN69" i="13"/>
  <c r="AO43" i="13"/>
  <c r="AM69" i="13"/>
  <c r="G70" i="25" s="1"/>
  <c r="AO61" i="13"/>
  <c r="AN34" i="13"/>
  <c r="AL61" i="13"/>
  <c r="AN75" i="13"/>
  <c r="AM59" i="13"/>
  <c r="G60" i="25" s="1"/>
  <c r="AL69" i="13"/>
  <c r="AM45" i="13"/>
  <c r="G46" i="25" s="1"/>
  <c r="AM75" i="13"/>
  <c r="G76" i="25" s="1"/>
  <c r="AO67" i="13"/>
  <c r="AN61" i="13"/>
  <c r="AO53" i="13"/>
  <c r="AM51" i="13"/>
  <c r="G52" i="25" s="1"/>
  <c r="AN43" i="13"/>
  <c r="AL34" i="13"/>
  <c r="F64" i="25"/>
  <c r="AM53" i="13"/>
  <c r="G54" i="25" s="1"/>
  <c r="AL45" i="13"/>
  <c r="AN67" i="13"/>
  <c r="AO59" i="13"/>
  <c r="AN53" i="13"/>
  <c r="AO45" i="13"/>
  <c r="AM43" i="13"/>
  <c r="G44" i="25" s="1"/>
  <c r="F56" i="25"/>
  <c r="AK76" i="13"/>
  <c r="AL76" i="13" s="1"/>
  <c r="AO75" i="13"/>
  <c r="AM67" i="13"/>
  <c r="G68" i="25" s="1"/>
  <c r="AN59" i="13"/>
  <c r="AO51" i="13"/>
  <c r="AO34" i="13"/>
  <c r="F13" i="25"/>
  <c r="F48" i="25"/>
  <c r="AK15" i="13"/>
  <c r="AO15" i="13" s="1"/>
  <c r="AB35" i="13"/>
  <c r="AB42" i="13"/>
  <c r="AE67" i="13"/>
  <c r="AD67" i="13" s="1"/>
  <c r="AE61" i="13"/>
  <c r="C62" i="25" s="1"/>
  <c r="AA77" i="13"/>
  <c r="T17" i="67"/>
  <c r="T25" i="67"/>
  <c r="T29" i="67"/>
  <c r="T33" i="67"/>
  <c r="T37" i="67"/>
  <c r="T41" i="67"/>
  <c r="T49" i="67"/>
  <c r="T53" i="67"/>
  <c r="T61" i="67"/>
  <c r="T65" i="67"/>
  <c r="T69" i="67"/>
  <c r="T73" i="67"/>
  <c r="AL54" i="13"/>
  <c r="AL14" i="13"/>
  <c r="AN25" i="13"/>
  <c r="AL25" i="13"/>
  <c r="AO25" i="13"/>
  <c r="AM25" i="13"/>
  <c r="G26" i="25" s="1"/>
  <c r="AM54" i="13"/>
  <c r="G55" i="25" s="1"/>
  <c r="AM32" i="13"/>
  <c r="G33" i="25" s="1"/>
  <c r="AO18" i="13"/>
  <c r="F23" i="25"/>
  <c r="AM70" i="13"/>
  <c r="G71" i="25" s="1"/>
  <c r="AO54" i="13"/>
  <c r="AO32" i="13"/>
  <c r="AO26" i="13"/>
  <c r="AN18" i="13"/>
  <c r="F24" i="25"/>
  <c r="F30" i="25"/>
  <c r="AI77" i="13"/>
  <c r="E34" i="81" s="1"/>
  <c r="AL70" i="13"/>
  <c r="F19" i="25"/>
  <c r="F33" i="25"/>
  <c r="F26" i="25"/>
  <c r="F31" i="25"/>
  <c r="AE75" i="13"/>
  <c r="AQ75" i="13" s="1"/>
  <c r="AE43" i="13"/>
  <c r="AQ43" i="13" s="1"/>
  <c r="Y43" i="1" s="1"/>
  <c r="BH43" i="1" s="1"/>
  <c r="BJ43" i="1" s="1"/>
  <c r="AE41" i="13"/>
  <c r="AQ41" i="13" s="1"/>
  <c r="Y41" i="1" s="1"/>
  <c r="BH41" i="1" s="1"/>
  <c r="BJ41" i="1" s="1"/>
  <c r="AE37" i="13"/>
  <c r="AQ37" i="13" s="1"/>
  <c r="AE18" i="13"/>
  <c r="AD18" i="13" s="1"/>
  <c r="AE14" i="13"/>
  <c r="C15" i="25" s="1"/>
  <c r="AE10" i="13"/>
  <c r="AQ10" i="13" s="1"/>
  <c r="Y10" i="1" s="1"/>
  <c r="BH10" i="1" s="1"/>
  <c r="BJ10" i="1" s="1"/>
  <c r="AB14" i="13"/>
  <c r="AB45" i="13"/>
  <c r="AB19" i="13"/>
  <c r="AE59" i="13"/>
  <c r="C60" i="25" s="1"/>
  <c r="AE57" i="13"/>
  <c r="AQ57" i="13" s="1"/>
  <c r="AE25" i="13"/>
  <c r="AQ25" i="13" s="1"/>
  <c r="AE74" i="13"/>
  <c r="AD74" i="13" s="1"/>
  <c r="AE72" i="13"/>
  <c r="AD72" i="13" s="1"/>
  <c r="AE70" i="13"/>
  <c r="C71" i="25" s="1"/>
  <c r="AE23" i="13"/>
  <c r="C24" i="25" s="1"/>
  <c r="AE16" i="13"/>
  <c r="AD16" i="13" s="1"/>
  <c r="AE46" i="13"/>
  <c r="C47" i="25" s="1"/>
  <c r="AE32" i="13"/>
  <c r="AD32" i="13" s="1"/>
  <c r="AE30" i="13"/>
  <c r="AQ30" i="13" s="1"/>
  <c r="AE9" i="13"/>
  <c r="AC71" i="13"/>
  <c r="AC67" i="13"/>
  <c r="AC23" i="13"/>
  <c r="AC30" i="13"/>
  <c r="AE66" i="13"/>
  <c r="AD66" i="13" s="1"/>
  <c r="AE64" i="13"/>
  <c r="AE62" i="13"/>
  <c r="C63" i="25" s="1"/>
  <c r="AE55" i="13"/>
  <c r="AD55" i="13" s="1"/>
  <c r="AC41" i="13"/>
  <c r="AC10" i="13"/>
  <c r="AC18" i="13"/>
  <c r="AH18" i="46"/>
  <c r="AH38" i="46" s="1"/>
  <c r="G70" i="2"/>
  <c r="H70" i="2" s="1"/>
  <c r="G50" i="2"/>
  <c r="H50" i="2" s="1"/>
  <c r="G47" i="2"/>
  <c r="H47" i="2" s="1"/>
  <c r="G38" i="2"/>
  <c r="H38" i="2" s="1"/>
  <c r="G18" i="2"/>
  <c r="H18" i="2" s="1"/>
  <c r="G15" i="2"/>
  <c r="H15" i="2" s="1"/>
  <c r="G66" i="2"/>
  <c r="H66" i="2" s="1"/>
  <c r="G62" i="2"/>
  <c r="H62" i="2" s="1"/>
  <c r="G34" i="2"/>
  <c r="H34" i="2" s="1"/>
  <c r="G30" i="2"/>
  <c r="H30" i="2" s="1"/>
  <c r="T45" i="67"/>
  <c r="C76" i="67"/>
  <c r="G74" i="2"/>
  <c r="H74" i="2" s="1"/>
  <c r="G71" i="2"/>
  <c r="H71" i="2" s="1"/>
  <c r="G58" i="2"/>
  <c r="H58" i="2" s="1"/>
  <c r="G54" i="2"/>
  <c r="H54" i="2" s="1"/>
  <c r="G51" i="2"/>
  <c r="H51" i="2" s="1"/>
  <c r="G42" i="2"/>
  <c r="H42" i="2" s="1"/>
  <c r="G39" i="2"/>
  <c r="H39" i="2" s="1"/>
  <c r="G26" i="2"/>
  <c r="H26" i="2" s="1"/>
  <c r="G22" i="2"/>
  <c r="H22" i="2" s="1"/>
  <c r="G19" i="2"/>
  <c r="H19" i="2" s="1"/>
  <c r="G10" i="2"/>
  <c r="H10" i="2" s="1"/>
  <c r="G7" i="2"/>
  <c r="H7" i="2" s="1"/>
  <c r="AB32" i="13"/>
  <c r="AC70" i="13"/>
  <c r="G25" i="13"/>
  <c r="G40" i="13"/>
  <c r="G53" i="13"/>
  <c r="H76" i="13"/>
  <c r="D77" i="25" s="1"/>
  <c r="AB13" i="13"/>
  <c r="AC16" i="13"/>
  <c r="AC32" i="13"/>
  <c r="AC37" i="13"/>
  <c r="AB40" i="13"/>
  <c r="AB44" i="13"/>
  <c r="AB46" i="13"/>
  <c r="AC56" i="13"/>
  <c r="AC72" i="13"/>
  <c r="G13" i="13"/>
  <c r="G72" i="13"/>
  <c r="AB16" i="13"/>
  <c r="G32" i="13"/>
  <c r="G70" i="13"/>
  <c r="AC31" i="13"/>
  <c r="AC13" i="13"/>
  <c r="AC17" i="13"/>
  <c r="AC24" i="13"/>
  <c r="AC40" i="13"/>
  <c r="AC44" i="13"/>
  <c r="AC46" i="13"/>
  <c r="AB49" i="13"/>
  <c r="AB53" i="13"/>
  <c r="AB57" i="13"/>
  <c r="AB69" i="13"/>
  <c r="AB73" i="13"/>
  <c r="G44" i="13"/>
  <c r="G49" i="13"/>
  <c r="G56" i="13"/>
  <c r="G73" i="13"/>
  <c r="AB9" i="13"/>
  <c r="AC14" i="13"/>
  <c r="AC22" i="13"/>
  <c r="AB25" i="13"/>
  <c r="AC34" i="13"/>
  <c r="AB47" i="13"/>
  <c r="AB55" i="13"/>
  <c r="G18" i="13"/>
  <c r="G34" i="13"/>
  <c r="G41" i="13"/>
  <c r="AC19" i="13"/>
  <c r="H66" i="13"/>
  <c r="D67" i="25" s="1"/>
  <c r="H50" i="13"/>
  <c r="D51" i="25" s="1"/>
  <c r="H41" i="13"/>
  <c r="D42" i="25" s="1"/>
  <c r="H10" i="13"/>
  <c r="D11" i="25" s="1"/>
  <c r="H14" i="13"/>
  <c r="D15" i="25" s="1"/>
  <c r="H18" i="13"/>
  <c r="D19" i="25" s="1"/>
  <c r="H22" i="13"/>
  <c r="D23" i="25" s="1"/>
  <c r="H26" i="13"/>
  <c r="D27" i="25" s="1"/>
  <c r="H30" i="13"/>
  <c r="D31" i="25" s="1"/>
  <c r="AB76" i="13"/>
  <c r="AB10" i="13"/>
  <c r="AB26" i="13"/>
  <c r="AB30" i="13"/>
  <c r="AC35" i="13"/>
  <c r="AB41" i="13"/>
  <c r="AB50" i="13"/>
  <c r="G10" i="13"/>
  <c r="AC58" i="13"/>
  <c r="AC50" i="13"/>
  <c r="AC63" i="13"/>
  <c r="AL31" i="13"/>
  <c r="AN31" i="13"/>
  <c r="AM31" i="13"/>
  <c r="G32" i="25" s="1"/>
  <c r="L46" i="1"/>
  <c r="M46" i="1" s="1"/>
  <c r="N46" i="1" s="1"/>
  <c r="O46" i="1" s="1"/>
  <c r="P46" i="1" s="1"/>
  <c r="BN46" i="1" s="1"/>
  <c r="BP46" i="1" s="1"/>
  <c r="Q79" i="13"/>
  <c r="Q77" i="13"/>
  <c r="AE56" i="13"/>
  <c r="AB56" i="13"/>
  <c r="AE54" i="13"/>
  <c r="C55" i="25" s="1"/>
  <c r="AB54" i="13"/>
  <c r="AE33" i="13"/>
  <c r="AC33" i="13"/>
  <c r="AE12" i="13"/>
  <c r="X77" i="13"/>
  <c r="AB12" i="13"/>
  <c r="AK17" i="13"/>
  <c r="F18" i="25"/>
  <c r="H75" i="13"/>
  <c r="D76" i="25" s="1"/>
  <c r="G75" i="13"/>
  <c r="AC75" i="13"/>
  <c r="H67" i="13"/>
  <c r="D68" i="25" s="1"/>
  <c r="G67" i="13"/>
  <c r="AB67" i="13"/>
  <c r="H59" i="13"/>
  <c r="D60" i="25" s="1"/>
  <c r="G59" i="13"/>
  <c r="AC59" i="13"/>
  <c r="AB59" i="13"/>
  <c r="H51" i="13"/>
  <c r="D52" i="25" s="1"/>
  <c r="G51" i="13"/>
  <c r="AC51" i="13"/>
  <c r="H43" i="13"/>
  <c r="D44" i="25" s="1"/>
  <c r="G43" i="13"/>
  <c r="AB43" i="13"/>
  <c r="AC43" i="13"/>
  <c r="H27" i="13"/>
  <c r="D28" i="25" s="1"/>
  <c r="G27" i="13"/>
  <c r="AB27" i="13"/>
  <c r="AC27" i="13"/>
  <c r="H11" i="13"/>
  <c r="G11" i="13"/>
  <c r="E77" i="13"/>
  <c r="G77" i="13" s="1"/>
  <c r="AB11" i="13"/>
  <c r="AC11" i="13"/>
  <c r="AE53" i="13"/>
  <c r="AC53" i="13"/>
  <c r="AB29" i="13"/>
  <c r="AE29" i="13"/>
  <c r="AE24" i="13"/>
  <c r="AB24" i="13"/>
  <c r="AK27" i="13"/>
  <c r="AN27" i="13" s="1"/>
  <c r="F28" i="25"/>
  <c r="G42" i="49"/>
  <c r="AR45" i="33" s="1"/>
  <c r="X45" i="33" s="1"/>
  <c r="Z45" i="33" s="1"/>
  <c r="D73" i="49"/>
  <c r="D77" i="49" s="1"/>
  <c r="BK46" i="1"/>
  <c r="BM46" i="1" s="1"/>
  <c r="AO31" i="13"/>
  <c r="AB61" i="13"/>
  <c r="AC65" i="13"/>
  <c r="AE65" i="13"/>
  <c r="AE39" i="13"/>
  <c r="AB39" i="13"/>
  <c r="AE34" i="13"/>
  <c r="AB34" i="13"/>
  <c r="G6" i="2"/>
  <c r="H6" i="2" s="1"/>
  <c r="E75" i="2"/>
  <c r="E45" i="81" s="1"/>
  <c r="H45" i="81" s="1"/>
  <c r="AE76" i="13"/>
  <c r="AC76" i="13"/>
  <c r="AK11" i="13"/>
  <c r="AL11" i="13" s="1"/>
  <c r="F12" i="25"/>
  <c r="AK24" i="13"/>
  <c r="F25" i="25"/>
  <c r="H36" i="13"/>
  <c r="D37" i="25" s="1"/>
  <c r="G36" i="13"/>
  <c r="AB36" i="13"/>
  <c r="AC36" i="13"/>
  <c r="AE71" i="13"/>
  <c r="AB71" i="13"/>
  <c r="AB51" i="13"/>
  <c r="AE51" i="13"/>
  <c r="AE22" i="13"/>
  <c r="AB22" i="13"/>
  <c r="AE17" i="13"/>
  <c r="AB17" i="13"/>
  <c r="AE15" i="13"/>
  <c r="C16" i="25" s="1"/>
  <c r="AB15" i="13"/>
  <c r="AL23" i="13"/>
  <c r="AM23" i="13"/>
  <c r="G24" i="25" s="1"/>
  <c r="AO23" i="13"/>
  <c r="AK33" i="13"/>
  <c r="F34" i="25"/>
  <c r="Z77" i="13"/>
  <c r="F76" i="33"/>
  <c r="H71" i="13"/>
  <c r="D72" i="25" s="1"/>
  <c r="G71" i="13"/>
  <c r="H63" i="13"/>
  <c r="D64" i="25" s="1"/>
  <c r="G63" i="13"/>
  <c r="H55" i="13"/>
  <c r="D56" i="25" s="1"/>
  <c r="G55" i="13"/>
  <c r="H47" i="13"/>
  <c r="D48" i="25" s="1"/>
  <c r="G47" i="13"/>
  <c r="H35" i="13"/>
  <c r="D36" i="25" s="1"/>
  <c r="G35" i="13"/>
  <c r="H19" i="13"/>
  <c r="D20" i="25" s="1"/>
  <c r="G19" i="13"/>
  <c r="AE73" i="13"/>
  <c r="AE63" i="13"/>
  <c r="AB63" i="13"/>
  <c r="AE58" i="13"/>
  <c r="AB58" i="13"/>
  <c r="AE48" i="13"/>
  <c r="AE31" i="13"/>
  <c r="AE26" i="13"/>
  <c r="AE19" i="13"/>
  <c r="AE8" i="13"/>
  <c r="AD8" i="13" s="1"/>
  <c r="H39" i="13"/>
  <c r="D40" i="25" s="1"/>
  <c r="G39" i="13"/>
  <c r="H23" i="13"/>
  <c r="D24" i="25" s="1"/>
  <c r="G23" i="13"/>
  <c r="G18" i="46"/>
  <c r="G19" i="46" s="1"/>
  <c r="H31" i="13"/>
  <c r="D32" i="25" s="1"/>
  <c r="G31" i="13"/>
  <c r="H15" i="13"/>
  <c r="D16" i="25" s="1"/>
  <c r="G15" i="13"/>
  <c r="AE68" i="13"/>
  <c r="C69" i="25" s="1"/>
  <c r="AE60" i="13"/>
  <c r="C61" i="25" s="1"/>
  <c r="AE52" i="13"/>
  <c r="C53" i="25" s="1"/>
  <c r="AE44" i="13"/>
  <c r="C45" i="25" s="1"/>
  <c r="AE36" i="13"/>
  <c r="AQ36" i="13" s="1"/>
  <c r="AE28" i="13"/>
  <c r="AQ28" i="13" s="1"/>
  <c r="AE21" i="13"/>
  <c r="C22" i="25" s="1"/>
  <c r="AE13" i="13"/>
  <c r="C14" i="25" s="1"/>
  <c r="F73" i="49"/>
  <c r="F77" i="49" s="1"/>
  <c r="Q9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BK62" i="1"/>
  <c r="BM62" i="1" s="1"/>
  <c r="S16" i="67"/>
  <c r="T16" i="67" s="1"/>
  <c r="G38" i="49"/>
  <c r="AR41" i="33" s="1"/>
  <c r="X41" i="33" s="1"/>
  <c r="Z41" i="33" s="1"/>
  <c r="G36" i="49"/>
  <c r="AR39" i="33" s="1"/>
  <c r="X39" i="33" s="1"/>
  <c r="Z39" i="33" s="1"/>
  <c r="G34" i="49"/>
  <c r="AR37" i="33" s="1"/>
  <c r="X37" i="33" s="1"/>
  <c r="Z37" i="33" s="1"/>
  <c r="G32" i="49"/>
  <c r="AR35" i="33" s="1"/>
  <c r="X35" i="33" s="1"/>
  <c r="Z35" i="33" s="1"/>
  <c r="G30" i="49"/>
  <c r="AR33" i="33" s="1"/>
  <c r="X33" i="33" s="1"/>
  <c r="Z33" i="33" s="1"/>
  <c r="G28" i="49"/>
  <c r="AR31" i="33" s="1"/>
  <c r="X31" i="33" s="1"/>
  <c r="Z31" i="33" s="1"/>
  <c r="G26" i="49"/>
  <c r="AR29" i="33" s="1"/>
  <c r="X29" i="33" s="1"/>
  <c r="Z29" i="33" s="1"/>
  <c r="G24" i="49"/>
  <c r="AR27" i="33" s="1"/>
  <c r="X27" i="33" s="1"/>
  <c r="Z27" i="33" s="1"/>
  <c r="G22" i="49"/>
  <c r="AR25" i="33" s="1"/>
  <c r="X25" i="33" s="1"/>
  <c r="Z25" i="33" s="1"/>
  <c r="G20" i="49"/>
  <c r="AR23" i="33" s="1"/>
  <c r="X23" i="33" s="1"/>
  <c r="Z23" i="33" s="1"/>
  <c r="G18" i="49"/>
  <c r="AR21" i="33" s="1"/>
  <c r="X21" i="33" s="1"/>
  <c r="Z21" i="33" s="1"/>
  <c r="G16" i="49"/>
  <c r="AR19" i="33" s="1"/>
  <c r="X19" i="33" s="1"/>
  <c r="Z19" i="33" s="1"/>
  <c r="G14" i="49"/>
  <c r="AR17" i="33" s="1"/>
  <c r="X17" i="33" s="1"/>
  <c r="Z17" i="33" s="1"/>
  <c r="G12" i="49"/>
  <c r="AR15" i="33" s="1"/>
  <c r="X15" i="33" s="1"/>
  <c r="Z15" i="33" s="1"/>
  <c r="G10" i="49"/>
  <c r="AR13" i="33" s="1"/>
  <c r="X13" i="33" s="1"/>
  <c r="Z13" i="33" s="1"/>
  <c r="G8" i="49"/>
  <c r="AR11" i="33" s="1"/>
  <c r="X11" i="33" s="1"/>
  <c r="Z11" i="33" s="1"/>
  <c r="G6" i="49"/>
  <c r="AR9" i="33" s="1"/>
  <c r="X9" i="33" s="1"/>
  <c r="Z9" i="33" s="1"/>
  <c r="G71" i="49"/>
  <c r="AR74" i="33" s="1"/>
  <c r="X74" i="33" s="1"/>
  <c r="Z74" i="33" s="1"/>
  <c r="G69" i="49"/>
  <c r="AR72" i="33" s="1"/>
  <c r="X72" i="33" s="1"/>
  <c r="Z72" i="33" s="1"/>
  <c r="G67" i="49"/>
  <c r="AR70" i="33" s="1"/>
  <c r="X70" i="33" s="1"/>
  <c r="Z70" i="33" s="1"/>
  <c r="G65" i="49"/>
  <c r="AR68" i="33" s="1"/>
  <c r="X68" i="33" s="1"/>
  <c r="Z68" i="33" s="1"/>
  <c r="G63" i="49"/>
  <c r="AR66" i="33" s="1"/>
  <c r="X66" i="33" s="1"/>
  <c r="Z66" i="33" s="1"/>
  <c r="G61" i="49"/>
  <c r="AR64" i="33" s="1"/>
  <c r="X64" i="33" s="1"/>
  <c r="Z64" i="33" s="1"/>
  <c r="G59" i="49"/>
  <c r="AR62" i="33" s="1"/>
  <c r="X62" i="33" s="1"/>
  <c r="Z62" i="33" s="1"/>
  <c r="G57" i="49"/>
  <c r="AR60" i="33" s="1"/>
  <c r="X60" i="33" s="1"/>
  <c r="Z60" i="33" s="1"/>
  <c r="G55" i="49"/>
  <c r="AR58" i="33" s="1"/>
  <c r="X58" i="33" s="1"/>
  <c r="Z58" i="33" s="1"/>
  <c r="G53" i="49"/>
  <c r="AR56" i="33" s="1"/>
  <c r="X56" i="33" s="1"/>
  <c r="Z56" i="33" s="1"/>
  <c r="G51" i="49"/>
  <c r="AR54" i="33" s="1"/>
  <c r="X54" i="33" s="1"/>
  <c r="Z54" i="33" s="1"/>
  <c r="G49" i="49"/>
  <c r="AR52" i="33" s="1"/>
  <c r="X52" i="33" s="1"/>
  <c r="Z52" i="33" s="1"/>
  <c r="G47" i="49"/>
  <c r="AR50" i="33" s="1"/>
  <c r="X50" i="33" s="1"/>
  <c r="Z50" i="33" s="1"/>
  <c r="G45" i="49"/>
  <c r="AR48" i="33" s="1"/>
  <c r="X48" i="33" s="1"/>
  <c r="Z48" i="33" s="1"/>
  <c r="G43" i="49"/>
  <c r="AR46" i="33" s="1"/>
  <c r="X46" i="33" s="1"/>
  <c r="Z46" i="33" s="1"/>
  <c r="G41" i="49"/>
  <c r="AR44" i="33" s="1"/>
  <c r="X44" i="33" s="1"/>
  <c r="Z44" i="33" s="1"/>
  <c r="G39" i="49"/>
  <c r="AR42" i="33" s="1"/>
  <c r="X42" i="33" s="1"/>
  <c r="Z42" i="33" s="1"/>
  <c r="G37" i="49"/>
  <c r="AR40" i="33" s="1"/>
  <c r="X40" i="33" s="1"/>
  <c r="Z40" i="33" s="1"/>
  <c r="G35" i="49"/>
  <c r="AR38" i="33" s="1"/>
  <c r="X38" i="33" s="1"/>
  <c r="Z38" i="33" s="1"/>
  <c r="G33" i="49"/>
  <c r="AR36" i="33" s="1"/>
  <c r="X36" i="33" s="1"/>
  <c r="Z36" i="33" s="1"/>
  <c r="G31" i="49"/>
  <c r="AR34" i="33" s="1"/>
  <c r="X34" i="33" s="1"/>
  <c r="Z34" i="33" s="1"/>
  <c r="G29" i="49"/>
  <c r="AR32" i="33" s="1"/>
  <c r="X32" i="33" s="1"/>
  <c r="Z32" i="33" s="1"/>
  <c r="G27" i="49"/>
  <c r="AR30" i="33" s="1"/>
  <c r="X30" i="33" s="1"/>
  <c r="Z30" i="33" s="1"/>
  <c r="G25" i="49"/>
  <c r="AR28" i="33" s="1"/>
  <c r="X28" i="33" s="1"/>
  <c r="Z28" i="33" s="1"/>
  <c r="G23" i="49"/>
  <c r="AR26" i="33" s="1"/>
  <c r="X26" i="33" s="1"/>
  <c r="Z26" i="33" s="1"/>
  <c r="G21" i="49"/>
  <c r="AR24" i="33" s="1"/>
  <c r="X24" i="33" s="1"/>
  <c r="Z24" i="33" s="1"/>
  <c r="G19" i="49"/>
  <c r="AR22" i="33" s="1"/>
  <c r="X22" i="33" s="1"/>
  <c r="Z22" i="33" s="1"/>
  <c r="G17" i="49"/>
  <c r="AR20" i="33" s="1"/>
  <c r="X20" i="33" s="1"/>
  <c r="Z20" i="33" s="1"/>
  <c r="G15" i="49"/>
  <c r="AR18" i="33" s="1"/>
  <c r="X18" i="33" s="1"/>
  <c r="Z18" i="33" s="1"/>
  <c r="G13" i="49"/>
  <c r="AR16" i="33" s="1"/>
  <c r="X16" i="33" s="1"/>
  <c r="Z16" i="33" s="1"/>
  <c r="G11" i="49"/>
  <c r="AR14" i="33" s="1"/>
  <c r="X14" i="33" s="1"/>
  <c r="Z14" i="33" s="1"/>
  <c r="G9" i="49"/>
  <c r="AR12" i="33" s="1"/>
  <c r="X12" i="33" s="1"/>
  <c r="Z12" i="33" s="1"/>
  <c r="G7" i="49"/>
  <c r="AR10" i="33" s="1"/>
  <c r="X10" i="33" s="1"/>
  <c r="Z10" i="33" s="1"/>
  <c r="G5" i="49"/>
  <c r="AR8" i="33" s="1"/>
  <c r="X8" i="33" s="1"/>
  <c r="Z8" i="33" s="1"/>
  <c r="G35" i="81"/>
  <c r="H44" i="81"/>
  <c r="F6" i="80"/>
  <c r="F6" i="76"/>
  <c r="F8" i="80"/>
  <c r="F8" i="76"/>
  <c r="F10" i="80"/>
  <c r="F10" i="76"/>
  <c r="F12" i="80"/>
  <c r="F12" i="76"/>
  <c r="F14" i="80"/>
  <c r="F14" i="76"/>
  <c r="F16" i="80"/>
  <c r="F16" i="76"/>
  <c r="F18" i="80"/>
  <c r="F18" i="76"/>
  <c r="F20" i="80"/>
  <c r="F20" i="76"/>
  <c r="F23" i="80"/>
  <c r="F23" i="76"/>
  <c r="F25" i="80"/>
  <c r="F25" i="76"/>
  <c r="F27" i="80"/>
  <c r="F27" i="76"/>
  <c r="F29" i="80"/>
  <c r="F29" i="76"/>
  <c r="F31" i="80"/>
  <c r="F31" i="76"/>
  <c r="F33" i="80"/>
  <c r="F33" i="76"/>
  <c r="F35" i="80"/>
  <c r="F35" i="76"/>
  <c r="F37" i="80"/>
  <c r="F37" i="76"/>
  <c r="F39" i="80"/>
  <c r="F39" i="76"/>
  <c r="F42" i="80"/>
  <c r="F42" i="76"/>
  <c r="F45" i="80"/>
  <c r="F45" i="76"/>
  <c r="F47" i="80"/>
  <c r="F47" i="76"/>
  <c r="F49" i="80"/>
  <c r="F49" i="76"/>
  <c r="F50" i="76"/>
  <c r="F50" i="80"/>
  <c r="F52" i="76"/>
  <c r="F52" i="80"/>
  <c r="F54" i="76"/>
  <c r="F54" i="80"/>
  <c r="F56" i="76"/>
  <c r="F56" i="80"/>
  <c r="F58" i="76"/>
  <c r="F58" i="80"/>
  <c r="F60" i="76"/>
  <c r="F60" i="80"/>
  <c r="F62" i="76"/>
  <c r="F62" i="80"/>
  <c r="F64" i="76"/>
  <c r="F64" i="80"/>
  <c r="F66" i="76"/>
  <c r="F66" i="80"/>
  <c r="F68" i="76"/>
  <c r="F68" i="80"/>
  <c r="F70" i="76"/>
  <c r="F70" i="80"/>
  <c r="F5" i="76"/>
  <c r="F5" i="80"/>
  <c r="F7" i="76"/>
  <c r="F7" i="80"/>
  <c r="F9" i="76"/>
  <c r="F9" i="80"/>
  <c r="F11" i="76"/>
  <c r="F11" i="80"/>
  <c r="F13" i="76"/>
  <c r="F13" i="80"/>
  <c r="F15" i="76"/>
  <c r="F15" i="80"/>
  <c r="F17" i="76"/>
  <c r="F17" i="80"/>
  <c r="F19" i="76"/>
  <c r="F19" i="80"/>
  <c r="F22" i="76"/>
  <c r="F22" i="80"/>
  <c r="F24" i="76"/>
  <c r="F24" i="80"/>
  <c r="F26" i="76"/>
  <c r="F26" i="80"/>
  <c r="F28" i="76"/>
  <c r="F28" i="80"/>
  <c r="F30" i="76"/>
  <c r="F30" i="80"/>
  <c r="F32" i="76"/>
  <c r="F32" i="80"/>
  <c r="F34" i="76"/>
  <c r="F34" i="80"/>
  <c r="F36" i="76"/>
  <c r="F36" i="80"/>
  <c r="F38" i="76"/>
  <c r="F38" i="80"/>
  <c r="F41" i="76"/>
  <c r="F41" i="80"/>
  <c r="F44" i="76"/>
  <c r="F44" i="80"/>
  <c r="F46" i="76"/>
  <c r="F46" i="80"/>
  <c r="F48" i="76"/>
  <c r="F48" i="80"/>
  <c r="F51" i="80"/>
  <c r="F51" i="76"/>
  <c r="F53" i="80"/>
  <c r="F53" i="76"/>
  <c r="F55" i="80"/>
  <c r="F55" i="76"/>
  <c r="F57" i="80"/>
  <c r="F57" i="76"/>
  <c r="F59" i="80"/>
  <c r="F59" i="76"/>
  <c r="F61" i="80"/>
  <c r="F61" i="76"/>
  <c r="F63" i="80"/>
  <c r="F63" i="76"/>
  <c r="F65" i="80"/>
  <c r="F65" i="76"/>
  <c r="F67" i="80"/>
  <c r="F67" i="76"/>
  <c r="F69" i="80"/>
  <c r="F69" i="76"/>
  <c r="F71" i="80"/>
  <c r="F71" i="76"/>
  <c r="F73" i="80"/>
  <c r="F73" i="76"/>
  <c r="E12" i="81"/>
  <c r="M14" i="2"/>
  <c r="N14" i="2" s="1"/>
  <c r="I14" i="2"/>
  <c r="M44" i="2"/>
  <c r="N44" i="2" s="1"/>
  <c r="I44" i="2"/>
  <c r="C30" i="46"/>
  <c r="C31" i="46" s="1"/>
  <c r="F72" i="76"/>
  <c r="F72" i="80"/>
  <c r="AM39" i="13"/>
  <c r="G40" i="25" s="1"/>
  <c r="AN39" i="13"/>
  <c r="AM8" i="13"/>
  <c r="AN8" i="13"/>
  <c r="AL8" i="13"/>
  <c r="AO8" i="13"/>
  <c r="AM10" i="13"/>
  <c r="G11" i="25" s="1"/>
  <c r="AL10" i="13"/>
  <c r="AO10" i="13"/>
  <c r="AN10" i="13"/>
  <c r="AN12" i="13"/>
  <c r="AO12" i="13"/>
  <c r="AN14" i="13"/>
  <c r="AO14" i="13"/>
  <c r="AO20" i="13"/>
  <c r="AN20" i="13"/>
  <c r="AL22" i="13"/>
  <c r="AO22" i="13"/>
  <c r="AM22" i="13"/>
  <c r="G23" i="25" s="1"/>
  <c r="AN22" i="13"/>
  <c r="AM28" i="13"/>
  <c r="G29" i="25" s="1"/>
  <c r="AN28" i="13"/>
  <c r="AL28" i="13"/>
  <c r="AO28" i="13"/>
  <c r="AM30" i="13"/>
  <c r="G31" i="25" s="1"/>
  <c r="AN30" i="13"/>
  <c r="AL30" i="13"/>
  <c r="AO30" i="13"/>
  <c r="AL36" i="13"/>
  <c r="AO36" i="13"/>
  <c r="AM36" i="13"/>
  <c r="G37" i="25" s="1"/>
  <c r="AN36" i="13"/>
  <c r="AL38" i="13"/>
  <c r="AO38" i="13"/>
  <c r="AM38" i="13"/>
  <c r="G39" i="25" s="1"/>
  <c r="AN38" i="13"/>
  <c r="AO41" i="13"/>
  <c r="AM41" i="13"/>
  <c r="G42" i="25" s="1"/>
  <c r="AN41" i="13"/>
  <c r="AM47" i="13"/>
  <c r="G48" i="25" s="1"/>
  <c r="AN47" i="13"/>
  <c r="AL47" i="13"/>
  <c r="AO47" i="13"/>
  <c r="AN49" i="13"/>
  <c r="AM49" i="13"/>
  <c r="G50" i="25" s="1"/>
  <c r="AO49" i="13"/>
  <c r="AO55" i="13"/>
  <c r="AL55" i="13"/>
  <c r="AM55" i="13"/>
  <c r="G56" i="25" s="1"/>
  <c r="AN55" i="13"/>
  <c r="AO57" i="13"/>
  <c r="AM57" i="13"/>
  <c r="G58" i="25" s="1"/>
  <c r="AN57" i="13"/>
  <c r="AM63" i="13"/>
  <c r="G64" i="25" s="1"/>
  <c r="AN63" i="13"/>
  <c r="AL63" i="13"/>
  <c r="AO63" i="13"/>
  <c r="AN65" i="13"/>
  <c r="AM65" i="13"/>
  <c r="G66" i="25" s="1"/>
  <c r="AO65" i="13"/>
  <c r="AO71" i="13"/>
  <c r="AL71" i="13"/>
  <c r="AM71" i="13"/>
  <c r="G72" i="25" s="1"/>
  <c r="AN71" i="13"/>
  <c r="AO73" i="13"/>
  <c r="AM73" i="13"/>
  <c r="G74" i="25" s="1"/>
  <c r="AN73" i="13"/>
  <c r="AN9" i="13"/>
  <c r="AL9" i="13"/>
  <c r="AO9" i="13"/>
  <c r="AL13" i="13"/>
  <c r="AN13" i="13"/>
  <c r="AM13" i="13"/>
  <c r="G14" i="25" s="1"/>
  <c r="AL21" i="13"/>
  <c r="AO21" i="13"/>
  <c r="AM21" i="13"/>
  <c r="G22" i="25" s="1"/>
  <c r="AN29" i="13"/>
  <c r="AM29" i="13"/>
  <c r="G30" i="25" s="1"/>
  <c r="AO29" i="13"/>
  <c r="AO37" i="13"/>
  <c r="AM37" i="13"/>
  <c r="G38" i="25" s="1"/>
  <c r="AN37" i="13"/>
  <c r="AL42" i="13"/>
  <c r="AO42" i="13"/>
  <c r="AM42" i="13"/>
  <c r="G43" i="25" s="1"/>
  <c r="AN42" i="13"/>
  <c r="AM48" i="13"/>
  <c r="G49" i="25" s="1"/>
  <c r="AN48" i="13"/>
  <c r="AL48" i="13"/>
  <c r="AO48" i="13"/>
  <c r="AL58" i="13"/>
  <c r="AO58" i="13"/>
  <c r="AM58" i="13"/>
  <c r="G59" i="25" s="1"/>
  <c r="AN58" i="13"/>
  <c r="AM64" i="13"/>
  <c r="G65" i="25" s="1"/>
  <c r="AN64" i="13"/>
  <c r="AL64" i="13"/>
  <c r="AO64" i="13"/>
  <c r="AL74" i="13"/>
  <c r="AO74" i="13"/>
  <c r="AM74" i="13"/>
  <c r="G75" i="25" s="1"/>
  <c r="AN74" i="13"/>
  <c r="AO39" i="13"/>
  <c r="AB60" i="13"/>
  <c r="AB62" i="13"/>
  <c r="AB64" i="13"/>
  <c r="AB66" i="13"/>
  <c r="AB68" i="13"/>
  <c r="AB70" i="13"/>
  <c r="AB72" i="13"/>
  <c r="AB74" i="13"/>
  <c r="O24" i="1"/>
  <c r="C19" i="46"/>
  <c r="X76" i="33" l="1"/>
  <c r="Z7" i="33"/>
  <c r="Z76" i="33" s="1"/>
  <c r="Q22" i="2"/>
  <c r="Q44" i="2"/>
  <c r="V6" i="46"/>
  <c r="W6" i="46" s="1"/>
  <c r="X6" i="46" s="1"/>
  <c r="Y6" i="46" s="1"/>
  <c r="Z6" i="46" s="1"/>
  <c r="AA6" i="46" s="1"/>
  <c r="AB6" i="46" s="1"/>
  <c r="AC6" i="46" s="1"/>
  <c r="AD6" i="46" s="1"/>
  <c r="AE6" i="46" s="1"/>
  <c r="AF6" i="46" s="1"/>
  <c r="AG6" i="46" s="1"/>
  <c r="AH6" i="46" s="1"/>
  <c r="AI6" i="46" s="1"/>
  <c r="AJ6" i="46" s="1"/>
  <c r="AK6" i="46" s="1"/>
  <c r="AL6" i="46" s="1"/>
  <c r="AM6" i="46" s="1"/>
  <c r="AN6" i="46" s="1"/>
  <c r="AO50" i="13"/>
  <c r="AQ69" i="13"/>
  <c r="AR69" i="13" s="1"/>
  <c r="AD70" i="13"/>
  <c r="E14" i="81"/>
  <c r="H14" i="81" s="1"/>
  <c r="AN60" i="13"/>
  <c r="AQ11" i="13"/>
  <c r="Y11" i="1" s="1"/>
  <c r="BH11" i="1" s="1"/>
  <c r="BJ11" i="1" s="1"/>
  <c r="AD11" i="13"/>
  <c r="AM72" i="13"/>
  <c r="G73" i="25" s="1"/>
  <c r="G72" i="80"/>
  <c r="G73" i="76"/>
  <c r="G71" i="76"/>
  <c r="G69" i="76"/>
  <c r="G67" i="76"/>
  <c r="G65" i="76"/>
  <c r="G63" i="76"/>
  <c r="G61" i="76"/>
  <c r="G59" i="76"/>
  <c r="G57" i="76"/>
  <c r="G55" i="76"/>
  <c r="G53" i="76"/>
  <c r="G51" i="76"/>
  <c r="G48" i="80"/>
  <c r="G46" i="80"/>
  <c r="G44" i="80"/>
  <c r="G41" i="80"/>
  <c r="G38" i="80"/>
  <c r="G36" i="80"/>
  <c r="G34" i="80"/>
  <c r="G32" i="80"/>
  <c r="G30" i="80"/>
  <c r="G28" i="80"/>
  <c r="G26" i="80"/>
  <c r="G24" i="80"/>
  <c r="G22" i="80"/>
  <c r="G19" i="80"/>
  <c r="G17" i="80"/>
  <c r="G15" i="80"/>
  <c r="G13" i="80"/>
  <c r="G11" i="80"/>
  <c r="G9" i="80"/>
  <c r="G7" i="80"/>
  <c r="G5" i="80"/>
  <c r="G70" i="80"/>
  <c r="G68" i="80"/>
  <c r="G66" i="80"/>
  <c r="G64" i="80"/>
  <c r="G62" i="80"/>
  <c r="G60" i="80"/>
  <c r="G58" i="80"/>
  <c r="G56" i="80"/>
  <c r="G54" i="80"/>
  <c r="G52" i="80"/>
  <c r="G50" i="80"/>
  <c r="G49" i="76"/>
  <c r="G47" i="76"/>
  <c r="G45" i="76"/>
  <c r="G42" i="76"/>
  <c r="G39" i="76"/>
  <c r="G37" i="76"/>
  <c r="G35" i="76"/>
  <c r="G33" i="76"/>
  <c r="G31" i="76"/>
  <c r="G29" i="76"/>
  <c r="G27" i="76"/>
  <c r="G25" i="76"/>
  <c r="G23" i="76"/>
  <c r="G20" i="76"/>
  <c r="G18" i="76"/>
  <c r="G16" i="76"/>
  <c r="G14" i="76"/>
  <c r="G12" i="76"/>
  <c r="G10" i="76"/>
  <c r="G8" i="76"/>
  <c r="G6" i="76"/>
  <c r="G72" i="76"/>
  <c r="Q73" i="2" s="1"/>
  <c r="G73" i="80"/>
  <c r="G71" i="80"/>
  <c r="G69" i="80"/>
  <c r="G67" i="80"/>
  <c r="G65" i="80"/>
  <c r="G63" i="80"/>
  <c r="G61" i="80"/>
  <c r="G59" i="80"/>
  <c r="G57" i="80"/>
  <c r="G55" i="80"/>
  <c r="G53" i="80"/>
  <c r="G51" i="80"/>
  <c r="G48" i="76"/>
  <c r="Q49" i="2" s="1"/>
  <c r="G46" i="76"/>
  <c r="Q47" i="2" s="1"/>
  <c r="G44" i="76"/>
  <c r="Q45" i="2" s="1"/>
  <c r="G41" i="76"/>
  <c r="Q42" i="2" s="1"/>
  <c r="G38" i="76"/>
  <c r="Q39" i="2" s="1"/>
  <c r="G36" i="76"/>
  <c r="Q37" i="2" s="1"/>
  <c r="G34" i="76"/>
  <c r="Q35" i="2" s="1"/>
  <c r="G32" i="76"/>
  <c r="Q33" i="2" s="1"/>
  <c r="G30" i="76"/>
  <c r="Q31" i="2" s="1"/>
  <c r="G28" i="76"/>
  <c r="Q29" i="2" s="1"/>
  <c r="G26" i="76"/>
  <c r="Q27" i="2" s="1"/>
  <c r="G24" i="76"/>
  <c r="Q25" i="2" s="1"/>
  <c r="G22" i="76"/>
  <c r="Q23" i="2" s="1"/>
  <c r="G19" i="76"/>
  <c r="Q20" i="2" s="1"/>
  <c r="G17" i="76"/>
  <c r="Q18" i="2" s="1"/>
  <c r="G15" i="76"/>
  <c r="Q16" i="2" s="1"/>
  <c r="G13" i="76"/>
  <c r="Q14" i="2" s="1"/>
  <c r="G11" i="76"/>
  <c r="Q12" i="2" s="1"/>
  <c r="G9" i="76"/>
  <c r="Q10" i="2" s="1"/>
  <c r="G7" i="76"/>
  <c r="Q8" i="2" s="1"/>
  <c r="G5" i="76"/>
  <c r="Q6" i="2" s="1"/>
  <c r="G70" i="76"/>
  <c r="Q71" i="2" s="1"/>
  <c r="G68" i="76"/>
  <c r="Q69" i="2" s="1"/>
  <c r="G66" i="76"/>
  <c r="Q67" i="2" s="1"/>
  <c r="G64" i="76"/>
  <c r="Q65" i="2" s="1"/>
  <c r="G62" i="76"/>
  <c r="Q63" i="2" s="1"/>
  <c r="G60" i="76"/>
  <c r="Q61" i="2" s="1"/>
  <c r="G58" i="76"/>
  <c r="Q59" i="2" s="1"/>
  <c r="G56" i="76"/>
  <c r="Q57" i="2" s="1"/>
  <c r="G54" i="76"/>
  <c r="Q55" i="2" s="1"/>
  <c r="G52" i="76"/>
  <c r="Q53" i="2" s="1"/>
  <c r="G50" i="76"/>
  <c r="Q51" i="2" s="1"/>
  <c r="G49" i="80"/>
  <c r="G47" i="80"/>
  <c r="G45" i="80"/>
  <c r="G42" i="80"/>
  <c r="G39" i="80"/>
  <c r="G37" i="80"/>
  <c r="G35" i="80"/>
  <c r="G33" i="80"/>
  <c r="G31" i="80"/>
  <c r="G29" i="80"/>
  <c r="G27" i="80"/>
  <c r="G25" i="80"/>
  <c r="G23" i="80"/>
  <c r="G20" i="80"/>
  <c r="G18" i="80"/>
  <c r="G16" i="80"/>
  <c r="G14" i="80"/>
  <c r="G12" i="80"/>
  <c r="G10" i="80"/>
  <c r="G8" i="80"/>
  <c r="G6" i="80"/>
  <c r="R74" i="1"/>
  <c r="AB74" i="1" s="1"/>
  <c r="R70" i="1"/>
  <c r="AB70" i="1" s="1"/>
  <c r="AD41" i="13"/>
  <c r="R52" i="1"/>
  <c r="AB52" i="1" s="1"/>
  <c r="AD45" i="13"/>
  <c r="AL72" i="13"/>
  <c r="R56" i="1"/>
  <c r="R64" i="1"/>
  <c r="AB64" i="1" s="1"/>
  <c r="AN56" i="13"/>
  <c r="R36" i="1"/>
  <c r="AB36" i="1" s="1"/>
  <c r="AO62" i="13"/>
  <c r="AD69" i="13"/>
  <c r="AM66" i="13"/>
  <c r="G67" i="25" s="1"/>
  <c r="AM50" i="13"/>
  <c r="G51" i="25" s="1"/>
  <c r="AM35" i="13"/>
  <c r="G36" i="25" s="1"/>
  <c r="AD27" i="13"/>
  <c r="AM60" i="13"/>
  <c r="G61" i="25" s="1"/>
  <c r="AL50" i="13"/>
  <c r="AQ20" i="13"/>
  <c r="AR20" i="13" s="1"/>
  <c r="AL60" i="13"/>
  <c r="AN72" i="13"/>
  <c r="AN62" i="13"/>
  <c r="AO68" i="13"/>
  <c r="C50" i="25"/>
  <c r="AN68" i="13"/>
  <c r="AM62" i="13"/>
  <c r="G63" i="25" s="1"/>
  <c r="AN40" i="13"/>
  <c r="AM68" i="13"/>
  <c r="G69" i="25" s="1"/>
  <c r="R50" i="1"/>
  <c r="AB50" i="1" s="1"/>
  <c r="AQ62" i="13"/>
  <c r="AR62" i="13" s="1"/>
  <c r="G74" i="81"/>
  <c r="C31" i="25"/>
  <c r="G76" i="81"/>
  <c r="AL52" i="13"/>
  <c r="AR35" i="13"/>
  <c r="G75" i="81"/>
  <c r="AO44" i="13"/>
  <c r="R48" i="1"/>
  <c r="AB48" i="1" s="1"/>
  <c r="E73" i="81"/>
  <c r="C76" i="25"/>
  <c r="AN44" i="13"/>
  <c r="AL46" i="13"/>
  <c r="AD54" i="13"/>
  <c r="AM46" i="13"/>
  <c r="G47" i="25" s="1"/>
  <c r="AN46" i="13"/>
  <c r="R32" i="1"/>
  <c r="AB32" i="1" s="1"/>
  <c r="C42" i="25"/>
  <c r="C11" i="25"/>
  <c r="AN52" i="13"/>
  <c r="R19" i="1"/>
  <c r="AB19" i="1" s="1"/>
  <c r="AO52" i="13"/>
  <c r="AD35" i="13"/>
  <c r="R15" i="1"/>
  <c r="AB15" i="1" s="1"/>
  <c r="AQ38" i="13"/>
  <c r="AR38" i="13" s="1"/>
  <c r="R27" i="1"/>
  <c r="AB27" i="1" s="1"/>
  <c r="R40" i="1"/>
  <c r="AB40" i="1" s="1"/>
  <c r="AO66" i="13"/>
  <c r="AL66" i="13"/>
  <c r="AD38" i="13"/>
  <c r="C36" i="25"/>
  <c r="R66" i="1"/>
  <c r="AB66" i="1" s="1"/>
  <c r="AD49" i="13"/>
  <c r="AR49" i="13"/>
  <c r="AQ45" i="13"/>
  <c r="AR45" i="13" s="1"/>
  <c r="AD21" i="13"/>
  <c r="AM44" i="13"/>
  <c r="G45" i="25" s="1"/>
  <c r="R35" i="1"/>
  <c r="AB35" i="1" s="1"/>
  <c r="R73" i="1"/>
  <c r="AB73" i="1" s="1"/>
  <c r="R54" i="1"/>
  <c r="AB54" i="1" s="1"/>
  <c r="R28" i="1"/>
  <c r="AB28" i="1" s="1"/>
  <c r="AQ50" i="13"/>
  <c r="AR50" i="13" s="1"/>
  <c r="R39" i="1"/>
  <c r="AB39" i="1" s="1"/>
  <c r="R33" i="1"/>
  <c r="AB33" i="1" s="1"/>
  <c r="AQ27" i="13"/>
  <c r="Y27" i="1" s="1"/>
  <c r="BH27" i="1" s="1"/>
  <c r="BJ27" i="1" s="1"/>
  <c r="AD57" i="13"/>
  <c r="R57" i="1"/>
  <c r="AB57" i="1" s="1"/>
  <c r="R17" i="1"/>
  <c r="AB17" i="1" s="1"/>
  <c r="R31" i="1"/>
  <c r="AB31" i="1" s="1"/>
  <c r="AM56" i="13"/>
  <c r="G57" i="25" s="1"/>
  <c r="AM40" i="13"/>
  <c r="G41" i="25" s="1"/>
  <c r="C29" i="25"/>
  <c r="C98" i="67"/>
  <c r="C100" i="67" s="1"/>
  <c r="C102" i="67" s="1"/>
  <c r="F4" i="67" s="1"/>
  <c r="AO56" i="13"/>
  <c r="AO40" i="13"/>
  <c r="AD60" i="13"/>
  <c r="AD14" i="13"/>
  <c r="R65" i="1"/>
  <c r="AB65" i="1" s="1"/>
  <c r="R61" i="1"/>
  <c r="AB61" i="1" s="1"/>
  <c r="AQ60" i="13"/>
  <c r="AR60" i="13" s="1"/>
  <c r="AD61" i="13"/>
  <c r="C68" i="25"/>
  <c r="AO76" i="13"/>
  <c r="G76" i="33"/>
  <c r="R34" i="1"/>
  <c r="AB34" i="1" s="1"/>
  <c r="E41" i="81"/>
  <c r="H41" i="81" s="1"/>
  <c r="G9" i="81"/>
  <c r="BN19" i="1"/>
  <c r="BP19" i="1" s="1"/>
  <c r="O10" i="1"/>
  <c r="P10" i="1" s="1"/>
  <c r="BN10" i="1" s="1"/>
  <c r="BP10" i="1" s="1"/>
  <c r="BN27" i="1"/>
  <c r="BP27" i="1" s="1"/>
  <c r="BN15" i="1"/>
  <c r="BP15" i="1" s="1"/>
  <c r="G45" i="81"/>
  <c r="R29" i="1"/>
  <c r="H76" i="33"/>
  <c r="BN50" i="1"/>
  <c r="BP50" i="1" s="1"/>
  <c r="R55" i="1"/>
  <c r="AB55" i="1" s="1"/>
  <c r="R38" i="1"/>
  <c r="R25" i="1"/>
  <c r="BN31" i="1"/>
  <c r="BP31" i="1" s="1"/>
  <c r="R53" i="1"/>
  <c r="AB53" i="1" s="1"/>
  <c r="G15" i="81"/>
  <c r="E77" i="1"/>
  <c r="E20" i="81" s="1"/>
  <c r="G20" i="81" s="1"/>
  <c r="E22" i="81"/>
  <c r="G22" i="81" s="1"/>
  <c r="BN33" i="1"/>
  <c r="BP33" i="1" s="1"/>
  <c r="R49" i="1"/>
  <c r="R22" i="1"/>
  <c r="BN36" i="1"/>
  <c r="BP36" i="1" s="1"/>
  <c r="BN12" i="1"/>
  <c r="BP12" i="1" s="1"/>
  <c r="R20" i="1"/>
  <c r="R41" i="1"/>
  <c r="AB41" i="1" s="1"/>
  <c r="BN52" i="1"/>
  <c r="BP52" i="1" s="1"/>
  <c r="R72" i="1"/>
  <c r="BN57" i="1"/>
  <c r="BP57" i="1" s="1"/>
  <c r="R58" i="1"/>
  <c r="R63" i="1"/>
  <c r="AB63" i="1" s="1"/>
  <c r="R42" i="1"/>
  <c r="AB42" i="1" s="1"/>
  <c r="G21" i="81"/>
  <c r="R30" i="1"/>
  <c r="AB30" i="1" s="1"/>
  <c r="BN61" i="1"/>
  <c r="BP61" i="1" s="1"/>
  <c r="R75" i="1"/>
  <c r="AB75" i="1" s="1"/>
  <c r="BN17" i="1"/>
  <c r="BP17" i="1" s="1"/>
  <c r="R18" i="1"/>
  <c r="BN28" i="1"/>
  <c r="BP28" i="1" s="1"/>
  <c r="R76" i="1"/>
  <c r="AB76" i="1" s="1"/>
  <c r="R21" i="1"/>
  <c r="G23" i="81"/>
  <c r="R60" i="1"/>
  <c r="AB60" i="1" s="1"/>
  <c r="BN70" i="1"/>
  <c r="BP70" i="1" s="1"/>
  <c r="BN65" i="1"/>
  <c r="BP65" i="1" s="1"/>
  <c r="BN64" i="1"/>
  <c r="BP64" i="1" s="1"/>
  <c r="R45" i="1"/>
  <c r="BN74" i="1"/>
  <c r="BP74" i="1" s="1"/>
  <c r="R13" i="1"/>
  <c r="AB13" i="1" s="1"/>
  <c r="R11" i="1"/>
  <c r="AB11" i="1" s="1"/>
  <c r="R23" i="1"/>
  <c r="AB23" i="1" s="1"/>
  <c r="BN39" i="1"/>
  <c r="BP39" i="1" s="1"/>
  <c r="BN34" i="1"/>
  <c r="BP34" i="1" s="1"/>
  <c r="R68" i="1"/>
  <c r="R9" i="1"/>
  <c r="BN35" i="1"/>
  <c r="BP35" i="1" s="1"/>
  <c r="R44" i="1"/>
  <c r="R51" i="1"/>
  <c r="BN32" i="1"/>
  <c r="BP32" i="1" s="1"/>
  <c r="BN56" i="1"/>
  <c r="BP56" i="1" s="1"/>
  <c r="R69" i="1"/>
  <c r="BN73" i="1"/>
  <c r="BP73" i="1" s="1"/>
  <c r="R14" i="1"/>
  <c r="AB14" i="1" s="1"/>
  <c r="BN48" i="1"/>
  <c r="BP48" i="1" s="1"/>
  <c r="R62" i="1"/>
  <c r="R67" i="1"/>
  <c r="R46" i="1"/>
  <c r="AB46" i="1" s="1"/>
  <c r="H75" i="2"/>
  <c r="BN40" i="1"/>
  <c r="BP40" i="1" s="1"/>
  <c r="AL35" i="13"/>
  <c r="AD46" i="13"/>
  <c r="C21" i="25"/>
  <c r="AD75" i="13"/>
  <c r="AD59" i="13"/>
  <c r="BN8" i="1"/>
  <c r="BP8" i="1" s="1"/>
  <c r="R8" i="1"/>
  <c r="AB8" i="1" s="1"/>
  <c r="R47" i="1"/>
  <c r="AB47" i="1" s="1"/>
  <c r="R26" i="1"/>
  <c r="AB26" i="1" s="1"/>
  <c r="R59" i="1"/>
  <c r="AB59" i="1" s="1"/>
  <c r="AM15" i="13"/>
  <c r="G16" i="25" s="1"/>
  <c r="AD47" i="13"/>
  <c r="AQ18" i="13"/>
  <c r="AR18" i="13" s="1"/>
  <c r="C41" i="25"/>
  <c r="AQ40" i="13"/>
  <c r="R37" i="1"/>
  <c r="BN54" i="1"/>
  <c r="BP54" i="1" s="1"/>
  <c r="BN66" i="1"/>
  <c r="BP66" i="1" s="1"/>
  <c r="R71" i="1"/>
  <c r="AO35" i="13"/>
  <c r="AR76" i="33"/>
  <c r="AD50" i="13"/>
  <c r="C19" i="25"/>
  <c r="AQ47" i="13"/>
  <c r="C43" i="25"/>
  <c r="AQ42" i="13"/>
  <c r="AD42" i="13"/>
  <c r="AO27" i="13"/>
  <c r="AN15" i="13"/>
  <c r="AM76" i="13"/>
  <c r="G77" i="25" s="1"/>
  <c r="AN76" i="13"/>
  <c r="AL15" i="13"/>
  <c r="AD30" i="13"/>
  <c r="C37" i="25"/>
  <c r="AD68" i="13"/>
  <c r="AD23" i="13"/>
  <c r="AQ59" i="13"/>
  <c r="AR59" i="13" s="1"/>
  <c r="C58" i="25"/>
  <c r="AD36" i="13"/>
  <c r="AQ68" i="13"/>
  <c r="Y68" i="1" s="1"/>
  <c r="BH68" i="1" s="1"/>
  <c r="BJ68" i="1" s="1"/>
  <c r="AQ23" i="13"/>
  <c r="Y23" i="1" s="1"/>
  <c r="BH23" i="1" s="1"/>
  <c r="BJ23" i="1" s="1"/>
  <c r="C44" i="25"/>
  <c r="AQ67" i="13"/>
  <c r="AR67" i="13" s="1"/>
  <c r="Y57" i="1"/>
  <c r="BH57" i="1" s="1"/>
  <c r="BJ57" i="1" s="1"/>
  <c r="AR57" i="13"/>
  <c r="AD44" i="13"/>
  <c r="AQ54" i="13"/>
  <c r="Y54" i="1" s="1"/>
  <c r="BH54" i="1" s="1"/>
  <c r="BJ54" i="1" s="1"/>
  <c r="AQ70" i="13"/>
  <c r="Y70" i="1" s="1"/>
  <c r="BH70" i="1" s="1"/>
  <c r="BJ70" i="1" s="1"/>
  <c r="AD10" i="13"/>
  <c r="C26" i="25"/>
  <c r="AD28" i="13"/>
  <c r="AD52" i="13"/>
  <c r="AD62" i="13"/>
  <c r="AQ14" i="13"/>
  <c r="AR14" i="13" s="1"/>
  <c r="AD43" i="13"/>
  <c r="AQ61" i="13"/>
  <c r="AR61" i="13" s="1"/>
  <c r="AD25" i="13"/>
  <c r="G34" i="81"/>
  <c r="H34" i="81"/>
  <c r="AI82" i="13"/>
  <c r="C9" i="25"/>
  <c r="AR41" i="13"/>
  <c r="AR10" i="13"/>
  <c r="AM27" i="13"/>
  <c r="G28" i="25" s="1"/>
  <c r="AL27" i="13"/>
  <c r="F78" i="25"/>
  <c r="C38" i="25"/>
  <c r="AD15" i="13"/>
  <c r="AQ46" i="13"/>
  <c r="AR46" i="13" s="1"/>
  <c r="AD37" i="13"/>
  <c r="AD13" i="13"/>
  <c r="AQ44" i="13"/>
  <c r="AR44" i="13" s="1"/>
  <c r="AQ13" i="13"/>
  <c r="AR13" i="13" s="1"/>
  <c r="C10" i="25"/>
  <c r="AQ9" i="13"/>
  <c r="AD9" i="13"/>
  <c r="AQ16" i="13"/>
  <c r="Y16" i="1" s="1"/>
  <c r="BH16" i="1" s="1"/>
  <c r="BJ16" i="1" s="1"/>
  <c r="C17" i="25"/>
  <c r="C75" i="25"/>
  <c r="AQ74" i="13"/>
  <c r="C65" i="25"/>
  <c r="AQ64" i="13"/>
  <c r="AD64" i="13"/>
  <c r="AR30" i="13"/>
  <c r="Y30" i="1"/>
  <c r="BH30" i="1" s="1"/>
  <c r="BJ30" i="1" s="1"/>
  <c r="Y25" i="1"/>
  <c r="BH25" i="1" s="1"/>
  <c r="BJ25" i="1" s="1"/>
  <c r="AR25" i="13"/>
  <c r="C67" i="25"/>
  <c r="AQ66" i="13"/>
  <c r="AQ32" i="13"/>
  <c r="C33" i="25"/>
  <c r="AQ55" i="13"/>
  <c r="C56" i="25"/>
  <c r="C73" i="25"/>
  <c r="AQ72" i="13"/>
  <c r="AR75" i="13"/>
  <c r="Y75" i="1"/>
  <c r="BH75" i="1" s="1"/>
  <c r="BJ75" i="1" s="1"/>
  <c r="G75" i="2"/>
  <c r="S15" i="67"/>
  <c r="BK16" i="1"/>
  <c r="L16" i="1"/>
  <c r="Y36" i="1"/>
  <c r="BH36" i="1" s="1"/>
  <c r="BJ36" i="1" s="1"/>
  <c r="AR36" i="13"/>
  <c r="C20" i="25"/>
  <c r="AQ19" i="13"/>
  <c r="AD19" i="13"/>
  <c r="AD73" i="13"/>
  <c r="C74" i="25"/>
  <c r="AQ73" i="13"/>
  <c r="C18" i="25"/>
  <c r="AQ17" i="13"/>
  <c r="AD17" i="13"/>
  <c r="Y69" i="1"/>
  <c r="BH69" i="1" s="1"/>
  <c r="BJ69" i="1" s="1"/>
  <c r="AQ76" i="13"/>
  <c r="C77" i="25"/>
  <c r="AD76" i="13"/>
  <c r="AR37" i="13"/>
  <c r="Y37" i="1"/>
  <c r="BH37" i="1" s="1"/>
  <c r="BJ37" i="1" s="1"/>
  <c r="AD65" i="13"/>
  <c r="C66" i="25"/>
  <c r="AQ65" i="13"/>
  <c r="C30" i="25"/>
  <c r="AQ29" i="13"/>
  <c r="AD29" i="13"/>
  <c r="C13" i="25"/>
  <c r="AQ12" i="13"/>
  <c r="AD12" i="13"/>
  <c r="AC77" i="13"/>
  <c r="AQ26" i="13"/>
  <c r="AD26" i="13"/>
  <c r="C27" i="25"/>
  <c r="C59" i="25"/>
  <c r="AQ58" i="13"/>
  <c r="AD58" i="13"/>
  <c r="AL33" i="13"/>
  <c r="AN33" i="13"/>
  <c r="AO33" i="13"/>
  <c r="AM33" i="13"/>
  <c r="G34" i="25" s="1"/>
  <c r="AD22" i="13"/>
  <c r="AQ22" i="13"/>
  <c r="C23" i="25"/>
  <c r="AN24" i="13"/>
  <c r="AM24" i="13"/>
  <c r="G25" i="25" s="1"/>
  <c r="AO24" i="13"/>
  <c r="AL24" i="13"/>
  <c r="D12" i="25"/>
  <c r="H77" i="13"/>
  <c r="E29" i="81" s="1"/>
  <c r="G9" i="31"/>
  <c r="G70" i="31" s="1"/>
  <c r="G72" i="31" s="1"/>
  <c r="Q41" i="2" s="1"/>
  <c r="AD31" i="13"/>
  <c r="AQ31" i="13"/>
  <c r="C32" i="25"/>
  <c r="Y20" i="1"/>
  <c r="BH20" i="1" s="1"/>
  <c r="BJ20" i="1" s="1"/>
  <c r="C52" i="25"/>
  <c r="AQ51" i="13"/>
  <c r="AD51" i="13"/>
  <c r="AN11" i="13"/>
  <c r="AO11" i="13"/>
  <c r="AQ34" i="13"/>
  <c r="C35" i="25"/>
  <c r="AD34" i="13"/>
  <c r="AQ33" i="13"/>
  <c r="C34" i="25"/>
  <c r="AD33" i="13"/>
  <c r="C57" i="25"/>
  <c r="AQ56" i="13"/>
  <c r="AD56" i="13"/>
  <c r="G73" i="49"/>
  <c r="AM11" i="13"/>
  <c r="G12" i="25" s="1"/>
  <c r="AQ21" i="13"/>
  <c r="Y21" i="1" s="1"/>
  <c r="BH21" i="1" s="1"/>
  <c r="BJ21" i="1" s="1"/>
  <c r="AQ52" i="13"/>
  <c r="AR52" i="13" s="1"/>
  <c r="AK77" i="13"/>
  <c r="AO77" i="13" s="1"/>
  <c r="AQ15" i="13"/>
  <c r="Y15" i="1" s="1"/>
  <c r="BH15" i="1" s="1"/>
  <c r="BJ15" i="1" s="1"/>
  <c r="L43" i="1"/>
  <c r="M43" i="1" s="1"/>
  <c r="N43" i="1" s="1"/>
  <c r="O43" i="1" s="1"/>
  <c r="P43" i="1" s="1"/>
  <c r="S42" i="67"/>
  <c r="T42" i="67" s="1"/>
  <c r="M41" i="2"/>
  <c r="I41" i="2"/>
  <c r="I75" i="2" s="1"/>
  <c r="BK43" i="1"/>
  <c r="BM43" i="1" s="1"/>
  <c r="AR43" i="13"/>
  <c r="AR28" i="13"/>
  <c r="Y28" i="1"/>
  <c r="BH28" i="1" s="1"/>
  <c r="BJ28" i="1" s="1"/>
  <c r="AQ8" i="13"/>
  <c r="AE77" i="13"/>
  <c r="C49" i="25"/>
  <c r="AD48" i="13"/>
  <c r="AQ48" i="13"/>
  <c r="AQ63" i="13"/>
  <c r="C64" i="25"/>
  <c r="AD63" i="13"/>
  <c r="AQ71" i="13"/>
  <c r="C72" i="25"/>
  <c r="AD71" i="13"/>
  <c r="AD39" i="13"/>
  <c r="AQ39" i="13"/>
  <c r="C40" i="25"/>
  <c r="AQ24" i="13"/>
  <c r="AD24" i="13"/>
  <c r="C25" i="25"/>
  <c r="AD53" i="13"/>
  <c r="AQ53" i="13"/>
  <c r="C54" i="25"/>
  <c r="AM17" i="13"/>
  <c r="G18" i="25" s="1"/>
  <c r="AN17" i="13"/>
  <c r="AO17" i="13"/>
  <c r="AL17" i="13"/>
  <c r="AB77" i="13"/>
  <c r="C38" i="46"/>
  <c r="G31" i="46"/>
  <c r="G38" i="46"/>
  <c r="G9" i="25"/>
  <c r="BP9" i="1"/>
  <c r="AB12" i="1"/>
  <c r="AB56" i="1"/>
  <c r="P24" i="1"/>
  <c r="Q9" i="2" l="1"/>
  <c r="Q13" i="2"/>
  <c r="Q17" i="2"/>
  <c r="Q21" i="2"/>
  <c r="Q26" i="2"/>
  <c r="Q30" i="2"/>
  <c r="Q34" i="2"/>
  <c r="Q38" i="2"/>
  <c r="Q43" i="2"/>
  <c r="Q48" i="2"/>
  <c r="Q52" i="2"/>
  <c r="Q56" i="2"/>
  <c r="Q60" i="2"/>
  <c r="Q64" i="2"/>
  <c r="Q68" i="2"/>
  <c r="Q72" i="2"/>
  <c r="Q7" i="2"/>
  <c r="Q11" i="2"/>
  <c r="Q15" i="2"/>
  <c r="Q19" i="2"/>
  <c r="Q24" i="2"/>
  <c r="Q28" i="2"/>
  <c r="Q32" i="2"/>
  <c r="Q36" i="2"/>
  <c r="Q40" i="2"/>
  <c r="Q46" i="2"/>
  <c r="Q50" i="2"/>
  <c r="Q54" i="2"/>
  <c r="Q58" i="2"/>
  <c r="Q62" i="2"/>
  <c r="Q66" i="2"/>
  <c r="Q70" i="2"/>
  <c r="Q74" i="2"/>
  <c r="J4" i="2"/>
  <c r="J19" i="2" s="1"/>
  <c r="O19" i="2" s="1"/>
  <c r="G14" i="81"/>
  <c r="AR70" i="13"/>
  <c r="AR11" i="13"/>
  <c r="AR68" i="13"/>
  <c r="G74" i="76"/>
  <c r="G74" i="80"/>
  <c r="G82" i="80" s="1"/>
  <c r="G77" i="49"/>
  <c r="E63" i="81" s="1"/>
  <c r="H63" i="81" s="1"/>
  <c r="AR54" i="13"/>
  <c r="Y62" i="1"/>
  <c r="BH62" i="1" s="1"/>
  <c r="BJ62" i="1" s="1"/>
  <c r="Y38" i="1"/>
  <c r="BH38" i="1" s="1"/>
  <c r="BJ38" i="1" s="1"/>
  <c r="G73" i="81"/>
  <c r="G41" i="81"/>
  <c r="AR27" i="13"/>
  <c r="E46" i="81"/>
  <c r="G46" i="81" s="1"/>
  <c r="H73" i="81"/>
  <c r="Y45" i="1"/>
  <c r="BH45" i="1" s="1"/>
  <c r="BJ45" i="1" s="1"/>
  <c r="Y67" i="1"/>
  <c r="BH67" i="1" s="1"/>
  <c r="BJ67" i="1" s="1"/>
  <c r="Y50" i="1"/>
  <c r="BH50" i="1" s="1"/>
  <c r="BJ50" i="1" s="1"/>
  <c r="AL77" i="13"/>
  <c r="Y60" i="1"/>
  <c r="BH60" i="1" s="1"/>
  <c r="BJ60" i="1" s="1"/>
  <c r="Y18" i="1"/>
  <c r="BH18" i="1" s="1"/>
  <c r="BJ18" i="1" s="1"/>
  <c r="Y44" i="1"/>
  <c r="BH44" i="1" s="1"/>
  <c r="BJ44" i="1" s="1"/>
  <c r="Y59" i="1"/>
  <c r="BH59" i="1" s="1"/>
  <c r="BJ59" i="1" s="1"/>
  <c r="R10" i="1"/>
  <c r="AB10" i="1" s="1"/>
  <c r="AB38" i="1"/>
  <c r="AB72" i="1"/>
  <c r="AB45" i="1"/>
  <c r="AB49" i="1"/>
  <c r="AB29" i="1"/>
  <c r="AB21" i="1"/>
  <c r="H20" i="81"/>
  <c r="AB68" i="1"/>
  <c r="AB25" i="1"/>
  <c r="AB22" i="1"/>
  <c r="AB9" i="1"/>
  <c r="H22" i="81"/>
  <c r="AB20" i="1"/>
  <c r="AB18" i="1"/>
  <c r="AB58" i="1"/>
  <c r="AB69" i="1"/>
  <c r="AB62" i="1"/>
  <c r="AB44" i="1"/>
  <c r="AB51" i="1"/>
  <c r="AB67" i="1"/>
  <c r="AB71" i="1"/>
  <c r="AB37" i="1"/>
  <c r="Y61" i="1"/>
  <c r="BH61" i="1" s="1"/>
  <c r="BJ61" i="1" s="1"/>
  <c r="AR42" i="13"/>
  <c r="Y42" i="1"/>
  <c r="BH42" i="1" s="1"/>
  <c r="BJ42" i="1" s="1"/>
  <c r="AR47" i="13"/>
  <c r="Y47" i="1"/>
  <c r="BH47" i="1" s="1"/>
  <c r="BJ47" i="1" s="1"/>
  <c r="AR40" i="13"/>
  <c r="Y40" i="1"/>
  <c r="BH40" i="1" s="1"/>
  <c r="BJ40" i="1" s="1"/>
  <c r="AR23" i="13"/>
  <c r="Y13" i="1"/>
  <c r="BH13" i="1" s="1"/>
  <c r="Y14" i="1"/>
  <c r="BH14" i="1" s="1"/>
  <c r="BJ14" i="1" s="1"/>
  <c r="Y46" i="1"/>
  <c r="BH46" i="1" s="1"/>
  <c r="BJ46" i="1" s="1"/>
  <c r="AN77" i="13"/>
  <c r="AR15" i="13"/>
  <c r="AF77" i="13"/>
  <c r="AR16" i="13"/>
  <c r="AR21" i="13"/>
  <c r="Y72" i="1"/>
  <c r="BH72" i="1" s="1"/>
  <c r="BJ72" i="1" s="1"/>
  <c r="AR72" i="13"/>
  <c r="Y52" i="1"/>
  <c r="BH52" i="1" s="1"/>
  <c r="BJ52" i="1" s="1"/>
  <c r="AR32" i="13"/>
  <c r="Y32" i="1"/>
  <c r="BH32" i="1" s="1"/>
  <c r="BJ32" i="1" s="1"/>
  <c r="AR74" i="13"/>
  <c r="Y74" i="1"/>
  <c r="AQ77" i="13"/>
  <c r="E28" i="81" s="1"/>
  <c r="G28" i="81" s="1"/>
  <c r="C78" i="25"/>
  <c r="AR66" i="13"/>
  <c r="Y66" i="1"/>
  <c r="BH66" i="1" s="1"/>
  <c r="BJ66" i="1" s="1"/>
  <c r="Y9" i="1"/>
  <c r="BH9" i="1" s="1"/>
  <c r="BJ9" i="1" s="1"/>
  <c r="AR9" i="13"/>
  <c r="AR55" i="13"/>
  <c r="Y55" i="1"/>
  <c r="BH55" i="1" s="1"/>
  <c r="BJ55" i="1" s="1"/>
  <c r="Y64" i="1"/>
  <c r="AR64" i="13"/>
  <c r="Y53" i="1"/>
  <c r="BH53" i="1" s="1"/>
  <c r="BJ53" i="1" s="1"/>
  <c r="AR53" i="13"/>
  <c r="AR39" i="13"/>
  <c r="Y39" i="1"/>
  <c r="N41" i="2"/>
  <c r="N75" i="2" s="1"/>
  <c r="E42" i="81" s="1"/>
  <c r="G42" i="81" s="1"/>
  <c r="M75" i="2"/>
  <c r="Y34" i="1"/>
  <c r="BH34" i="1" s="1"/>
  <c r="BJ34" i="1" s="1"/>
  <c r="AR34" i="13"/>
  <c r="Y51" i="1"/>
  <c r="BH51" i="1" s="1"/>
  <c r="BJ51" i="1" s="1"/>
  <c r="AR51" i="13"/>
  <c r="D78" i="25"/>
  <c r="AR22" i="13"/>
  <c r="Y22" i="1"/>
  <c r="Y73" i="1"/>
  <c r="AR73" i="13"/>
  <c r="Y19" i="1"/>
  <c r="AR19" i="13"/>
  <c r="BM16" i="1"/>
  <c r="BM77" i="1" s="1"/>
  <c r="BK77" i="1"/>
  <c r="Y48" i="1"/>
  <c r="BH48" i="1" s="1"/>
  <c r="BJ48" i="1" s="1"/>
  <c r="AR48" i="13"/>
  <c r="AR63" i="13"/>
  <c r="Y63" i="1"/>
  <c r="E33" i="81"/>
  <c r="AD77" i="13"/>
  <c r="AR56" i="13"/>
  <c r="Y56" i="1"/>
  <c r="BH56" i="1" s="1"/>
  <c r="BJ56" i="1" s="1"/>
  <c r="AR33" i="13"/>
  <c r="Y33" i="1"/>
  <c r="BH33" i="1" s="1"/>
  <c r="BJ33" i="1" s="1"/>
  <c r="AR31" i="13"/>
  <c r="Y31" i="1"/>
  <c r="BH31" i="1" s="1"/>
  <c r="BJ31" i="1" s="1"/>
  <c r="AR29" i="13"/>
  <c r="Y29" i="1"/>
  <c r="T15" i="67"/>
  <c r="T76" i="67" s="1"/>
  <c r="S76" i="67"/>
  <c r="Y24" i="1"/>
  <c r="BH24" i="1" s="1"/>
  <c r="BJ24" i="1" s="1"/>
  <c r="AR24" i="13"/>
  <c r="Y71" i="1"/>
  <c r="BH71" i="1" s="1"/>
  <c r="BJ71" i="1" s="1"/>
  <c r="AR71" i="13"/>
  <c r="Y8" i="1"/>
  <c r="BH8" i="1" s="1"/>
  <c r="BJ8" i="1" s="1"/>
  <c r="AR8" i="13"/>
  <c r="BN43" i="1"/>
  <c r="BP43" i="1" s="1"/>
  <c r="R43" i="1"/>
  <c r="Y12" i="1"/>
  <c r="BH12" i="1" s="1"/>
  <c r="BJ12" i="1" s="1"/>
  <c r="AR12" i="13"/>
  <c r="Y76" i="1"/>
  <c r="AR76" i="13"/>
  <c r="AR17" i="13"/>
  <c r="Y17" i="1"/>
  <c r="BH17" i="1" s="1"/>
  <c r="BJ17" i="1" s="1"/>
  <c r="AM77" i="13"/>
  <c r="E30" i="81" s="1"/>
  <c r="H29" i="81"/>
  <c r="G29" i="81"/>
  <c r="Y58" i="1"/>
  <c r="AR58" i="13"/>
  <c r="AR26" i="13"/>
  <c r="Y26" i="1"/>
  <c r="AR65" i="13"/>
  <c r="Y65" i="1"/>
  <c r="M16" i="1"/>
  <c r="N16" i="1" s="1"/>
  <c r="L77" i="1"/>
  <c r="G12" i="81"/>
  <c r="H12" i="81"/>
  <c r="G78" i="25"/>
  <c r="BN24" i="1"/>
  <c r="R24" i="1"/>
  <c r="J53" i="2" l="1"/>
  <c r="O53" i="2" s="1"/>
  <c r="R53" i="2" s="1"/>
  <c r="AM55" i="1" s="1"/>
  <c r="AN55" i="1" s="1"/>
  <c r="G63" i="81"/>
  <c r="Q75" i="2"/>
  <c r="E40" i="81" s="1"/>
  <c r="G40" i="81" s="1"/>
  <c r="V76" i="2"/>
  <c r="V77" i="2" s="1"/>
  <c r="H46" i="81"/>
  <c r="G70" i="81"/>
  <c r="H70" i="81"/>
  <c r="E2" i="25"/>
  <c r="H2" i="25"/>
  <c r="J41" i="2"/>
  <c r="O41" i="2" s="1"/>
  <c r="R41" i="2" s="1"/>
  <c r="AM43" i="1" s="1"/>
  <c r="J40" i="2"/>
  <c r="O40" i="2" s="1"/>
  <c r="AI42" i="1" s="1"/>
  <c r="AJ42" i="1" s="1"/>
  <c r="J29" i="2"/>
  <c r="O29" i="2" s="1"/>
  <c r="AI31" i="1" s="1"/>
  <c r="AJ31" i="1" s="1"/>
  <c r="J64" i="2"/>
  <c r="O64" i="2" s="1"/>
  <c r="R64" i="2" s="1"/>
  <c r="AM66" i="1" s="1"/>
  <c r="AN66" i="1" s="1"/>
  <c r="J54" i="2"/>
  <c r="O54" i="2" s="1"/>
  <c r="AI56" i="1" s="1"/>
  <c r="AJ56" i="1" s="1"/>
  <c r="J49" i="2"/>
  <c r="O49" i="2" s="1"/>
  <c r="AI51" i="1" s="1"/>
  <c r="AJ51" i="1" s="1"/>
  <c r="J26" i="2"/>
  <c r="O26" i="2" s="1"/>
  <c r="AI28" i="1" s="1"/>
  <c r="AJ28" i="1" s="1"/>
  <c r="J48" i="2"/>
  <c r="O48" i="2" s="1"/>
  <c r="AI50" i="1" s="1"/>
  <c r="AJ50" i="1" s="1"/>
  <c r="J13" i="2"/>
  <c r="O13" i="2" s="1"/>
  <c r="R13" i="2" s="1"/>
  <c r="AM15" i="1" s="1"/>
  <c r="AN15" i="1" s="1"/>
  <c r="J35" i="2"/>
  <c r="O35" i="2" s="1"/>
  <c r="R35" i="2" s="1"/>
  <c r="AM37" i="1" s="1"/>
  <c r="AN37" i="1" s="1"/>
  <c r="J36" i="2"/>
  <c r="O36" i="2" s="1"/>
  <c r="AI38" i="1" s="1"/>
  <c r="AJ38" i="1" s="1"/>
  <c r="J16" i="2"/>
  <c r="O16" i="2" s="1"/>
  <c r="AI18" i="1" s="1"/>
  <c r="AJ18" i="1" s="1"/>
  <c r="J22" i="2"/>
  <c r="O22" i="2" s="1"/>
  <c r="R22" i="2" s="1"/>
  <c r="AM24" i="1" s="1"/>
  <c r="AN24" i="1" s="1"/>
  <c r="J6" i="2"/>
  <c r="O6" i="2" s="1"/>
  <c r="J70" i="2"/>
  <c r="O70" i="2" s="1"/>
  <c r="R70" i="2" s="1"/>
  <c r="AM72" i="1" s="1"/>
  <c r="AN72" i="1" s="1"/>
  <c r="J61" i="2"/>
  <c r="O61" i="2" s="1"/>
  <c r="AI63" i="1" s="1"/>
  <c r="AJ63" i="1" s="1"/>
  <c r="J20" i="2"/>
  <c r="O20" i="2" s="1"/>
  <c r="R20" i="2" s="1"/>
  <c r="AM22" i="1" s="1"/>
  <c r="AN22" i="1" s="1"/>
  <c r="J33" i="2"/>
  <c r="O33" i="2" s="1"/>
  <c r="AI35" i="1" s="1"/>
  <c r="AJ35" i="1" s="1"/>
  <c r="J52" i="2"/>
  <c r="O52" i="2" s="1"/>
  <c r="AI54" i="1" s="1"/>
  <c r="AJ54" i="1" s="1"/>
  <c r="J68" i="2"/>
  <c r="O68" i="2" s="1"/>
  <c r="R68" i="2" s="1"/>
  <c r="AM70" i="1" s="1"/>
  <c r="AN70" i="1" s="1"/>
  <c r="J32" i="2"/>
  <c r="O32" i="2" s="1"/>
  <c r="AI34" i="1" s="1"/>
  <c r="AJ34" i="1" s="1"/>
  <c r="J28" i="2"/>
  <c r="O28" i="2" s="1"/>
  <c r="AI30" i="1" s="1"/>
  <c r="AJ30" i="1" s="1"/>
  <c r="J21" i="2"/>
  <c r="O21" i="2" s="1"/>
  <c r="AI23" i="1" s="1"/>
  <c r="AJ23" i="1" s="1"/>
  <c r="J57" i="2"/>
  <c r="O57" i="2" s="1"/>
  <c r="AI59" i="1" s="1"/>
  <c r="AJ59" i="1" s="1"/>
  <c r="J10" i="2"/>
  <c r="O10" i="2" s="1"/>
  <c r="R10" i="2" s="1"/>
  <c r="AM12" i="1" s="1"/>
  <c r="AN12" i="1" s="1"/>
  <c r="J23" i="2"/>
  <c r="O23" i="2" s="1"/>
  <c r="AI25" i="1" s="1"/>
  <c r="AJ25" i="1" s="1"/>
  <c r="J39" i="2"/>
  <c r="O39" i="2" s="1"/>
  <c r="R39" i="2" s="1"/>
  <c r="AM41" i="1" s="1"/>
  <c r="AN41" i="1" s="1"/>
  <c r="J58" i="2"/>
  <c r="O58" i="2" s="1"/>
  <c r="R58" i="2" s="1"/>
  <c r="AM60" i="1" s="1"/>
  <c r="AN60" i="1" s="1"/>
  <c r="J74" i="2"/>
  <c r="O74" i="2" s="1"/>
  <c r="R74" i="2" s="1"/>
  <c r="AM76" i="1" s="1"/>
  <c r="AN76" i="1" s="1"/>
  <c r="J59" i="2"/>
  <c r="O59" i="2" s="1"/>
  <c r="R59" i="2" s="1"/>
  <c r="AM61" i="1" s="1"/>
  <c r="AN61" i="1" s="1"/>
  <c r="J55" i="2"/>
  <c r="O55" i="2" s="1"/>
  <c r="R55" i="2" s="1"/>
  <c r="AM57" i="1" s="1"/>
  <c r="AN57" i="1" s="1"/>
  <c r="J34" i="2"/>
  <c r="O34" i="2" s="1"/>
  <c r="AI36" i="1" s="1"/>
  <c r="AJ36" i="1" s="1"/>
  <c r="J69" i="2"/>
  <c r="O69" i="2" s="1"/>
  <c r="R69" i="2" s="1"/>
  <c r="AM71" i="1" s="1"/>
  <c r="AN71" i="1" s="1"/>
  <c r="J8" i="2"/>
  <c r="O8" i="2" s="1"/>
  <c r="R8" i="2" s="1"/>
  <c r="AM10" i="1" s="1"/>
  <c r="AN10" i="1" s="1"/>
  <c r="J43" i="2"/>
  <c r="O43" i="2" s="1"/>
  <c r="R43" i="2" s="1"/>
  <c r="AM45" i="1" s="1"/>
  <c r="AN45" i="1" s="1"/>
  <c r="J37" i="2"/>
  <c r="O37" i="2" s="1"/>
  <c r="R37" i="2" s="1"/>
  <c r="AM39" i="1" s="1"/>
  <c r="AN39" i="1" s="1"/>
  <c r="J56" i="2"/>
  <c r="O56" i="2" s="1"/>
  <c r="AI58" i="1" s="1"/>
  <c r="AJ58" i="1" s="1"/>
  <c r="J72" i="2"/>
  <c r="O72" i="2" s="1"/>
  <c r="AI74" i="1" s="1"/>
  <c r="AJ74" i="1" s="1"/>
  <c r="J51" i="2"/>
  <c r="O51" i="2" s="1"/>
  <c r="AI53" i="1" s="1"/>
  <c r="AJ53" i="1" s="1"/>
  <c r="J47" i="2"/>
  <c r="O47" i="2" s="1"/>
  <c r="AI49" i="1" s="1"/>
  <c r="AJ49" i="1" s="1"/>
  <c r="J30" i="2"/>
  <c r="O30" i="2" s="1"/>
  <c r="R30" i="2" s="1"/>
  <c r="AM32" i="1" s="1"/>
  <c r="AN32" i="1" s="1"/>
  <c r="J65" i="2"/>
  <c r="O65" i="2" s="1"/>
  <c r="R65" i="2" s="1"/>
  <c r="AM67" i="1" s="1"/>
  <c r="AN67" i="1" s="1"/>
  <c r="J14" i="2"/>
  <c r="O14" i="2" s="1"/>
  <c r="AI16" i="1" s="1"/>
  <c r="J27" i="2"/>
  <c r="O27" i="2" s="1"/>
  <c r="AI29" i="1" s="1"/>
  <c r="AJ29" i="1" s="1"/>
  <c r="J46" i="2"/>
  <c r="O46" i="2" s="1"/>
  <c r="R46" i="2" s="1"/>
  <c r="AM48" i="1" s="1"/>
  <c r="AN48" i="1" s="1"/>
  <c r="J62" i="2"/>
  <c r="O62" i="2" s="1"/>
  <c r="R62" i="2" s="1"/>
  <c r="AM64" i="1" s="1"/>
  <c r="AN64" i="1" s="1"/>
  <c r="J15" i="2"/>
  <c r="O15" i="2" s="1"/>
  <c r="AI17" i="1" s="1"/>
  <c r="AJ17" i="1" s="1"/>
  <c r="J11" i="2"/>
  <c r="O11" i="2" s="1"/>
  <c r="AI13" i="1" s="1"/>
  <c r="AJ13" i="1" s="1"/>
  <c r="J9" i="2"/>
  <c r="O9" i="2" s="1"/>
  <c r="R9" i="2" s="1"/>
  <c r="AM11" i="1" s="1"/>
  <c r="AN11" i="1" s="1"/>
  <c r="J45" i="2"/>
  <c r="O45" i="2" s="1"/>
  <c r="AI47" i="1" s="1"/>
  <c r="AJ47" i="1" s="1"/>
  <c r="J73" i="2"/>
  <c r="O73" i="2" s="1"/>
  <c r="R73" i="2" s="1"/>
  <c r="AM75" i="1" s="1"/>
  <c r="AN75" i="1" s="1"/>
  <c r="J12" i="2"/>
  <c r="O12" i="2" s="1"/>
  <c r="R12" i="2" s="1"/>
  <c r="AM14" i="1" s="1"/>
  <c r="AN14" i="1" s="1"/>
  <c r="J25" i="2"/>
  <c r="O25" i="2" s="1"/>
  <c r="R25" i="2" s="1"/>
  <c r="AM27" i="1" s="1"/>
  <c r="AN27" i="1" s="1"/>
  <c r="J44" i="2"/>
  <c r="O44" i="2" s="1"/>
  <c r="R44" i="2" s="1"/>
  <c r="AM46" i="1" s="1"/>
  <c r="AN46" i="1" s="1"/>
  <c r="J60" i="2"/>
  <c r="O60" i="2" s="1"/>
  <c r="R60" i="2" s="1"/>
  <c r="AM62" i="1" s="1"/>
  <c r="AN62" i="1" s="1"/>
  <c r="J7" i="2"/>
  <c r="O7" i="2" s="1"/>
  <c r="R7" i="2" s="1"/>
  <c r="AM9" i="1" s="1"/>
  <c r="AN9" i="1" s="1"/>
  <c r="J63" i="2"/>
  <c r="O63" i="2" s="1"/>
  <c r="AI65" i="1" s="1"/>
  <c r="AJ65" i="1" s="1"/>
  <c r="J67" i="2"/>
  <c r="O67" i="2" s="1"/>
  <c r="R67" i="2" s="1"/>
  <c r="AM69" i="1" s="1"/>
  <c r="AN69" i="1" s="1"/>
  <c r="J38" i="2"/>
  <c r="O38" i="2" s="1"/>
  <c r="R38" i="2" s="1"/>
  <c r="AM40" i="1" s="1"/>
  <c r="AN40" i="1" s="1"/>
  <c r="J71" i="2"/>
  <c r="O71" i="2" s="1"/>
  <c r="AI73" i="1" s="1"/>
  <c r="AJ73" i="1" s="1"/>
  <c r="J18" i="2"/>
  <c r="O18" i="2" s="1"/>
  <c r="AI20" i="1" s="1"/>
  <c r="AJ20" i="1" s="1"/>
  <c r="J31" i="2"/>
  <c r="O31" i="2" s="1"/>
  <c r="AI33" i="1" s="1"/>
  <c r="AJ33" i="1" s="1"/>
  <c r="J50" i="2"/>
  <c r="O50" i="2" s="1"/>
  <c r="R50" i="2" s="1"/>
  <c r="AM52" i="1" s="1"/>
  <c r="AN52" i="1" s="1"/>
  <c r="J66" i="2"/>
  <c r="O66" i="2" s="1"/>
  <c r="R66" i="2" s="1"/>
  <c r="AM68" i="1" s="1"/>
  <c r="AN68" i="1" s="1"/>
  <c r="J24" i="2"/>
  <c r="O24" i="2" s="1"/>
  <c r="AI26" i="1" s="1"/>
  <c r="AJ26" i="1" s="1"/>
  <c r="J42" i="2"/>
  <c r="O42" i="2" s="1"/>
  <c r="AI44" i="1" s="1"/>
  <c r="AJ44" i="1" s="1"/>
  <c r="J17" i="2"/>
  <c r="O17" i="2" s="1"/>
  <c r="R17" i="2" s="1"/>
  <c r="AM19" i="1" s="1"/>
  <c r="AN19" i="1" s="1"/>
  <c r="H42" i="81"/>
  <c r="H28" i="81"/>
  <c r="BH74" i="1"/>
  <c r="BJ74" i="1" s="1"/>
  <c r="AR77" i="13"/>
  <c r="Y77" i="1"/>
  <c r="BH64" i="1"/>
  <c r="BJ64" i="1" s="1"/>
  <c r="BH58" i="1"/>
  <c r="BJ58" i="1" s="1"/>
  <c r="BH29" i="1"/>
  <c r="BJ29" i="1" s="1"/>
  <c r="BH63" i="1"/>
  <c r="BJ63" i="1" s="1"/>
  <c r="BH26" i="1"/>
  <c r="BJ26" i="1" s="1"/>
  <c r="G30" i="81"/>
  <c r="H30" i="81"/>
  <c r="BH73" i="1"/>
  <c r="BJ73" i="1" s="1"/>
  <c r="O16" i="1"/>
  <c r="N77" i="1"/>
  <c r="AB43" i="1"/>
  <c r="BH22" i="1"/>
  <c r="BJ22" i="1" s="1"/>
  <c r="BH65" i="1"/>
  <c r="BJ65" i="1" s="1"/>
  <c r="BH76" i="1"/>
  <c r="BJ76" i="1" s="1"/>
  <c r="H33" i="81"/>
  <c r="G33" i="81"/>
  <c r="BH19" i="1"/>
  <c r="BJ19" i="1" s="1"/>
  <c r="BH39" i="1"/>
  <c r="BJ39" i="1" s="1"/>
  <c r="R19" i="2"/>
  <c r="AM21" i="1" s="1"/>
  <c r="AN21" i="1" s="1"/>
  <c r="AI21" i="1"/>
  <c r="AJ21" i="1" s="1"/>
  <c r="BJ13" i="1"/>
  <c r="BP24" i="1"/>
  <c r="AB24" i="1"/>
  <c r="AI55" i="1" l="1"/>
  <c r="AJ55" i="1" s="1"/>
  <c r="H53" i="25"/>
  <c r="H15" i="25"/>
  <c r="H17" i="25"/>
  <c r="H21" i="25"/>
  <c r="H62" i="25"/>
  <c r="H35" i="25"/>
  <c r="H20" i="25"/>
  <c r="H10" i="25"/>
  <c r="H13" i="25"/>
  <c r="H66" i="25"/>
  <c r="H23" i="25"/>
  <c r="H38" i="25"/>
  <c r="H45" i="25"/>
  <c r="H73" i="25"/>
  <c r="H14" i="25"/>
  <c r="H31" i="25"/>
  <c r="H76" i="25"/>
  <c r="H30" i="25"/>
  <c r="H65" i="25"/>
  <c r="H22" i="25"/>
  <c r="H68" i="25"/>
  <c r="H19" i="25"/>
  <c r="H71" i="25"/>
  <c r="H50" i="25"/>
  <c r="H11" i="25"/>
  <c r="H59" i="25"/>
  <c r="H36" i="25"/>
  <c r="H47" i="25"/>
  <c r="H72" i="25"/>
  <c r="H40" i="25"/>
  <c r="H64" i="25"/>
  <c r="H24" i="25"/>
  <c r="H55" i="25"/>
  <c r="H29" i="25"/>
  <c r="H61" i="25"/>
  <c r="H70" i="25"/>
  <c r="H74" i="25"/>
  <c r="H51" i="25"/>
  <c r="H46" i="25"/>
  <c r="H33" i="25"/>
  <c r="H60" i="25"/>
  <c r="H37" i="25"/>
  <c r="H52" i="25"/>
  <c r="H44" i="25"/>
  <c r="H67" i="25"/>
  <c r="H48" i="25"/>
  <c r="H32" i="25"/>
  <c r="H69" i="25"/>
  <c r="H63" i="25"/>
  <c r="H43" i="25"/>
  <c r="H56" i="25"/>
  <c r="H54" i="25"/>
  <c r="H39" i="25"/>
  <c r="H26" i="25"/>
  <c r="H75" i="25"/>
  <c r="H42" i="25"/>
  <c r="H49" i="25"/>
  <c r="H58" i="25"/>
  <c r="H27" i="25"/>
  <c r="H28" i="25"/>
  <c r="H34" i="25"/>
  <c r="H16" i="25"/>
  <c r="H25" i="25"/>
  <c r="H9" i="25"/>
  <c r="H77" i="25"/>
  <c r="H18" i="25"/>
  <c r="H12" i="25"/>
  <c r="H41" i="25"/>
  <c r="H57" i="25"/>
  <c r="E75" i="25"/>
  <c r="E33" i="25"/>
  <c r="E57" i="25"/>
  <c r="E59" i="25"/>
  <c r="E14" i="25"/>
  <c r="E10" i="25"/>
  <c r="E65" i="25"/>
  <c r="E13" i="25"/>
  <c r="J13" i="25" s="1"/>
  <c r="S12" i="1" s="1"/>
  <c r="T12" i="1" s="1"/>
  <c r="E39" i="25"/>
  <c r="E50" i="25"/>
  <c r="E71" i="25"/>
  <c r="E41" i="25"/>
  <c r="E46" i="25"/>
  <c r="E74" i="25"/>
  <c r="E55" i="25"/>
  <c r="E35" i="25"/>
  <c r="E58" i="25"/>
  <c r="E29" i="25"/>
  <c r="E45" i="25"/>
  <c r="E66" i="25"/>
  <c r="E34" i="25"/>
  <c r="E47" i="25"/>
  <c r="E63" i="25"/>
  <c r="E26" i="25"/>
  <c r="E49" i="25"/>
  <c r="E17" i="25"/>
  <c r="J17" i="25" s="1"/>
  <c r="S16" i="1" s="1"/>
  <c r="E18" i="25"/>
  <c r="E9" i="25"/>
  <c r="E70" i="25"/>
  <c r="E30" i="25"/>
  <c r="E53" i="25"/>
  <c r="E54" i="25"/>
  <c r="E25" i="25"/>
  <c r="E22" i="25"/>
  <c r="E73" i="25"/>
  <c r="E16" i="25"/>
  <c r="E64" i="25"/>
  <c r="E28" i="25"/>
  <c r="E67" i="25"/>
  <c r="E52" i="25"/>
  <c r="E76" i="25"/>
  <c r="E60" i="25"/>
  <c r="E62" i="25"/>
  <c r="E32" i="25"/>
  <c r="E72" i="25"/>
  <c r="E42" i="25"/>
  <c r="E43" i="25"/>
  <c r="E56" i="25"/>
  <c r="E24" i="25"/>
  <c r="E44" i="25"/>
  <c r="E19" i="25"/>
  <c r="E27" i="25"/>
  <c r="E21" i="25"/>
  <c r="E51" i="25"/>
  <c r="E40" i="25"/>
  <c r="E68" i="25"/>
  <c r="J68" i="25" s="1"/>
  <c r="S67" i="1" s="1"/>
  <c r="T67" i="1" s="1"/>
  <c r="E38" i="25"/>
  <c r="E48" i="25"/>
  <c r="E37" i="25"/>
  <c r="E15" i="25"/>
  <c r="E77" i="25"/>
  <c r="E23" i="25"/>
  <c r="J23" i="25" s="1"/>
  <c r="S22" i="1" s="1"/>
  <c r="T22" i="1" s="1"/>
  <c r="E20" i="25"/>
  <c r="E31" i="25"/>
  <c r="E11" i="25"/>
  <c r="E61" i="25"/>
  <c r="J61" i="25" s="1"/>
  <c r="S60" i="1" s="1"/>
  <c r="T60" i="1" s="1"/>
  <c r="E69" i="25"/>
  <c r="E36" i="25"/>
  <c r="E12" i="25"/>
  <c r="R51" i="2"/>
  <c r="AM53" i="1" s="1"/>
  <c r="AN53" i="1" s="1"/>
  <c r="R29" i="2"/>
  <c r="AM31" i="1" s="1"/>
  <c r="AN31" i="1" s="1"/>
  <c r="R23" i="2"/>
  <c r="AM25" i="1" s="1"/>
  <c r="AN25" i="1" s="1"/>
  <c r="R40" i="2"/>
  <c r="AM42" i="1" s="1"/>
  <c r="AN42" i="1" s="1"/>
  <c r="AI64" i="1"/>
  <c r="AJ64" i="1" s="1"/>
  <c r="R49" i="2"/>
  <c r="AM51" i="1" s="1"/>
  <c r="AN51" i="1" s="1"/>
  <c r="AI19" i="1"/>
  <c r="AJ19" i="1" s="1"/>
  <c r="R47" i="2"/>
  <c r="AM49" i="1" s="1"/>
  <c r="AN49" i="1" s="1"/>
  <c r="AI66" i="1"/>
  <c r="AJ66" i="1" s="1"/>
  <c r="AI40" i="1"/>
  <c r="AJ40" i="1" s="1"/>
  <c r="R45" i="2"/>
  <c r="AM47" i="1" s="1"/>
  <c r="AN47" i="1" s="1"/>
  <c r="AI37" i="1"/>
  <c r="AJ37" i="1" s="1"/>
  <c r="R48" i="2"/>
  <c r="AM50" i="1" s="1"/>
  <c r="AN50" i="1" s="1"/>
  <c r="R24" i="2"/>
  <c r="AM26" i="1" s="1"/>
  <c r="AN26" i="1" s="1"/>
  <c r="R16" i="2"/>
  <c r="AM18" i="1" s="1"/>
  <c r="AN18" i="1" s="1"/>
  <c r="AI39" i="1"/>
  <c r="AJ39" i="1" s="1"/>
  <c r="AI15" i="1"/>
  <c r="AJ15" i="1" s="1"/>
  <c r="AI11" i="1"/>
  <c r="AJ11" i="1" s="1"/>
  <c r="AI71" i="1"/>
  <c r="AJ71" i="1" s="1"/>
  <c r="AI62" i="1"/>
  <c r="AJ62" i="1" s="1"/>
  <c r="R61" i="2"/>
  <c r="AM63" i="1" s="1"/>
  <c r="AN63" i="1" s="1"/>
  <c r="AI52" i="1"/>
  <c r="AJ52" i="1" s="1"/>
  <c r="R36" i="2"/>
  <c r="AM38" i="1" s="1"/>
  <c r="AN38" i="1" s="1"/>
  <c r="R54" i="2"/>
  <c r="AM56" i="1" s="1"/>
  <c r="AN56" i="1" s="1"/>
  <c r="AI32" i="1"/>
  <c r="AJ32" i="1" s="1"/>
  <c r="R26" i="2"/>
  <c r="AM28" i="1" s="1"/>
  <c r="AN28" i="1" s="1"/>
  <c r="AI24" i="1"/>
  <c r="AJ24" i="1" s="1"/>
  <c r="AI68" i="1"/>
  <c r="AJ68" i="1" s="1"/>
  <c r="R71" i="2"/>
  <c r="AM73" i="1" s="1"/>
  <c r="AN73" i="1" s="1"/>
  <c r="AI22" i="1"/>
  <c r="AJ22" i="1" s="1"/>
  <c r="AI41" i="1"/>
  <c r="AJ41" i="1" s="1"/>
  <c r="R32" i="2"/>
  <c r="AM34" i="1" s="1"/>
  <c r="AN34" i="1" s="1"/>
  <c r="R56" i="2"/>
  <c r="AM58" i="1" s="1"/>
  <c r="AN58" i="1" s="1"/>
  <c r="AI61" i="1"/>
  <c r="AJ61" i="1" s="1"/>
  <c r="AI27" i="1"/>
  <c r="AJ27" i="1" s="1"/>
  <c r="AI75" i="1"/>
  <c r="AJ75" i="1" s="1"/>
  <c r="R18" i="2"/>
  <c r="AM20" i="1" s="1"/>
  <c r="AN20" i="1" s="1"/>
  <c r="R28" i="2"/>
  <c r="AM30" i="1" s="1"/>
  <c r="AN30" i="1" s="1"/>
  <c r="R52" i="2"/>
  <c r="AM54" i="1" s="1"/>
  <c r="AN54" i="1" s="1"/>
  <c r="AI10" i="1"/>
  <c r="AJ10" i="1" s="1"/>
  <c r="AI69" i="1"/>
  <c r="AJ69" i="1" s="1"/>
  <c r="R42" i="2"/>
  <c r="AM44" i="1" s="1"/>
  <c r="AN44" i="1" s="1"/>
  <c r="R63" i="2"/>
  <c r="AM65" i="1" s="1"/>
  <c r="AN65" i="1" s="1"/>
  <c r="R33" i="2"/>
  <c r="AM35" i="1" s="1"/>
  <c r="AN35" i="1" s="1"/>
  <c r="R15" i="2"/>
  <c r="AM17" i="1" s="1"/>
  <c r="AN17" i="1" s="1"/>
  <c r="AI67" i="1"/>
  <c r="AJ67" i="1" s="1"/>
  <c r="R72" i="2"/>
  <c r="AM74" i="1" s="1"/>
  <c r="AN74" i="1" s="1"/>
  <c r="AI57" i="1"/>
  <c r="AJ57" i="1" s="1"/>
  <c r="R31" i="2"/>
  <c r="AM33" i="1" s="1"/>
  <c r="AN33" i="1" s="1"/>
  <c r="R21" i="2"/>
  <c r="AM23" i="1" s="1"/>
  <c r="AN23" i="1" s="1"/>
  <c r="AI46" i="1"/>
  <c r="AJ46" i="1" s="1"/>
  <c r="AI72" i="1"/>
  <c r="AJ72" i="1" s="1"/>
  <c r="R14" i="2"/>
  <c r="AM16" i="1" s="1"/>
  <c r="AN16" i="1" s="1"/>
  <c r="AI45" i="1"/>
  <c r="AJ45" i="1" s="1"/>
  <c r="AI9" i="1"/>
  <c r="AJ9" i="1" s="1"/>
  <c r="AI48" i="1"/>
  <c r="AJ48" i="1" s="1"/>
  <c r="AI76" i="1"/>
  <c r="AJ76" i="1" s="1"/>
  <c r="AI12" i="1"/>
  <c r="AJ12" i="1" s="1"/>
  <c r="AI14" i="1"/>
  <c r="AJ14" i="1" s="1"/>
  <c r="R11" i="2"/>
  <c r="AM13" i="1" s="1"/>
  <c r="AN13" i="1" s="1"/>
  <c r="R27" i="2"/>
  <c r="AM29" i="1" s="1"/>
  <c r="AN29" i="1" s="1"/>
  <c r="J75" i="2"/>
  <c r="E47" i="81" s="1"/>
  <c r="R34" i="2"/>
  <c r="AM36" i="1" s="1"/>
  <c r="AN36" i="1" s="1"/>
  <c r="AI60" i="1"/>
  <c r="AJ60" i="1" s="1"/>
  <c r="R57" i="2"/>
  <c r="AM59" i="1" s="1"/>
  <c r="AN59" i="1" s="1"/>
  <c r="AI70" i="1"/>
  <c r="AJ70" i="1" s="1"/>
  <c r="H40" i="81"/>
  <c r="AI43" i="1"/>
  <c r="AJ43" i="1" s="1"/>
  <c r="BH77" i="1"/>
  <c r="BJ77" i="1"/>
  <c r="E24" i="81"/>
  <c r="E10" i="81" s="1"/>
  <c r="P16" i="1"/>
  <c r="O77" i="1"/>
  <c r="AN43" i="1"/>
  <c r="AJ16" i="1"/>
  <c r="AI8" i="1"/>
  <c r="O75" i="2"/>
  <c r="R6" i="2"/>
  <c r="J62" i="25" l="1"/>
  <c r="S61" i="1" s="1"/>
  <c r="T61" i="1" s="1"/>
  <c r="X61" i="1" s="1"/>
  <c r="J60" i="25"/>
  <c r="S59" i="1" s="1"/>
  <c r="T59" i="1" s="1"/>
  <c r="U59" i="1" s="1"/>
  <c r="J67" i="25"/>
  <c r="S66" i="1" s="1"/>
  <c r="T66" i="1" s="1"/>
  <c r="W66" i="1" s="1"/>
  <c r="J53" i="25"/>
  <c r="S52" i="1" s="1"/>
  <c r="T52" i="1" s="1"/>
  <c r="U52" i="1" s="1"/>
  <c r="J11" i="25"/>
  <c r="S10" i="1" s="1"/>
  <c r="T10" i="1" s="1"/>
  <c r="Z10" i="1" s="1"/>
  <c r="AC10" i="1" s="1"/>
  <c r="AS10" i="1" s="1"/>
  <c r="J72" i="25"/>
  <c r="S71" i="1" s="1"/>
  <c r="T71" i="1" s="1"/>
  <c r="W71" i="1" s="1"/>
  <c r="J76" i="25"/>
  <c r="S75" i="1" s="1"/>
  <c r="T75" i="1" s="1"/>
  <c r="U75" i="1" s="1"/>
  <c r="J48" i="25"/>
  <c r="S47" i="1" s="1"/>
  <c r="T47" i="1" s="1"/>
  <c r="W47" i="1" s="1"/>
  <c r="J51" i="25"/>
  <c r="S50" i="1" s="1"/>
  <c r="T50" i="1" s="1"/>
  <c r="X50" i="1" s="1"/>
  <c r="J44" i="25"/>
  <c r="S43" i="1" s="1"/>
  <c r="T43" i="1" s="1"/>
  <c r="X43" i="1" s="1"/>
  <c r="J42" i="25"/>
  <c r="S41" i="1" s="1"/>
  <c r="T41" i="1" s="1"/>
  <c r="W41" i="1" s="1"/>
  <c r="J10" i="25"/>
  <c r="S9" i="1" s="1"/>
  <c r="T9" i="1" s="1"/>
  <c r="W9" i="1" s="1"/>
  <c r="J64" i="25"/>
  <c r="S63" i="1" s="1"/>
  <c r="T63" i="1" s="1"/>
  <c r="W63" i="1" s="1"/>
  <c r="J20" i="25"/>
  <c r="S19" i="1" s="1"/>
  <c r="T19" i="1" s="1"/>
  <c r="W19" i="1" s="1"/>
  <c r="J37" i="25"/>
  <c r="S36" i="1" s="1"/>
  <c r="T36" i="1" s="1"/>
  <c r="AA36" i="1" s="1"/>
  <c r="J40" i="25"/>
  <c r="S39" i="1" s="1"/>
  <c r="T39" i="1" s="1"/>
  <c r="AA39" i="1" s="1"/>
  <c r="J19" i="25"/>
  <c r="S18" i="1" s="1"/>
  <c r="T18" i="1" s="1"/>
  <c r="W18" i="1" s="1"/>
  <c r="J43" i="25"/>
  <c r="S42" i="1" s="1"/>
  <c r="T42" i="1" s="1"/>
  <c r="X42" i="1" s="1"/>
  <c r="J36" i="25"/>
  <c r="S35" i="1" s="1"/>
  <c r="T35" i="1" s="1"/>
  <c r="U35" i="1" s="1"/>
  <c r="J15" i="25"/>
  <c r="S14" i="1" s="1"/>
  <c r="T14" i="1" s="1"/>
  <c r="W14" i="1" s="1"/>
  <c r="J27" i="25"/>
  <c r="S26" i="1" s="1"/>
  <c r="T26" i="1" s="1"/>
  <c r="W26" i="1" s="1"/>
  <c r="J56" i="25"/>
  <c r="S55" i="1" s="1"/>
  <c r="T55" i="1" s="1"/>
  <c r="W55" i="1" s="1"/>
  <c r="J32" i="25"/>
  <c r="S31" i="1" s="1"/>
  <c r="T31" i="1" s="1"/>
  <c r="X31" i="1" s="1"/>
  <c r="J52" i="25"/>
  <c r="S51" i="1" s="1"/>
  <c r="T51" i="1" s="1"/>
  <c r="AA51" i="1" s="1"/>
  <c r="J35" i="25"/>
  <c r="S34" i="1" s="1"/>
  <c r="T34" i="1" s="1"/>
  <c r="U34" i="1" s="1"/>
  <c r="J41" i="25"/>
  <c r="S40" i="1" s="1"/>
  <c r="T40" i="1" s="1"/>
  <c r="AA40" i="1" s="1"/>
  <c r="J28" i="25"/>
  <c r="S27" i="1" s="1"/>
  <c r="T27" i="1" s="1"/>
  <c r="W27" i="1" s="1"/>
  <c r="J54" i="25"/>
  <c r="S53" i="1" s="1"/>
  <c r="T53" i="1" s="1"/>
  <c r="U53" i="1" s="1"/>
  <c r="J70" i="25"/>
  <c r="S69" i="1" s="1"/>
  <c r="T69" i="1" s="1"/>
  <c r="Z69" i="1" s="1"/>
  <c r="AC69" i="1" s="1"/>
  <c r="J38" i="25"/>
  <c r="S37" i="1" s="1"/>
  <c r="T37" i="1" s="1"/>
  <c r="W37" i="1" s="1"/>
  <c r="U60" i="1"/>
  <c r="Z60" i="1"/>
  <c r="AC60" i="1" s="1"/>
  <c r="X60" i="1"/>
  <c r="W60" i="1"/>
  <c r="AA60" i="1"/>
  <c r="H78" i="25"/>
  <c r="X22" i="1"/>
  <c r="W22" i="1"/>
  <c r="Z22" i="1"/>
  <c r="AC22" i="1" s="1"/>
  <c r="AA22" i="1"/>
  <c r="U22" i="1"/>
  <c r="J50" i="25"/>
  <c r="S49" i="1" s="1"/>
  <c r="T49" i="1" s="1"/>
  <c r="E78" i="25"/>
  <c r="J12" i="25"/>
  <c r="S11" i="1" s="1"/>
  <c r="T11" i="1" s="1"/>
  <c r="J21" i="25"/>
  <c r="S20" i="1" s="1"/>
  <c r="T20" i="1" s="1"/>
  <c r="J24" i="25"/>
  <c r="S23" i="1" s="1"/>
  <c r="T23" i="1" s="1"/>
  <c r="J25" i="25"/>
  <c r="S24" i="1" s="1"/>
  <c r="T24" i="1" s="1"/>
  <c r="J75" i="25"/>
  <c r="S74" i="1" s="1"/>
  <c r="T74" i="1" s="1"/>
  <c r="J46" i="25"/>
  <c r="S45" i="1" s="1"/>
  <c r="T45" i="1" s="1"/>
  <c r="J71" i="25"/>
  <c r="S70" i="1" s="1"/>
  <c r="T70" i="1" s="1"/>
  <c r="J65" i="25"/>
  <c r="S64" i="1" s="1"/>
  <c r="T64" i="1" s="1"/>
  <c r="J14" i="25"/>
  <c r="S13" i="1" s="1"/>
  <c r="T13" i="1" s="1"/>
  <c r="J33" i="25"/>
  <c r="S32" i="1" s="1"/>
  <c r="T32" i="1" s="1"/>
  <c r="J47" i="25"/>
  <c r="S46" i="1" s="1"/>
  <c r="T46" i="1" s="1"/>
  <c r="J31" i="25"/>
  <c r="S30" i="1" s="1"/>
  <c r="T30" i="1" s="1"/>
  <c r="U67" i="1"/>
  <c r="AA67" i="1"/>
  <c r="Z67" i="1"/>
  <c r="AC67" i="1" s="1"/>
  <c r="X67" i="1"/>
  <c r="W67" i="1"/>
  <c r="J9" i="25"/>
  <c r="U12" i="1"/>
  <c r="X12" i="1"/>
  <c r="W12" i="1"/>
  <c r="Z12" i="1"/>
  <c r="AC12" i="1" s="1"/>
  <c r="AA12" i="1"/>
  <c r="J18" i="25"/>
  <c r="S17" i="1" s="1"/>
  <c r="T17" i="1" s="1"/>
  <c r="J16" i="25"/>
  <c r="S15" i="1" s="1"/>
  <c r="T15" i="1" s="1"/>
  <c r="J58" i="25"/>
  <c r="S57" i="1" s="1"/>
  <c r="T57" i="1" s="1"/>
  <c r="J26" i="25"/>
  <c r="S25" i="1" s="1"/>
  <c r="T25" i="1" s="1"/>
  <c r="J29" i="25"/>
  <c r="S28" i="1" s="1"/>
  <c r="T28" i="1" s="1"/>
  <c r="J59" i="25"/>
  <c r="S58" i="1" s="1"/>
  <c r="T58" i="1" s="1"/>
  <c r="J30" i="25"/>
  <c r="S29" i="1" s="1"/>
  <c r="T29" i="1" s="1"/>
  <c r="J73" i="25"/>
  <c r="S72" i="1" s="1"/>
  <c r="T72" i="1" s="1"/>
  <c r="J66" i="25"/>
  <c r="S65" i="1" s="1"/>
  <c r="T65" i="1" s="1"/>
  <c r="J22" i="25"/>
  <c r="S21" i="1" s="1"/>
  <c r="T21" i="1" s="1"/>
  <c r="J69" i="25"/>
  <c r="S68" i="1" s="1"/>
  <c r="T68" i="1" s="1"/>
  <c r="J57" i="25"/>
  <c r="S56" i="1" s="1"/>
  <c r="T56" i="1" s="1"/>
  <c r="J77" i="25"/>
  <c r="S76" i="1" s="1"/>
  <c r="T76" i="1" s="1"/>
  <c r="J34" i="25"/>
  <c r="S33" i="1" s="1"/>
  <c r="T33" i="1" s="1"/>
  <c r="J49" i="25"/>
  <c r="S48" i="1" s="1"/>
  <c r="T48" i="1" s="1"/>
  <c r="J39" i="25"/>
  <c r="S38" i="1" s="1"/>
  <c r="T38" i="1" s="1"/>
  <c r="J63" i="25"/>
  <c r="S62" i="1" s="1"/>
  <c r="T62" i="1" s="1"/>
  <c r="J74" i="25"/>
  <c r="S73" i="1" s="1"/>
  <c r="T73" i="1" s="1"/>
  <c r="J55" i="25"/>
  <c r="S54" i="1" s="1"/>
  <c r="T54" i="1" s="1"/>
  <c r="J45" i="25"/>
  <c r="S44" i="1" s="1"/>
  <c r="T44" i="1" s="1"/>
  <c r="R16" i="1"/>
  <c r="BN16" i="1"/>
  <c r="P77" i="1"/>
  <c r="G24" i="81"/>
  <c r="H24" i="81"/>
  <c r="H47" i="81"/>
  <c r="E43" i="81"/>
  <c r="G47" i="81"/>
  <c r="AM8" i="1"/>
  <c r="AM77" i="1" s="1"/>
  <c r="R75" i="2"/>
  <c r="AI77" i="1"/>
  <c r="AJ77" i="1" s="1"/>
  <c r="AJ8" i="1"/>
  <c r="W61" i="1" l="1"/>
  <c r="W52" i="1"/>
  <c r="U10" i="1"/>
  <c r="V10" i="1" s="1"/>
  <c r="X71" i="1"/>
  <c r="Z9" i="1"/>
  <c r="AC9" i="1" s="1"/>
  <c r="AS9" i="1" s="1"/>
  <c r="Z59" i="1"/>
  <c r="AC59" i="1" s="1"/>
  <c r="AS59" i="1" s="1"/>
  <c r="U43" i="1"/>
  <c r="BB43" i="1" s="1"/>
  <c r="BD43" i="1" s="1"/>
  <c r="AA71" i="1"/>
  <c r="U71" i="1"/>
  <c r="BB71" i="1" s="1"/>
  <c r="BD71" i="1" s="1"/>
  <c r="W59" i="1"/>
  <c r="AA42" i="1"/>
  <c r="X19" i="1"/>
  <c r="Z71" i="1"/>
  <c r="AC71" i="1" s="1"/>
  <c r="AS71" i="1" s="1"/>
  <c r="X59" i="1"/>
  <c r="AA59" i="1"/>
  <c r="AA43" i="1"/>
  <c r="U40" i="1"/>
  <c r="V40" i="1" s="1"/>
  <c r="W34" i="1"/>
  <c r="Z75" i="1"/>
  <c r="AC75" i="1" s="1"/>
  <c r="AS75" i="1" s="1"/>
  <c r="AA47" i="1"/>
  <c r="Z52" i="1"/>
  <c r="AC52" i="1" s="1"/>
  <c r="AS52" i="1" s="1"/>
  <c r="X39" i="1"/>
  <c r="X52" i="1"/>
  <c r="W39" i="1"/>
  <c r="Z14" i="1"/>
  <c r="AC14" i="1" s="1"/>
  <c r="AD14" i="1" s="1"/>
  <c r="AE14" i="1" s="1"/>
  <c r="AF14" i="1" s="1"/>
  <c r="X9" i="1"/>
  <c r="X47" i="1"/>
  <c r="X51" i="1"/>
  <c r="AA14" i="1"/>
  <c r="U9" i="1"/>
  <c r="BB9" i="1" s="1"/>
  <c r="BD9" i="1" s="1"/>
  <c r="U47" i="1"/>
  <c r="V47" i="1" s="1"/>
  <c r="Z51" i="1"/>
  <c r="AC51" i="1" s="1"/>
  <c r="AS51" i="1" s="1"/>
  <c r="U14" i="1"/>
  <c r="V14" i="1" s="1"/>
  <c r="Z66" i="1"/>
  <c r="AC66" i="1" s="1"/>
  <c r="AD66" i="1" s="1"/>
  <c r="AE66" i="1" s="1"/>
  <c r="AA66" i="1"/>
  <c r="U66" i="1"/>
  <c r="V66" i="1" s="1"/>
  <c r="W75" i="1"/>
  <c r="X75" i="1"/>
  <c r="AA41" i="1"/>
  <c r="X66" i="1"/>
  <c r="AA75" i="1"/>
  <c r="X27" i="1"/>
  <c r="AA52" i="1"/>
  <c r="Z39" i="1"/>
  <c r="AC39" i="1" s="1"/>
  <c r="AS39" i="1" s="1"/>
  <c r="W51" i="1"/>
  <c r="U51" i="1"/>
  <c r="V51" i="1" s="1"/>
  <c r="X14" i="1"/>
  <c r="U50" i="1"/>
  <c r="BB50" i="1" s="1"/>
  <c r="BD50" i="1" s="1"/>
  <c r="AA9" i="1"/>
  <c r="Z47" i="1"/>
  <c r="AC47" i="1" s="1"/>
  <c r="AS47" i="1" s="1"/>
  <c r="U61" i="1"/>
  <c r="BB61" i="1" s="1"/>
  <c r="BD61" i="1" s="1"/>
  <c r="AA18" i="1"/>
  <c r="X10" i="1"/>
  <c r="AA61" i="1"/>
  <c r="U39" i="1"/>
  <c r="BB39" i="1" s="1"/>
  <c r="BD39" i="1" s="1"/>
  <c r="Z61" i="1"/>
  <c r="AC61" i="1" s="1"/>
  <c r="AS61" i="1" s="1"/>
  <c r="X26" i="1"/>
  <c r="X63" i="1"/>
  <c r="AA10" i="1"/>
  <c r="W10" i="1"/>
  <c r="W53" i="1"/>
  <c r="F52" i="84" s="1"/>
  <c r="AA31" i="1"/>
  <c r="X41" i="1"/>
  <c r="W42" i="1"/>
  <c r="U55" i="1"/>
  <c r="V55" i="1" s="1"/>
  <c r="W43" i="1"/>
  <c r="Z43" i="1"/>
  <c r="AC43" i="1" s="1"/>
  <c r="AS43" i="1" s="1"/>
  <c r="AT43" i="1" s="1"/>
  <c r="AA69" i="1"/>
  <c r="X18" i="1"/>
  <c r="Z18" i="1"/>
  <c r="AC18" i="1" s="1"/>
  <c r="AS18" i="1" s="1"/>
  <c r="Z34" i="1"/>
  <c r="AC34" i="1" s="1"/>
  <c r="AS34" i="1" s="1"/>
  <c r="Z26" i="1"/>
  <c r="AC26" i="1" s="1"/>
  <c r="AD26" i="1" s="1"/>
  <c r="AE26" i="1" s="1"/>
  <c r="U26" i="1"/>
  <c r="V26" i="1" s="1"/>
  <c r="Z63" i="1"/>
  <c r="AC63" i="1" s="1"/>
  <c r="AD63" i="1" s="1"/>
  <c r="AE63" i="1" s="1"/>
  <c r="U63" i="1"/>
  <c r="V63" i="1" s="1"/>
  <c r="AA50" i="1"/>
  <c r="X53" i="1"/>
  <c r="U18" i="1"/>
  <c r="BB18" i="1" s="1"/>
  <c r="BD18" i="1" s="1"/>
  <c r="X34" i="1"/>
  <c r="AA26" i="1"/>
  <c r="AA63" i="1"/>
  <c r="Z50" i="1"/>
  <c r="AC50" i="1" s="1"/>
  <c r="AS50" i="1" s="1"/>
  <c r="W50" i="1"/>
  <c r="F49" i="83" s="1"/>
  <c r="U41" i="1"/>
  <c r="V41" i="1" s="1"/>
  <c r="Z41" i="1"/>
  <c r="AC41" i="1" s="1"/>
  <c r="AS41" i="1" s="1"/>
  <c r="Z53" i="1"/>
  <c r="AC53" i="1" s="1"/>
  <c r="AS53" i="1" s="1"/>
  <c r="AA34" i="1"/>
  <c r="AA53" i="1"/>
  <c r="U31" i="1"/>
  <c r="V31" i="1" s="1"/>
  <c r="Z19" i="1"/>
  <c r="AC19" i="1" s="1"/>
  <c r="AD19" i="1" s="1"/>
  <c r="AE19" i="1" s="1"/>
  <c r="AA55" i="1"/>
  <c r="W69" i="1"/>
  <c r="U36" i="1"/>
  <c r="V36" i="1" s="1"/>
  <c r="AA35" i="1"/>
  <c r="U42" i="1"/>
  <c r="BB42" i="1" s="1"/>
  <c r="BD42" i="1" s="1"/>
  <c r="AA19" i="1"/>
  <c r="Z55" i="1"/>
  <c r="AC55" i="1" s="1"/>
  <c r="AS55" i="1" s="1"/>
  <c r="Z37" i="1"/>
  <c r="AC37" i="1" s="1"/>
  <c r="AS37" i="1" s="1"/>
  <c r="W36" i="1"/>
  <c r="W35" i="1"/>
  <c r="Z42" i="1"/>
  <c r="AC42" i="1" s="1"/>
  <c r="AS42" i="1" s="1"/>
  <c r="X36" i="1"/>
  <c r="Z36" i="1"/>
  <c r="AC36" i="1" s="1"/>
  <c r="AD36" i="1" s="1"/>
  <c r="AE36" i="1" s="1"/>
  <c r="BE36" i="1" s="1"/>
  <c r="BG36" i="1" s="1"/>
  <c r="U19" i="1"/>
  <c r="V19" i="1" s="1"/>
  <c r="W31" i="1"/>
  <c r="X55" i="1"/>
  <c r="X35" i="1"/>
  <c r="X37" i="1"/>
  <c r="X69" i="1"/>
  <c r="X40" i="1"/>
  <c r="Z31" i="1"/>
  <c r="AC31" i="1" s="1"/>
  <c r="AS31" i="1" s="1"/>
  <c r="U37" i="1"/>
  <c r="BB37" i="1" s="1"/>
  <c r="BD37" i="1" s="1"/>
  <c r="Z35" i="1"/>
  <c r="AC35" i="1" s="1"/>
  <c r="AS35" i="1" s="1"/>
  <c r="U69" i="1"/>
  <c r="BB69" i="1" s="1"/>
  <c r="BD69" i="1" s="1"/>
  <c r="W40" i="1"/>
  <c r="AA37" i="1"/>
  <c r="Z27" i="1"/>
  <c r="AC27" i="1" s="1"/>
  <c r="AS27" i="1" s="1"/>
  <c r="U27" i="1"/>
  <c r="BB27" i="1" s="1"/>
  <c r="BD27" i="1" s="1"/>
  <c r="Z40" i="1"/>
  <c r="AC40" i="1" s="1"/>
  <c r="AD40" i="1" s="1"/>
  <c r="AE40" i="1" s="1"/>
  <c r="AA27" i="1"/>
  <c r="AA38" i="1"/>
  <c r="X38" i="1"/>
  <c r="W38" i="1"/>
  <c r="U38" i="1"/>
  <c r="Z38" i="1"/>
  <c r="AC38" i="1" s="1"/>
  <c r="X25" i="1"/>
  <c r="U25" i="1"/>
  <c r="W25" i="1"/>
  <c r="AA25" i="1"/>
  <c r="Z25" i="1"/>
  <c r="AC25" i="1" s="1"/>
  <c r="BB12" i="1"/>
  <c r="BD12" i="1" s="1"/>
  <c r="V12" i="1"/>
  <c r="U46" i="1"/>
  <c r="Z46" i="1"/>
  <c r="AC46" i="1" s="1"/>
  <c r="X46" i="1"/>
  <c r="AA46" i="1"/>
  <c r="W46" i="1"/>
  <c r="U20" i="1"/>
  <c r="Z20" i="1"/>
  <c r="AC20" i="1" s="1"/>
  <c r="W20" i="1"/>
  <c r="X20" i="1"/>
  <c r="AA20" i="1"/>
  <c r="F46" i="84"/>
  <c r="F46" i="83"/>
  <c r="AA54" i="1"/>
  <c r="X54" i="1"/>
  <c r="U54" i="1"/>
  <c r="W54" i="1"/>
  <c r="Z54" i="1"/>
  <c r="AC54" i="1" s="1"/>
  <c r="U48" i="1"/>
  <c r="W48" i="1"/>
  <c r="X48" i="1"/>
  <c r="AA48" i="1"/>
  <c r="Z48" i="1"/>
  <c r="AC48" i="1" s="1"/>
  <c r="F65" i="84"/>
  <c r="F65" i="83"/>
  <c r="W68" i="1"/>
  <c r="U68" i="1"/>
  <c r="AA68" i="1"/>
  <c r="X68" i="1"/>
  <c r="Z68" i="1"/>
  <c r="AC68" i="1" s="1"/>
  <c r="X29" i="1"/>
  <c r="W29" i="1"/>
  <c r="U29" i="1"/>
  <c r="Z29" i="1"/>
  <c r="AC29" i="1" s="1"/>
  <c r="AA29" i="1"/>
  <c r="X57" i="1"/>
  <c r="W57" i="1"/>
  <c r="AA57" i="1"/>
  <c r="Z57" i="1"/>
  <c r="AC57" i="1" s="1"/>
  <c r="U57" i="1"/>
  <c r="AS12" i="1"/>
  <c r="AD12" i="1"/>
  <c r="AE12" i="1" s="1"/>
  <c r="V34" i="1"/>
  <c r="BB34" i="1"/>
  <c r="BD34" i="1" s="1"/>
  <c r="F25" i="84"/>
  <c r="F25" i="83"/>
  <c r="AS67" i="1"/>
  <c r="AD67" i="1"/>
  <c r="AE67" i="1" s="1"/>
  <c r="U30" i="1"/>
  <c r="Z30" i="1"/>
  <c r="AC30" i="1" s="1"/>
  <c r="W30" i="1"/>
  <c r="AA30" i="1"/>
  <c r="X30" i="1"/>
  <c r="F36" i="83"/>
  <c r="F36" i="84"/>
  <c r="U32" i="1"/>
  <c r="X32" i="1"/>
  <c r="W32" i="1"/>
  <c r="Z32" i="1"/>
  <c r="AC32" i="1" s="1"/>
  <c r="AA32" i="1"/>
  <c r="AA45" i="1"/>
  <c r="U45" i="1"/>
  <c r="X45" i="1"/>
  <c r="Z45" i="1"/>
  <c r="AC45" i="1" s="1"/>
  <c r="W45" i="1"/>
  <c r="BB75" i="1"/>
  <c r="BD75" i="1" s="1"/>
  <c r="V75" i="1"/>
  <c r="F70" i="84"/>
  <c r="F70" i="83"/>
  <c r="AA11" i="1"/>
  <c r="X11" i="1"/>
  <c r="Z11" i="1"/>
  <c r="AC11" i="1" s="1"/>
  <c r="W11" i="1"/>
  <c r="U11" i="1"/>
  <c r="F26" i="84"/>
  <c r="F26" i="83"/>
  <c r="F21" i="84"/>
  <c r="F21" i="83"/>
  <c r="AS60" i="1"/>
  <c r="AD60" i="1"/>
  <c r="AE60" i="1" s="1"/>
  <c r="U44" i="1"/>
  <c r="Z44" i="1"/>
  <c r="AC44" i="1" s="1"/>
  <c r="W44" i="1"/>
  <c r="X44" i="1"/>
  <c r="AA44" i="1"/>
  <c r="F17" i="84"/>
  <c r="F17" i="83"/>
  <c r="U70" i="1"/>
  <c r="W70" i="1"/>
  <c r="Z70" i="1"/>
  <c r="AC70" i="1" s="1"/>
  <c r="AA70" i="1"/>
  <c r="X70" i="1"/>
  <c r="AS69" i="1"/>
  <c r="BB59" i="1"/>
  <c r="BD59" i="1" s="1"/>
  <c r="V59" i="1"/>
  <c r="U73" i="1"/>
  <c r="W73" i="1"/>
  <c r="X73" i="1"/>
  <c r="Z73" i="1"/>
  <c r="AC73" i="1" s="1"/>
  <c r="AA73" i="1"/>
  <c r="W33" i="1"/>
  <c r="X33" i="1"/>
  <c r="U33" i="1"/>
  <c r="AA33" i="1"/>
  <c r="Z33" i="1"/>
  <c r="AC33" i="1" s="1"/>
  <c r="F18" i="84"/>
  <c r="F18" i="83"/>
  <c r="AA21" i="1"/>
  <c r="W21" i="1"/>
  <c r="X21" i="1"/>
  <c r="U21" i="1"/>
  <c r="Z21" i="1"/>
  <c r="AC21" i="1" s="1"/>
  <c r="X58" i="1"/>
  <c r="U58" i="1"/>
  <c r="W58" i="1"/>
  <c r="AA58" i="1"/>
  <c r="Z58" i="1"/>
  <c r="AC58" i="1" s="1"/>
  <c r="AA15" i="1"/>
  <c r="W15" i="1"/>
  <c r="X15" i="1"/>
  <c r="U15" i="1"/>
  <c r="Z15" i="1"/>
  <c r="AC15" i="1" s="1"/>
  <c r="F11" i="84"/>
  <c r="F11" i="83"/>
  <c r="S8" i="1"/>
  <c r="J78" i="25"/>
  <c r="F54" i="84"/>
  <c r="F54" i="83"/>
  <c r="F13" i="83"/>
  <c r="F13" i="84"/>
  <c r="BB35" i="1"/>
  <c r="BD35" i="1" s="1"/>
  <c r="V35" i="1"/>
  <c r="X13" i="1"/>
  <c r="AA13" i="1"/>
  <c r="Z13" i="1"/>
  <c r="AC13" i="1" s="1"/>
  <c r="U13" i="1"/>
  <c r="W13" i="1"/>
  <c r="X74" i="1"/>
  <c r="W74" i="1"/>
  <c r="U74" i="1"/>
  <c r="Z74" i="1"/>
  <c r="AC74" i="1" s="1"/>
  <c r="AA74" i="1"/>
  <c r="BB22" i="1"/>
  <c r="BD22" i="1" s="1"/>
  <c r="V22" i="1"/>
  <c r="F8" i="83"/>
  <c r="F8" i="84"/>
  <c r="V60" i="1"/>
  <c r="BB60" i="1"/>
  <c r="BD60" i="1" s="1"/>
  <c r="U56" i="1"/>
  <c r="W56" i="1"/>
  <c r="X56" i="1"/>
  <c r="AA56" i="1"/>
  <c r="Z56" i="1"/>
  <c r="AC56" i="1" s="1"/>
  <c r="U72" i="1"/>
  <c r="X72" i="1"/>
  <c r="W72" i="1"/>
  <c r="AA72" i="1"/>
  <c r="Z72" i="1"/>
  <c r="AC72" i="1" s="1"/>
  <c r="AD22" i="1"/>
  <c r="AE22" i="1" s="1"/>
  <c r="AS22" i="1"/>
  <c r="U62" i="1"/>
  <c r="W62" i="1"/>
  <c r="AA62" i="1"/>
  <c r="X62" i="1"/>
  <c r="Z62" i="1"/>
  <c r="AC62" i="1" s="1"/>
  <c r="U76" i="1"/>
  <c r="Z76" i="1"/>
  <c r="AC76" i="1" s="1"/>
  <c r="W76" i="1"/>
  <c r="X76" i="1"/>
  <c r="AA76" i="1"/>
  <c r="BB52" i="1"/>
  <c r="BD52" i="1" s="1"/>
  <c r="V52" i="1"/>
  <c r="W65" i="1"/>
  <c r="X65" i="1"/>
  <c r="U65" i="1"/>
  <c r="Z65" i="1"/>
  <c r="AC65" i="1" s="1"/>
  <c r="AA65" i="1"/>
  <c r="U28" i="1"/>
  <c r="AA28" i="1"/>
  <c r="W28" i="1"/>
  <c r="X28" i="1"/>
  <c r="Z28" i="1"/>
  <c r="AC28" i="1" s="1"/>
  <c r="U17" i="1"/>
  <c r="W17" i="1"/>
  <c r="X17" i="1"/>
  <c r="AA17" i="1"/>
  <c r="Z17" i="1"/>
  <c r="AC17" i="1" s="1"/>
  <c r="F66" i="84"/>
  <c r="F66" i="83"/>
  <c r="BB67" i="1"/>
  <c r="BD67" i="1" s="1"/>
  <c r="V67" i="1"/>
  <c r="W64" i="1"/>
  <c r="U64" i="1"/>
  <c r="Z64" i="1"/>
  <c r="AC64" i="1" s="1"/>
  <c r="X64" i="1"/>
  <c r="AA64" i="1"/>
  <c r="U24" i="1"/>
  <c r="X24" i="1"/>
  <c r="Z24" i="1"/>
  <c r="AC24" i="1" s="1"/>
  <c r="AS24" i="1" s="1"/>
  <c r="W24" i="1"/>
  <c r="AA24" i="1"/>
  <c r="F62" i="83"/>
  <c r="F62" i="84"/>
  <c r="Z23" i="1"/>
  <c r="AC23" i="1" s="1"/>
  <c r="AA23" i="1"/>
  <c r="X23" i="1"/>
  <c r="U23" i="1"/>
  <c r="W23" i="1"/>
  <c r="U49" i="1"/>
  <c r="W49" i="1"/>
  <c r="Z49" i="1"/>
  <c r="AC49" i="1" s="1"/>
  <c r="AA49" i="1"/>
  <c r="X49" i="1"/>
  <c r="F40" i="84"/>
  <c r="F40" i="83"/>
  <c r="F59" i="84"/>
  <c r="F59" i="83"/>
  <c r="V53" i="1"/>
  <c r="BB53" i="1"/>
  <c r="BD53" i="1" s="1"/>
  <c r="R9" i="67"/>
  <c r="U9" i="67" s="1"/>
  <c r="Z9" i="67" s="1"/>
  <c r="AT10" i="1"/>
  <c r="G10" i="81"/>
  <c r="H10" i="81"/>
  <c r="AB16" i="1"/>
  <c r="AB77" i="1" s="1"/>
  <c r="T16" i="1"/>
  <c r="U16" i="1" s="1"/>
  <c r="R77" i="1"/>
  <c r="BP16" i="1"/>
  <c r="BP77" i="1" s="1"/>
  <c r="BN77" i="1"/>
  <c r="H43" i="81"/>
  <c r="G43" i="81"/>
  <c r="E39" i="81"/>
  <c r="AN8" i="1"/>
  <c r="AN77" i="1"/>
  <c r="E9" i="83" l="1"/>
  <c r="F33" i="83"/>
  <c r="V9" i="67"/>
  <c r="X9" i="67"/>
  <c r="AA9" i="67" s="1"/>
  <c r="AD59" i="1"/>
  <c r="AE59" i="1" s="1"/>
  <c r="AF59" i="1" s="1"/>
  <c r="F60" i="84"/>
  <c r="F58" i="84"/>
  <c r="F60" i="83"/>
  <c r="F51" i="83"/>
  <c r="F33" i="84"/>
  <c r="F58" i="83"/>
  <c r="F51" i="84"/>
  <c r="AS14" i="1"/>
  <c r="R13" i="67" s="1"/>
  <c r="U13" i="67" s="1"/>
  <c r="Z13" i="67" s="1"/>
  <c r="AD9" i="1"/>
  <c r="AE9" i="1" s="1"/>
  <c r="AF9" i="1" s="1"/>
  <c r="AG40" i="1"/>
  <c r="AH40" i="1" s="1"/>
  <c r="E9" i="84"/>
  <c r="BB10" i="1"/>
  <c r="BD10" i="1" s="1"/>
  <c r="V43" i="1"/>
  <c r="V71" i="1"/>
  <c r="AD71" i="1"/>
  <c r="AE71" i="1" s="1"/>
  <c r="AF71" i="1" s="1"/>
  <c r="F34" i="83"/>
  <c r="F49" i="84"/>
  <c r="F41" i="84"/>
  <c r="F9" i="84"/>
  <c r="F38" i="83"/>
  <c r="F39" i="83"/>
  <c r="F30" i="84"/>
  <c r="F35" i="84"/>
  <c r="F68" i="83"/>
  <c r="F52" i="83"/>
  <c r="F50" i="83"/>
  <c r="F74" i="84"/>
  <c r="AD39" i="1"/>
  <c r="AE39" i="1" s="1"/>
  <c r="AG39" i="1" s="1"/>
  <c r="AO39" i="1" s="1"/>
  <c r="AD34" i="1"/>
  <c r="AE34" i="1" s="1"/>
  <c r="BE34" i="1" s="1"/>
  <c r="BG34" i="1" s="1"/>
  <c r="R42" i="67"/>
  <c r="U42" i="67" s="1"/>
  <c r="Z42" i="67" s="1"/>
  <c r="BB66" i="1"/>
  <c r="BD66" i="1" s="1"/>
  <c r="AD52" i="1"/>
  <c r="AE52" i="1" s="1"/>
  <c r="BE52" i="1" s="1"/>
  <c r="BG52" i="1" s="1"/>
  <c r="BB40" i="1"/>
  <c r="BD40" i="1" s="1"/>
  <c r="BB14" i="1"/>
  <c r="BD14" i="1" s="1"/>
  <c r="AD55" i="1"/>
  <c r="AE55" i="1" s="1"/>
  <c r="BE55" i="1" s="1"/>
  <c r="BG55" i="1" s="1"/>
  <c r="V9" i="1"/>
  <c r="AD27" i="1"/>
  <c r="AE27" i="1" s="1"/>
  <c r="BE27" i="1" s="1"/>
  <c r="BG27" i="1" s="1"/>
  <c r="AS19" i="1"/>
  <c r="AT19" i="1" s="1"/>
  <c r="AD41" i="1"/>
  <c r="AE41" i="1" s="1"/>
  <c r="AF41" i="1" s="1"/>
  <c r="AD51" i="1"/>
  <c r="AE51" i="1" s="1"/>
  <c r="BE51" i="1" s="1"/>
  <c r="BG51" i="1" s="1"/>
  <c r="AD61" i="1"/>
  <c r="AE61" i="1" s="1"/>
  <c r="BE61" i="1" s="1"/>
  <c r="BG61" i="1" s="1"/>
  <c r="AS63" i="1"/>
  <c r="AT63" i="1" s="1"/>
  <c r="V50" i="1"/>
  <c r="E49" i="83" s="1"/>
  <c r="V18" i="1"/>
  <c r="AD53" i="1"/>
  <c r="AE53" i="1" s="1"/>
  <c r="AF53" i="1" s="1"/>
  <c r="AD18" i="1"/>
  <c r="AE18" i="1" s="1"/>
  <c r="BE18" i="1" s="1"/>
  <c r="BG18" i="1" s="1"/>
  <c r="F38" i="84"/>
  <c r="V61" i="1"/>
  <c r="E60" i="84" s="1"/>
  <c r="V39" i="1"/>
  <c r="E38" i="84" s="1"/>
  <c r="BB47" i="1"/>
  <c r="BD47" i="1" s="1"/>
  <c r="AS66" i="1"/>
  <c r="AT66" i="1" s="1"/>
  <c r="AD47" i="1"/>
  <c r="AE47" i="1" s="1"/>
  <c r="BE47" i="1" s="1"/>
  <c r="BG47" i="1" s="1"/>
  <c r="V42" i="1"/>
  <c r="F68" i="84"/>
  <c r="BB51" i="1"/>
  <c r="BD51" i="1" s="1"/>
  <c r="F74" i="83"/>
  <c r="F50" i="84"/>
  <c r="AD75" i="1"/>
  <c r="AE75" i="1" s="1"/>
  <c r="AF75" i="1" s="1"/>
  <c r="BB26" i="1"/>
  <c r="BD26" i="1" s="1"/>
  <c r="V37" i="1"/>
  <c r="BB19" i="1"/>
  <c r="BD19" i="1" s="1"/>
  <c r="AD35" i="1"/>
  <c r="AE35" i="1" s="1"/>
  <c r="BE35" i="1" s="1"/>
  <c r="BG35" i="1" s="1"/>
  <c r="BB31" i="1"/>
  <c r="BD31" i="1" s="1"/>
  <c r="BB36" i="1"/>
  <c r="BD36" i="1" s="1"/>
  <c r="AS36" i="1"/>
  <c r="AT36" i="1" s="1"/>
  <c r="F42" i="83"/>
  <c r="AD10" i="1"/>
  <c r="AE10" i="1" s="1"/>
  <c r="F9" i="83"/>
  <c r="AD43" i="1"/>
  <c r="AE43" i="1" s="1"/>
  <c r="BE43" i="1" s="1"/>
  <c r="BG43" i="1" s="1"/>
  <c r="F42" i="84"/>
  <c r="AS26" i="1"/>
  <c r="R25" i="67" s="1"/>
  <c r="U25" i="67" s="1"/>
  <c r="Z25" i="67" s="1"/>
  <c r="BB41" i="1"/>
  <c r="BD41" i="1" s="1"/>
  <c r="BB55" i="1"/>
  <c r="BD55" i="1" s="1"/>
  <c r="F35" i="83"/>
  <c r="F41" i="83"/>
  <c r="AD69" i="1"/>
  <c r="AE69" i="1" s="1"/>
  <c r="AG69" i="1" s="1"/>
  <c r="F39" i="84"/>
  <c r="AS40" i="1"/>
  <c r="AT40" i="1" s="1"/>
  <c r="BB63" i="1"/>
  <c r="BD63" i="1" s="1"/>
  <c r="AD50" i="1"/>
  <c r="AE50" i="1" s="1"/>
  <c r="BE50" i="1" s="1"/>
  <c r="BG50" i="1" s="1"/>
  <c r="V69" i="1"/>
  <c r="AD37" i="1"/>
  <c r="AE37" i="1" s="1"/>
  <c r="AG37" i="1" s="1"/>
  <c r="F30" i="83"/>
  <c r="AD42" i="1"/>
  <c r="AE42" i="1" s="1"/>
  <c r="BE42" i="1" s="1"/>
  <c r="BG42" i="1" s="1"/>
  <c r="AD31" i="1"/>
  <c r="AE31" i="1" s="1"/>
  <c r="BE31" i="1" s="1"/>
  <c r="BG31" i="1" s="1"/>
  <c r="F34" i="84"/>
  <c r="V27" i="1"/>
  <c r="AD24" i="1"/>
  <c r="AE24" i="1" s="1"/>
  <c r="AF24" i="1" s="1"/>
  <c r="AF36" i="1"/>
  <c r="AF26" i="1"/>
  <c r="BE26" i="1"/>
  <c r="BG26" i="1" s="1"/>
  <c r="AG26" i="1"/>
  <c r="T8" i="1"/>
  <c r="T77" i="1" s="1"/>
  <c r="E27" i="81" s="1"/>
  <c r="H27" i="81" s="1"/>
  <c r="S77" i="1"/>
  <c r="E74" i="83"/>
  <c r="E74" i="84"/>
  <c r="R54" i="67"/>
  <c r="U54" i="67" s="1"/>
  <c r="Z54" i="67" s="1"/>
  <c r="AT55" i="1"/>
  <c r="BB76" i="1"/>
  <c r="BD76" i="1" s="1"/>
  <c r="V76" i="1"/>
  <c r="F61" i="83"/>
  <c r="F61" i="84"/>
  <c r="AT27" i="1"/>
  <c r="R26" i="67"/>
  <c r="U26" i="67" s="1"/>
  <c r="Z26" i="67" s="1"/>
  <c r="AD20" i="1"/>
  <c r="AE20" i="1" s="1"/>
  <c r="AS20" i="1"/>
  <c r="F37" i="84"/>
  <c r="F37" i="83"/>
  <c r="AD21" i="1"/>
  <c r="AE21" i="1" s="1"/>
  <c r="BE21" i="1" s="1"/>
  <c r="BG21" i="1" s="1"/>
  <c r="AS21" i="1"/>
  <c r="BB30" i="1"/>
  <c r="BD30" i="1" s="1"/>
  <c r="V30" i="1"/>
  <c r="BB49" i="1"/>
  <c r="BD49" i="1" s="1"/>
  <c r="V49" i="1"/>
  <c r="BB24" i="1"/>
  <c r="BD24" i="1" s="1"/>
  <c r="V24" i="1"/>
  <c r="V64" i="1"/>
  <c r="BB64" i="1"/>
  <c r="BD64" i="1" s="1"/>
  <c r="E66" i="83"/>
  <c r="E66" i="84"/>
  <c r="AS28" i="1"/>
  <c r="AD28" i="1"/>
  <c r="AE28" i="1" s="1"/>
  <c r="BE28" i="1" s="1"/>
  <c r="BG28" i="1" s="1"/>
  <c r="V28" i="1"/>
  <c r="BB28" i="1"/>
  <c r="BD28" i="1" s="1"/>
  <c r="R41" i="67"/>
  <c r="U41" i="67" s="1"/>
  <c r="Z41" i="67" s="1"/>
  <c r="AT42" i="1"/>
  <c r="BE40" i="1"/>
  <c r="BG40" i="1" s="1"/>
  <c r="AF40" i="1"/>
  <c r="E59" i="84"/>
  <c r="E59" i="83"/>
  <c r="E35" i="84"/>
  <c r="E35" i="83"/>
  <c r="F43" i="84"/>
  <c r="F43" i="83"/>
  <c r="AT53" i="1"/>
  <c r="R52" i="67"/>
  <c r="U52" i="67" s="1"/>
  <c r="Z52" i="67" s="1"/>
  <c r="E46" i="84"/>
  <c r="E46" i="83"/>
  <c r="R17" i="67"/>
  <c r="U17" i="67" s="1"/>
  <c r="Z17" i="67" s="1"/>
  <c r="AT18" i="1"/>
  <c r="F47" i="84"/>
  <c r="F47" i="83"/>
  <c r="V54" i="1"/>
  <c r="BB54" i="1"/>
  <c r="BD54" i="1" s="1"/>
  <c r="AD32" i="1"/>
  <c r="AE32" i="1" s="1"/>
  <c r="BE32" i="1" s="1"/>
  <c r="BG32" i="1" s="1"/>
  <c r="AS32" i="1"/>
  <c r="R21" i="67"/>
  <c r="U21" i="67" s="1"/>
  <c r="Z21" i="67" s="1"/>
  <c r="AT22" i="1"/>
  <c r="AG63" i="1"/>
  <c r="BE63" i="1"/>
  <c r="BG63" i="1" s="1"/>
  <c r="AF63" i="1"/>
  <c r="F71" i="83"/>
  <c r="F71" i="84"/>
  <c r="F55" i="84"/>
  <c r="F55" i="83"/>
  <c r="E65" i="84"/>
  <c r="E65" i="83"/>
  <c r="BB33" i="1"/>
  <c r="BD33" i="1" s="1"/>
  <c r="V33" i="1"/>
  <c r="AD73" i="1"/>
  <c r="AE73" i="1" s="1"/>
  <c r="BE73" i="1" s="1"/>
  <c r="BG73" i="1" s="1"/>
  <c r="AS73" i="1"/>
  <c r="E58" i="84"/>
  <c r="E58" i="83"/>
  <c r="AD70" i="1"/>
  <c r="AE70" i="1" s="1"/>
  <c r="AS70" i="1"/>
  <c r="V57" i="1"/>
  <c r="BB57" i="1"/>
  <c r="BD57" i="1" s="1"/>
  <c r="F28" i="83"/>
  <c r="F28" i="84"/>
  <c r="E52" i="84"/>
  <c r="E52" i="83"/>
  <c r="AT47" i="1"/>
  <c r="R46" i="67"/>
  <c r="U46" i="67" s="1"/>
  <c r="Z46" i="67" s="1"/>
  <c r="F22" i="84"/>
  <c r="F22" i="83"/>
  <c r="AS23" i="1"/>
  <c r="AD23" i="1"/>
  <c r="AE23" i="1" s="1"/>
  <c r="BE23" i="1" s="1"/>
  <c r="BG23" i="1" s="1"/>
  <c r="R74" i="67"/>
  <c r="U74" i="67" s="1"/>
  <c r="Z74" i="67" s="1"/>
  <c r="AT75" i="1"/>
  <c r="F23" i="83"/>
  <c r="F23" i="84"/>
  <c r="F63" i="83"/>
  <c r="F63" i="84"/>
  <c r="F64" i="84"/>
  <c r="F64" i="83"/>
  <c r="AF66" i="1"/>
  <c r="BE66" i="1"/>
  <c r="BG66" i="1" s="1"/>
  <c r="AS62" i="1"/>
  <c r="AD62" i="1"/>
  <c r="AE62" i="1" s="1"/>
  <c r="AF62" i="1" s="1"/>
  <c r="BB62" i="1"/>
  <c r="BD62" i="1" s="1"/>
  <c r="V62" i="1"/>
  <c r="BE22" i="1"/>
  <c r="BG22" i="1" s="1"/>
  <c r="AG22" i="1"/>
  <c r="AG14" i="1"/>
  <c r="BE14" i="1"/>
  <c r="BG14" i="1" s="1"/>
  <c r="AD56" i="1"/>
  <c r="AE56" i="1" s="1"/>
  <c r="AG56" i="1" s="1"/>
  <c r="AS56" i="1"/>
  <c r="BB56" i="1"/>
  <c r="BD56" i="1" s="1"/>
  <c r="V56" i="1"/>
  <c r="AS74" i="1"/>
  <c r="AD74" i="1"/>
  <c r="AE74" i="1" s="1"/>
  <c r="AG74" i="1" s="1"/>
  <c r="F12" i="84"/>
  <c r="F12" i="83"/>
  <c r="AT34" i="1"/>
  <c r="R33" i="67"/>
  <c r="U33" i="67" s="1"/>
  <c r="Z33" i="67" s="1"/>
  <c r="F14" i="84"/>
  <c r="F14" i="83"/>
  <c r="F57" i="84"/>
  <c r="F57" i="83"/>
  <c r="V21" i="1"/>
  <c r="BB21" i="1"/>
  <c r="BD21" i="1" s="1"/>
  <c r="E62" i="84"/>
  <c r="E62" i="83"/>
  <c r="F69" i="84"/>
  <c r="F69" i="83"/>
  <c r="AS44" i="1"/>
  <c r="AD44" i="1"/>
  <c r="AE44" i="1" s="1"/>
  <c r="BE44" i="1" s="1"/>
  <c r="BG44" i="1" s="1"/>
  <c r="BE60" i="1"/>
  <c r="BG60" i="1" s="1"/>
  <c r="AF60" i="1"/>
  <c r="AG60" i="1"/>
  <c r="V11" i="1"/>
  <c r="BB11" i="1"/>
  <c r="BD11" i="1" s="1"/>
  <c r="V45" i="1"/>
  <c r="BB45" i="1"/>
  <c r="BD45" i="1" s="1"/>
  <c r="F31" i="84"/>
  <c r="F31" i="83"/>
  <c r="BE67" i="1"/>
  <c r="BG67" i="1" s="1"/>
  <c r="AG67" i="1"/>
  <c r="AF67" i="1"/>
  <c r="E33" i="84"/>
  <c r="E33" i="83"/>
  <c r="AS57" i="1"/>
  <c r="AD57" i="1"/>
  <c r="AE57" i="1" s="1"/>
  <c r="V68" i="1"/>
  <c r="BB68" i="1"/>
  <c r="BD68" i="1" s="1"/>
  <c r="AS48" i="1"/>
  <c r="AD48" i="1"/>
  <c r="AE48" i="1" s="1"/>
  <c r="AG48" i="1" s="1"/>
  <c r="V48" i="1"/>
  <c r="BB48" i="1"/>
  <c r="BD48" i="1" s="1"/>
  <c r="E39" i="84"/>
  <c r="E39" i="83"/>
  <c r="BB20" i="1"/>
  <c r="BD20" i="1" s="1"/>
  <c r="V20" i="1"/>
  <c r="AD46" i="1"/>
  <c r="AE46" i="1" s="1"/>
  <c r="AG46" i="1" s="1"/>
  <c r="AS46" i="1"/>
  <c r="E11" i="83"/>
  <c r="E11" i="84"/>
  <c r="F24" i="84"/>
  <c r="F24" i="83"/>
  <c r="AD49" i="1"/>
  <c r="AE49" i="1" s="1"/>
  <c r="BE49" i="1" s="1"/>
  <c r="BG49" i="1" s="1"/>
  <c r="AS49" i="1"/>
  <c r="V23" i="1"/>
  <c r="BB23" i="1"/>
  <c r="BD23" i="1" s="1"/>
  <c r="F16" i="84"/>
  <c r="F16" i="83"/>
  <c r="F27" i="84"/>
  <c r="F27" i="83"/>
  <c r="AS65" i="1"/>
  <c r="AD65" i="1"/>
  <c r="AE65" i="1" s="1"/>
  <c r="BE65" i="1" s="1"/>
  <c r="BG65" i="1" s="1"/>
  <c r="R60" i="67"/>
  <c r="U60" i="67" s="1"/>
  <c r="Z60" i="67" s="1"/>
  <c r="AT61" i="1"/>
  <c r="E51" i="83"/>
  <c r="E51" i="84"/>
  <c r="F75" i="83"/>
  <c r="F75" i="84"/>
  <c r="AS72" i="1"/>
  <c r="AD72" i="1"/>
  <c r="AE72" i="1" s="1"/>
  <c r="BB72" i="1"/>
  <c r="BD72" i="1" s="1"/>
  <c r="V72" i="1"/>
  <c r="BB74" i="1"/>
  <c r="BD74" i="1" s="1"/>
  <c r="V74" i="1"/>
  <c r="BB13" i="1"/>
  <c r="BD13" i="1" s="1"/>
  <c r="V13" i="1"/>
  <c r="R34" i="67"/>
  <c r="U34" i="67" s="1"/>
  <c r="Z34" i="67" s="1"/>
  <c r="AT35" i="1"/>
  <c r="E25" i="83"/>
  <c r="E25" i="84"/>
  <c r="R50" i="67"/>
  <c r="U50" i="67" s="1"/>
  <c r="Z50" i="67" s="1"/>
  <c r="AT51" i="1"/>
  <c r="AD15" i="1"/>
  <c r="AE15" i="1" s="1"/>
  <c r="BE15" i="1" s="1"/>
  <c r="BG15" i="1" s="1"/>
  <c r="AS15" i="1"/>
  <c r="V58" i="1"/>
  <c r="BB58" i="1"/>
  <c r="BD58" i="1" s="1"/>
  <c r="AT39" i="1"/>
  <c r="R38" i="67"/>
  <c r="U38" i="67" s="1"/>
  <c r="Z38" i="67" s="1"/>
  <c r="AS33" i="1"/>
  <c r="AD33" i="1"/>
  <c r="AE33" i="1" s="1"/>
  <c r="F32" i="84"/>
  <c r="F32" i="83"/>
  <c r="F72" i="84"/>
  <c r="F72" i="83"/>
  <c r="BB70" i="1"/>
  <c r="BD70" i="1" s="1"/>
  <c r="V70" i="1"/>
  <c r="V44" i="1"/>
  <c r="BB44" i="1"/>
  <c r="BD44" i="1" s="1"/>
  <c r="AT60" i="1"/>
  <c r="R59" i="67"/>
  <c r="U59" i="67" s="1"/>
  <c r="Z59" i="67" s="1"/>
  <c r="AT41" i="1"/>
  <c r="R40" i="67"/>
  <c r="U40" i="67" s="1"/>
  <c r="Z40" i="67" s="1"/>
  <c r="F10" i="84"/>
  <c r="F10" i="83"/>
  <c r="F44" i="84"/>
  <c r="F44" i="83"/>
  <c r="F29" i="84"/>
  <c r="F29" i="83"/>
  <c r="AT67" i="1"/>
  <c r="R66" i="67"/>
  <c r="U66" i="67" s="1"/>
  <c r="Z66" i="67" s="1"/>
  <c r="E54" i="83"/>
  <c r="E54" i="84"/>
  <c r="R30" i="67"/>
  <c r="U30" i="67" s="1"/>
  <c r="Z30" i="67" s="1"/>
  <c r="AT31" i="1"/>
  <c r="BE12" i="1"/>
  <c r="BG12" i="1" s="1"/>
  <c r="AF12" i="1"/>
  <c r="AD29" i="1"/>
  <c r="AE29" i="1" s="1"/>
  <c r="BE29" i="1" s="1"/>
  <c r="BG29" i="1" s="1"/>
  <c r="AS29" i="1"/>
  <c r="AD68" i="1"/>
  <c r="AE68" i="1" s="1"/>
  <c r="AS68" i="1"/>
  <c r="F67" i="84"/>
  <c r="F67" i="83"/>
  <c r="AS54" i="1"/>
  <c r="AD54" i="1"/>
  <c r="AE54" i="1" s="1"/>
  <c r="BE54" i="1" s="1"/>
  <c r="BG54" i="1" s="1"/>
  <c r="F45" i="84"/>
  <c r="F45" i="83"/>
  <c r="V46" i="1"/>
  <c r="BB46" i="1"/>
  <c r="BD46" i="1" s="1"/>
  <c r="V25" i="1"/>
  <c r="BB25" i="1"/>
  <c r="BD25" i="1" s="1"/>
  <c r="AS38" i="1"/>
  <c r="AD38" i="1"/>
  <c r="AE38" i="1" s="1"/>
  <c r="BE38" i="1" s="1"/>
  <c r="BG38" i="1" s="1"/>
  <c r="AT59" i="1"/>
  <c r="R58" i="67"/>
  <c r="U58" i="67" s="1"/>
  <c r="Z58" i="67" s="1"/>
  <c r="F48" i="83"/>
  <c r="F48" i="84"/>
  <c r="R70" i="67"/>
  <c r="U70" i="67" s="1"/>
  <c r="Z70" i="67" s="1"/>
  <c r="AT71" i="1"/>
  <c r="AD64" i="1"/>
  <c r="AE64" i="1" s="1"/>
  <c r="BE64" i="1" s="1"/>
  <c r="BG64" i="1" s="1"/>
  <c r="AS64" i="1"/>
  <c r="E50" i="83"/>
  <c r="E50" i="84"/>
  <c r="AS17" i="1"/>
  <c r="AD17" i="1"/>
  <c r="AE17" i="1" s="1"/>
  <c r="BB17" i="1"/>
  <c r="BD17" i="1" s="1"/>
  <c r="V17" i="1"/>
  <c r="V65" i="1"/>
  <c r="BB65" i="1"/>
  <c r="BD65" i="1" s="1"/>
  <c r="E18" i="84"/>
  <c r="E18" i="83"/>
  <c r="AS76" i="1"/>
  <c r="AD76" i="1"/>
  <c r="AE76" i="1" s="1"/>
  <c r="AG76" i="1" s="1"/>
  <c r="R36" i="67"/>
  <c r="U36" i="67" s="1"/>
  <c r="Z36" i="67" s="1"/>
  <c r="AT37" i="1"/>
  <c r="E21" i="83"/>
  <c r="E21" i="84"/>
  <c r="F73" i="83"/>
  <c r="F73" i="84"/>
  <c r="AS13" i="1"/>
  <c r="AD13" i="1"/>
  <c r="AE13" i="1" s="1"/>
  <c r="BE13" i="1" s="1"/>
  <c r="BG13" i="1" s="1"/>
  <c r="E34" i="83"/>
  <c r="E34" i="84"/>
  <c r="BB15" i="1"/>
  <c r="BD15" i="1" s="1"/>
  <c r="V15" i="1"/>
  <c r="AD58" i="1"/>
  <c r="AE58" i="1" s="1"/>
  <c r="BE58" i="1" s="1"/>
  <c r="BG58" i="1" s="1"/>
  <c r="AS58" i="1"/>
  <c r="F20" i="84"/>
  <c r="F20" i="83"/>
  <c r="AG66" i="1"/>
  <c r="BB73" i="1"/>
  <c r="BD73" i="1" s="1"/>
  <c r="V73" i="1"/>
  <c r="AT69" i="1"/>
  <c r="R68" i="67"/>
  <c r="U68" i="67" s="1"/>
  <c r="Z68" i="67" s="1"/>
  <c r="E30" i="84"/>
  <c r="E30" i="83"/>
  <c r="AG36" i="1"/>
  <c r="E40" i="84"/>
  <c r="E40" i="83"/>
  <c r="AT50" i="1"/>
  <c r="R49" i="67"/>
  <c r="U49" i="67" s="1"/>
  <c r="Z49" i="67" s="1"/>
  <c r="AD11" i="1"/>
  <c r="AE11" i="1" s="1"/>
  <c r="AS11" i="1"/>
  <c r="AS45" i="1"/>
  <c r="AD45" i="1"/>
  <c r="AE45" i="1" s="1"/>
  <c r="BE45" i="1" s="1"/>
  <c r="BG45" i="1" s="1"/>
  <c r="BB32" i="1"/>
  <c r="BD32" i="1" s="1"/>
  <c r="V32" i="1"/>
  <c r="AD30" i="1"/>
  <c r="AE30" i="1" s="1"/>
  <c r="AS30" i="1"/>
  <c r="AT12" i="1"/>
  <c r="R11" i="67"/>
  <c r="U11" i="67" s="1"/>
  <c r="Z11" i="67" s="1"/>
  <c r="F56" i="84"/>
  <c r="F56" i="83"/>
  <c r="V29" i="1"/>
  <c r="BB29" i="1"/>
  <c r="BD29" i="1" s="1"/>
  <c r="BE19" i="1"/>
  <c r="BG19" i="1" s="1"/>
  <c r="AG19" i="1"/>
  <c r="AF19" i="1"/>
  <c r="R51" i="67"/>
  <c r="U51" i="67" s="1"/>
  <c r="Z51" i="67" s="1"/>
  <c r="AT52" i="1"/>
  <c r="F53" i="84"/>
  <c r="F53" i="83"/>
  <c r="AG12" i="1"/>
  <c r="R8" i="67"/>
  <c r="U8" i="67" s="1"/>
  <c r="Z8" i="67" s="1"/>
  <c r="AT9" i="1"/>
  <c r="F19" i="83"/>
  <c r="F19" i="84"/>
  <c r="E13" i="83"/>
  <c r="E13" i="84"/>
  <c r="AD25" i="1"/>
  <c r="AE25" i="1" s="1"/>
  <c r="AG25" i="1" s="1"/>
  <c r="AS25" i="1"/>
  <c r="BB38" i="1"/>
  <c r="BD38" i="1" s="1"/>
  <c r="V38" i="1"/>
  <c r="AF22" i="1"/>
  <c r="BB16" i="1"/>
  <c r="BD16" i="1" s="1"/>
  <c r="V16" i="1"/>
  <c r="E25" i="81"/>
  <c r="Z16" i="1"/>
  <c r="AC16" i="1" s="1"/>
  <c r="W16" i="1"/>
  <c r="AA16" i="1"/>
  <c r="X16" i="1"/>
  <c r="G39" i="81"/>
  <c r="H39" i="81"/>
  <c r="AT24" i="1"/>
  <c r="R23" i="67"/>
  <c r="AG59" i="1" l="1"/>
  <c r="AO59" i="1" s="1"/>
  <c r="BE39" i="1"/>
  <c r="BG39" i="1" s="1"/>
  <c r="AG41" i="1"/>
  <c r="AK41" i="1" s="1"/>
  <c r="AL41" i="1" s="1"/>
  <c r="BE59" i="1"/>
  <c r="BG59" i="1" s="1"/>
  <c r="AB9" i="67"/>
  <c r="AD9" i="67" s="1"/>
  <c r="AF9" i="67" s="1"/>
  <c r="V51" i="67"/>
  <c r="X51" i="67"/>
  <c r="AA51" i="67" s="1"/>
  <c r="V11" i="67"/>
  <c r="X11" i="67"/>
  <c r="AA11" i="67" s="1"/>
  <c r="V49" i="67"/>
  <c r="X49" i="67"/>
  <c r="AA49" i="67" s="1"/>
  <c r="V36" i="67"/>
  <c r="X36" i="67"/>
  <c r="AA36" i="67" s="1"/>
  <c r="V70" i="67"/>
  <c r="X70" i="67"/>
  <c r="V30" i="67"/>
  <c r="X30" i="67"/>
  <c r="AA30" i="67" s="1"/>
  <c r="V50" i="67"/>
  <c r="X50" i="67"/>
  <c r="V34" i="67"/>
  <c r="X34" i="67"/>
  <c r="AA34" i="67" s="1"/>
  <c r="V60" i="67"/>
  <c r="X60" i="67"/>
  <c r="V33" i="67"/>
  <c r="X33" i="67"/>
  <c r="AA33" i="67" s="1"/>
  <c r="V46" i="67"/>
  <c r="X46" i="67"/>
  <c r="V21" i="67"/>
  <c r="X21" i="67"/>
  <c r="AA21" i="67" s="1"/>
  <c r="V17" i="67"/>
  <c r="X17" i="67"/>
  <c r="V41" i="67"/>
  <c r="X41" i="67"/>
  <c r="V54" i="67"/>
  <c r="X54" i="67"/>
  <c r="V25" i="67"/>
  <c r="X25" i="67"/>
  <c r="AA25" i="67" s="1"/>
  <c r="V8" i="67"/>
  <c r="X8" i="67"/>
  <c r="V68" i="67"/>
  <c r="X68" i="67"/>
  <c r="AA68" i="67" s="1"/>
  <c r="V58" i="67"/>
  <c r="X58" i="67"/>
  <c r="V66" i="67"/>
  <c r="X66" i="67"/>
  <c r="AA66" i="67" s="1"/>
  <c r="V40" i="67"/>
  <c r="X40" i="67"/>
  <c r="V59" i="67"/>
  <c r="X59" i="67"/>
  <c r="V38" i="67"/>
  <c r="X38" i="67"/>
  <c r="V74" i="67"/>
  <c r="X74" i="67"/>
  <c r="AA74" i="67" s="1"/>
  <c r="V52" i="67"/>
  <c r="X52" i="67"/>
  <c r="V26" i="67"/>
  <c r="X26" i="67"/>
  <c r="AA26" i="67" s="1"/>
  <c r="V42" i="67"/>
  <c r="X42" i="67"/>
  <c r="V13" i="67"/>
  <c r="X13" i="67"/>
  <c r="AA13" i="67" s="1"/>
  <c r="AG75" i="1"/>
  <c r="AK75" i="1" s="1"/>
  <c r="AL75" i="1" s="1"/>
  <c r="E42" i="84"/>
  <c r="BE9" i="1"/>
  <c r="BG9" i="1" s="1"/>
  <c r="AG27" i="1"/>
  <c r="AO27" i="1" s="1"/>
  <c r="C26" i="33" s="1"/>
  <c r="AG34" i="1"/>
  <c r="AK34" i="1" s="1"/>
  <c r="AL34" i="1" s="1"/>
  <c r="AG9" i="1"/>
  <c r="AH9" i="1" s="1"/>
  <c r="E42" i="83"/>
  <c r="AT14" i="1"/>
  <c r="AG52" i="1"/>
  <c r="AH52" i="1" s="1"/>
  <c r="AG18" i="1"/>
  <c r="AK18" i="1" s="1"/>
  <c r="AL18" i="1" s="1"/>
  <c r="E70" i="83"/>
  <c r="AF39" i="1"/>
  <c r="AF52" i="1"/>
  <c r="AF51" i="1"/>
  <c r="E8" i="84"/>
  <c r="E8" i="83"/>
  <c r="AG51" i="1"/>
  <c r="AK51" i="1" s="1"/>
  <c r="AL51" i="1" s="1"/>
  <c r="AF55" i="1"/>
  <c r="E17" i="83"/>
  <c r="AO40" i="1"/>
  <c r="C39" i="33" s="1"/>
  <c r="E70" i="84"/>
  <c r="AK40" i="1"/>
  <c r="AL40" i="1" s="1"/>
  <c r="E17" i="84"/>
  <c r="AG47" i="1"/>
  <c r="AK47" i="1" s="1"/>
  <c r="AL47" i="1" s="1"/>
  <c r="AG71" i="1"/>
  <c r="AO71" i="1" s="1"/>
  <c r="AG55" i="1"/>
  <c r="AK55" i="1" s="1"/>
  <c r="AL55" i="1" s="1"/>
  <c r="BE41" i="1"/>
  <c r="BG41" i="1" s="1"/>
  <c r="BE71" i="1"/>
  <c r="BG71" i="1" s="1"/>
  <c r="E68" i="83"/>
  <c r="E41" i="84"/>
  <c r="E60" i="83"/>
  <c r="E26" i="83"/>
  <c r="E36" i="83"/>
  <c r="E38" i="83"/>
  <c r="E49" i="84"/>
  <c r="AF34" i="1"/>
  <c r="R18" i="67"/>
  <c r="U18" i="67" s="1"/>
  <c r="Z18" i="67" s="1"/>
  <c r="BE53" i="1"/>
  <c r="BG53" i="1" s="1"/>
  <c r="AT26" i="1"/>
  <c r="AH41" i="1"/>
  <c r="E41" i="83"/>
  <c r="AG53" i="1"/>
  <c r="AK53" i="1" s="1"/>
  <c r="AL53" i="1" s="1"/>
  <c r="E36" i="84"/>
  <c r="AF61" i="1"/>
  <c r="AG61" i="1"/>
  <c r="AO61" i="1" s="1"/>
  <c r="AP61" i="1" s="1"/>
  <c r="D60" i="67" s="1"/>
  <c r="AF18" i="1"/>
  <c r="AF27" i="1"/>
  <c r="BE69" i="1"/>
  <c r="BG69" i="1" s="1"/>
  <c r="R35" i="67"/>
  <c r="U35" i="67" s="1"/>
  <c r="Z35" i="67" s="1"/>
  <c r="R62" i="67"/>
  <c r="U62" i="67" s="1"/>
  <c r="Z62" i="67" s="1"/>
  <c r="AG50" i="1"/>
  <c r="AK50" i="1" s="1"/>
  <c r="AL50" i="1" s="1"/>
  <c r="AF47" i="1"/>
  <c r="AH39" i="1"/>
  <c r="R65" i="67"/>
  <c r="U65" i="67" s="1"/>
  <c r="Z65" i="67" s="1"/>
  <c r="BE75" i="1"/>
  <c r="BG75" i="1" s="1"/>
  <c r="AG42" i="1"/>
  <c r="AK42" i="1" s="1"/>
  <c r="AL42" i="1" s="1"/>
  <c r="AF35" i="1"/>
  <c r="AK39" i="1"/>
  <c r="AL39" i="1" s="1"/>
  <c r="AF42" i="1"/>
  <c r="AF43" i="1"/>
  <c r="AG43" i="1"/>
  <c r="AH43" i="1" s="1"/>
  <c r="BE10" i="1"/>
  <c r="BG10" i="1" s="1"/>
  <c r="AG10" i="1"/>
  <c r="AF10" i="1"/>
  <c r="BE37" i="1"/>
  <c r="BG37" i="1" s="1"/>
  <c r="AG35" i="1"/>
  <c r="AH35" i="1" s="1"/>
  <c r="AF69" i="1"/>
  <c r="AF50" i="1"/>
  <c r="R39" i="67"/>
  <c r="U39" i="67" s="1"/>
  <c r="Z39" i="67" s="1"/>
  <c r="E68" i="84"/>
  <c r="AG31" i="1"/>
  <c r="AH31" i="1" s="1"/>
  <c r="BE24" i="1"/>
  <c r="BG24" i="1" s="1"/>
  <c r="AF37" i="1"/>
  <c r="AF31" i="1"/>
  <c r="E26" i="84"/>
  <c r="AG24" i="1"/>
  <c r="AO24" i="1" s="1"/>
  <c r="AG38" i="1"/>
  <c r="AK38" i="1" s="1"/>
  <c r="AL38" i="1" s="1"/>
  <c r="AG65" i="1"/>
  <c r="AH65" i="1" s="1"/>
  <c r="AG15" i="1"/>
  <c r="AK15" i="1" s="1"/>
  <c r="AL15" i="1" s="1"/>
  <c r="AG23" i="1"/>
  <c r="AO23" i="1" s="1"/>
  <c r="AG73" i="1"/>
  <c r="AK73" i="1" s="1"/>
  <c r="AL73" i="1" s="1"/>
  <c r="AG28" i="1"/>
  <c r="AO28" i="1" s="1"/>
  <c r="AW28" i="1" s="1"/>
  <c r="AG29" i="1"/>
  <c r="AH29" i="1" s="1"/>
  <c r="AG21" i="1"/>
  <c r="AO21" i="1" s="1"/>
  <c r="AF49" i="1"/>
  <c r="AF28" i="1"/>
  <c r="AF45" i="1"/>
  <c r="AF58" i="1"/>
  <c r="AF13" i="1"/>
  <c r="AF54" i="1"/>
  <c r="AF73" i="1"/>
  <c r="AG54" i="1"/>
  <c r="AO54" i="1" s="1"/>
  <c r="AW54" i="1" s="1"/>
  <c r="AG64" i="1"/>
  <c r="AK64" i="1" s="1"/>
  <c r="AL64" i="1" s="1"/>
  <c r="AG32" i="1"/>
  <c r="AO32" i="1" s="1"/>
  <c r="AG44" i="1"/>
  <c r="AH44" i="1" s="1"/>
  <c r="AF32" i="1"/>
  <c r="BE30" i="1"/>
  <c r="BG30" i="1" s="1"/>
  <c r="AG30" i="1"/>
  <c r="AF30" i="1"/>
  <c r="E47" i="84"/>
  <c r="E47" i="83"/>
  <c r="E37" i="84"/>
  <c r="E37" i="83"/>
  <c r="AH25" i="1"/>
  <c r="AO25" i="1"/>
  <c r="AW25" i="1" s="1"/>
  <c r="AK25" i="1"/>
  <c r="AL25" i="1" s="1"/>
  <c r="AF68" i="1"/>
  <c r="BE68" i="1"/>
  <c r="BG68" i="1" s="1"/>
  <c r="AG68" i="1"/>
  <c r="E57" i="83"/>
  <c r="E57" i="84"/>
  <c r="R48" i="67"/>
  <c r="U48" i="67" s="1"/>
  <c r="Z48" i="67" s="1"/>
  <c r="AT49" i="1"/>
  <c r="R43" i="67"/>
  <c r="U43" i="67" s="1"/>
  <c r="Z43" i="67" s="1"/>
  <c r="AT44" i="1"/>
  <c r="R73" i="67"/>
  <c r="U73" i="67" s="1"/>
  <c r="Z73" i="67" s="1"/>
  <c r="AT74" i="1"/>
  <c r="E55" i="84"/>
  <c r="E55" i="83"/>
  <c r="AH22" i="1"/>
  <c r="AO22" i="1"/>
  <c r="AK22" i="1"/>
  <c r="AL22" i="1" s="1"/>
  <c r="E29" i="83"/>
  <c r="E29" i="84"/>
  <c r="AO66" i="1"/>
  <c r="AK66" i="1"/>
  <c r="AL66" i="1" s="1"/>
  <c r="AH66" i="1"/>
  <c r="E14" i="84"/>
  <c r="E14" i="83"/>
  <c r="E64" i="84"/>
  <c r="E64" i="83"/>
  <c r="R22" i="67"/>
  <c r="U22" i="67" s="1"/>
  <c r="Z22" i="67" s="1"/>
  <c r="AT23" i="1"/>
  <c r="AG11" i="1"/>
  <c r="AF11" i="1"/>
  <c r="BE11" i="1"/>
  <c r="BG11" i="1" s="1"/>
  <c r="AO36" i="1"/>
  <c r="AH36" i="1"/>
  <c r="AK36" i="1"/>
  <c r="AL36" i="1" s="1"/>
  <c r="R75" i="67"/>
  <c r="U75" i="67" s="1"/>
  <c r="Z75" i="67" s="1"/>
  <c r="AT76" i="1"/>
  <c r="E19" i="84"/>
  <c r="E19" i="83"/>
  <c r="AF33" i="1"/>
  <c r="BE33" i="1"/>
  <c r="BG33" i="1" s="1"/>
  <c r="AG33" i="1"/>
  <c r="E71" i="83"/>
  <c r="E71" i="84"/>
  <c r="E44" i="84"/>
  <c r="E44" i="83"/>
  <c r="BE70" i="1"/>
  <c r="BG70" i="1" s="1"/>
  <c r="AF70" i="1"/>
  <c r="AG70" i="1"/>
  <c r="AT73" i="1"/>
  <c r="R72" i="67"/>
  <c r="U72" i="67" s="1"/>
  <c r="Z72" i="67" s="1"/>
  <c r="E48" i="83"/>
  <c r="E48" i="84"/>
  <c r="AG17" i="1"/>
  <c r="BE17" i="1"/>
  <c r="BG17" i="1" s="1"/>
  <c r="AF17" i="1"/>
  <c r="R63" i="67"/>
  <c r="U63" i="67" s="1"/>
  <c r="Z63" i="67" s="1"/>
  <c r="AT64" i="1"/>
  <c r="AO74" i="1"/>
  <c r="AW74" i="1" s="1"/>
  <c r="AK74" i="1"/>
  <c r="AL74" i="1" s="1"/>
  <c r="AH74" i="1"/>
  <c r="R31" i="67"/>
  <c r="U31" i="67" s="1"/>
  <c r="Z31" i="67" s="1"/>
  <c r="AT32" i="1"/>
  <c r="R27" i="67"/>
  <c r="U27" i="67" s="1"/>
  <c r="Z27" i="67" s="1"/>
  <c r="AT28" i="1"/>
  <c r="BE20" i="1"/>
  <c r="BG20" i="1" s="1"/>
  <c r="AF20" i="1"/>
  <c r="AG20" i="1"/>
  <c r="AO76" i="1"/>
  <c r="AH76" i="1"/>
  <c r="AK76" i="1"/>
  <c r="AL76" i="1" s="1"/>
  <c r="AK19" i="1"/>
  <c r="AL19" i="1" s="1"/>
  <c r="AO19" i="1"/>
  <c r="AH19" i="1"/>
  <c r="E28" i="84"/>
  <c r="E28" i="83"/>
  <c r="R57" i="67"/>
  <c r="U57" i="67" s="1"/>
  <c r="Z57" i="67" s="1"/>
  <c r="AT58" i="1"/>
  <c r="E16" i="84"/>
  <c r="E16" i="83"/>
  <c r="AT17" i="1"/>
  <c r="R16" i="67"/>
  <c r="U16" i="67" s="1"/>
  <c r="Z16" i="67" s="1"/>
  <c r="AF64" i="1"/>
  <c r="AF38" i="1"/>
  <c r="E45" i="84"/>
  <c r="E45" i="83"/>
  <c r="AF29" i="1"/>
  <c r="E43" i="84"/>
  <c r="E43" i="83"/>
  <c r="AH69" i="1"/>
  <c r="AK69" i="1"/>
  <c r="AL69" i="1" s="1"/>
  <c r="AO69" i="1"/>
  <c r="AT33" i="1"/>
  <c r="R32" i="67"/>
  <c r="U32" i="67" s="1"/>
  <c r="Z32" i="67" s="1"/>
  <c r="AF15" i="1"/>
  <c r="AG13" i="1"/>
  <c r="E73" i="84"/>
  <c r="E73" i="83"/>
  <c r="AH37" i="1"/>
  <c r="AO37" i="1"/>
  <c r="AK37" i="1"/>
  <c r="AL37" i="1" s="1"/>
  <c r="AF65" i="1"/>
  <c r="R45" i="67"/>
  <c r="U45" i="67" s="1"/>
  <c r="Z45" i="67" s="1"/>
  <c r="AT46" i="1"/>
  <c r="AF48" i="1"/>
  <c r="BE48" i="1"/>
  <c r="BG48" i="1" s="1"/>
  <c r="E67" i="83"/>
  <c r="E67" i="84"/>
  <c r="AK14" i="1"/>
  <c r="AL14" i="1" s="1"/>
  <c r="AH14" i="1"/>
  <c r="AO14" i="1"/>
  <c r="AG62" i="1"/>
  <c r="BE62" i="1"/>
  <c r="BG62" i="1" s="1"/>
  <c r="E56" i="83"/>
  <c r="E56" i="84"/>
  <c r="AO63" i="1"/>
  <c r="AK63" i="1"/>
  <c r="AL63" i="1" s="1"/>
  <c r="AH63" i="1"/>
  <c r="E27" i="84"/>
  <c r="E27" i="83"/>
  <c r="E63" i="84"/>
  <c r="E63" i="83"/>
  <c r="AF21" i="1"/>
  <c r="E75" i="84"/>
  <c r="E75" i="83"/>
  <c r="X8" i="1"/>
  <c r="U8" i="1"/>
  <c r="W8" i="1"/>
  <c r="AA8" i="1"/>
  <c r="AA77" i="1" s="1"/>
  <c r="Z8" i="1"/>
  <c r="AC8" i="1" s="1"/>
  <c r="AS8" i="1" s="1"/>
  <c r="AT25" i="1"/>
  <c r="R24" i="67"/>
  <c r="U24" i="67" s="1"/>
  <c r="Z24" i="67" s="1"/>
  <c r="AO12" i="1"/>
  <c r="AH12" i="1"/>
  <c r="AK12" i="1"/>
  <c r="AL12" i="1" s="1"/>
  <c r="E31" i="84"/>
  <c r="E31" i="83"/>
  <c r="AT45" i="1"/>
  <c r="R44" i="67"/>
  <c r="U44" i="67" s="1"/>
  <c r="Z44" i="67" s="1"/>
  <c r="E72" i="83"/>
  <c r="E72" i="84"/>
  <c r="AT13" i="1"/>
  <c r="R12" i="67"/>
  <c r="U12" i="67" s="1"/>
  <c r="Z12" i="67" s="1"/>
  <c r="E24" i="83"/>
  <c r="E24" i="84"/>
  <c r="R53" i="67"/>
  <c r="U53" i="67" s="1"/>
  <c r="Z53" i="67" s="1"/>
  <c r="AT54" i="1"/>
  <c r="R28" i="67"/>
  <c r="U28" i="67" s="1"/>
  <c r="Z28" i="67" s="1"/>
  <c r="AT29" i="1"/>
  <c r="AG58" i="1"/>
  <c r="AT15" i="1"/>
  <c r="R14" i="67"/>
  <c r="U14" i="67" s="1"/>
  <c r="Z14" i="67" s="1"/>
  <c r="E12" i="83"/>
  <c r="E12" i="84"/>
  <c r="AF72" i="1"/>
  <c r="BE72" i="1"/>
  <c r="BG72" i="1" s="1"/>
  <c r="E22" i="84"/>
  <c r="E22" i="83"/>
  <c r="AF46" i="1"/>
  <c r="BE46" i="1"/>
  <c r="BG46" i="1" s="1"/>
  <c r="AO48" i="1"/>
  <c r="AW48" i="1" s="1"/>
  <c r="AK48" i="1"/>
  <c r="AL48" i="1" s="1"/>
  <c r="AH48" i="1"/>
  <c r="R47" i="67"/>
  <c r="U47" i="67" s="1"/>
  <c r="Z47" i="67" s="1"/>
  <c r="AT48" i="1"/>
  <c r="AF57" i="1"/>
  <c r="BE57" i="1"/>
  <c r="BG57" i="1" s="1"/>
  <c r="AH67" i="1"/>
  <c r="AK67" i="1"/>
  <c r="AL67" i="1" s="1"/>
  <c r="AO67" i="1"/>
  <c r="AG45" i="1"/>
  <c r="E10" i="84"/>
  <c r="E10" i="83"/>
  <c r="AF44" i="1"/>
  <c r="AT56" i="1"/>
  <c r="R55" i="67"/>
  <c r="U55" i="67" s="1"/>
  <c r="Z55" i="67" s="1"/>
  <c r="E61" i="84"/>
  <c r="E61" i="83"/>
  <c r="R61" i="67"/>
  <c r="U61" i="67" s="1"/>
  <c r="Z61" i="67" s="1"/>
  <c r="AT62" i="1"/>
  <c r="AF23" i="1"/>
  <c r="E53" i="84"/>
  <c r="E53" i="83"/>
  <c r="E23" i="84"/>
  <c r="E23" i="83"/>
  <c r="R20" i="67"/>
  <c r="U20" i="67" s="1"/>
  <c r="Z20" i="67" s="1"/>
  <c r="AT21" i="1"/>
  <c r="AT20" i="1"/>
  <c r="R19" i="67"/>
  <c r="U19" i="67" s="1"/>
  <c r="Z19" i="67" s="1"/>
  <c r="AK26" i="1"/>
  <c r="AL26" i="1" s="1"/>
  <c r="AO26" i="1"/>
  <c r="AH26" i="1"/>
  <c r="AF25" i="1"/>
  <c r="BE25" i="1"/>
  <c r="BG25" i="1" s="1"/>
  <c r="R29" i="67"/>
  <c r="U29" i="67" s="1"/>
  <c r="Z29" i="67" s="1"/>
  <c r="AT30" i="1"/>
  <c r="R10" i="67"/>
  <c r="U10" i="67" s="1"/>
  <c r="Z10" i="67" s="1"/>
  <c r="AT11" i="1"/>
  <c r="C38" i="33"/>
  <c r="AP39" i="1"/>
  <c r="D38" i="67" s="1"/>
  <c r="AW39" i="1"/>
  <c r="BA39" i="1"/>
  <c r="AF76" i="1"/>
  <c r="BE76" i="1"/>
  <c r="BG76" i="1" s="1"/>
  <c r="R37" i="67"/>
  <c r="U37" i="67" s="1"/>
  <c r="Z37" i="67" s="1"/>
  <c r="AT38" i="1"/>
  <c r="AK46" i="1"/>
  <c r="AL46" i="1" s="1"/>
  <c r="AH46" i="1"/>
  <c r="AO46" i="1"/>
  <c r="AT68" i="1"/>
  <c r="R67" i="67"/>
  <c r="U67" i="67" s="1"/>
  <c r="Z67" i="67" s="1"/>
  <c r="E69" i="83"/>
  <c r="E69" i="84"/>
  <c r="AG72" i="1"/>
  <c r="R71" i="67"/>
  <c r="U71" i="67" s="1"/>
  <c r="Z71" i="67" s="1"/>
  <c r="AT72" i="1"/>
  <c r="AT65" i="1"/>
  <c r="R64" i="67"/>
  <c r="U64" i="67" s="1"/>
  <c r="Z64" i="67" s="1"/>
  <c r="R56" i="67"/>
  <c r="U56" i="67" s="1"/>
  <c r="Z56" i="67" s="1"/>
  <c r="AT57" i="1"/>
  <c r="AO60" i="1"/>
  <c r="AH60" i="1"/>
  <c r="AK60" i="1"/>
  <c r="AL60" i="1" s="1"/>
  <c r="E20" i="83"/>
  <c r="E20" i="84"/>
  <c r="AF74" i="1"/>
  <c r="BE74" i="1"/>
  <c r="BG74" i="1" s="1"/>
  <c r="AH56" i="1"/>
  <c r="AO56" i="1"/>
  <c r="AK56" i="1"/>
  <c r="AL56" i="1" s="1"/>
  <c r="AF56" i="1"/>
  <c r="BE56" i="1"/>
  <c r="BG56" i="1" s="1"/>
  <c r="AG57" i="1"/>
  <c r="AT70" i="1"/>
  <c r="R69" i="67"/>
  <c r="U69" i="67" s="1"/>
  <c r="Z69" i="67" s="1"/>
  <c r="E32" i="84"/>
  <c r="E32" i="83"/>
  <c r="AG49" i="1"/>
  <c r="E15" i="84"/>
  <c r="E15" i="83"/>
  <c r="F15" i="84"/>
  <c r="F15" i="83"/>
  <c r="G27" i="81"/>
  <c r="W77" i="1"/>
  <c r="X77" i="1"/>
  <c r="AD16" i="1"/>
  <c r="AE16" i="1" s="1"/>
  <c r="AF16" i="1" s="1"/>
  <c r="AS16" i="1"/>
  <c r="G25" i="81"/>
  <c r="H25" i="81"/>
  <c r="U23" i="67"/>
  <c r="Z23" i="67" s="1"/>
  <c r="AG9" i="67" l="1"/>
  <c r="Q8" i="72" s="1"/>
  <c r="D43" i="80"/>
  <c r="D45" i="115"/>
  <c r="D45" i="116"/>
  <c r="D43" i="76"/>
  <c r="D45" i="117"/>
  <c r="D45" i="118"/>
  <c r="D45" i="119"/>
  <c r="D45" i="120"/>
  <c r="D45" i="114"/>
  <c r="D45" i="113"/>
  <c r="D23" i="46"/>
  <c r="D21" i="46"/>
  <c r="D34" i="76"/>
  <c r="D34" i="80"/>
  <c r="D36" i="115"/>
  <c r="D36" i="116"/>
  <c r="D36" i="117"/>
  <c r="D36" i="118"/>
  <c r="D36" i="119"/>
  <c r="D36" i="120"/>
  <c r="D36" i="114"/>
  <c r="D36" i="113"/>
  <c r="D66" i="76"/>
  <c r="D66" i="80"/>
  <c r="D68" i="115"/>
  <c r="D68" i="116"/>
  <c r="D68" i="117"/>
  <c r="D68" i="118"/>
  <c r="D68" i="119"/>
  <c r="D68" i="120"/>
  <c r="D68" i="114"/>
  <c r="D68" i="113"/>
  <c r="D61" i="80"/>
  <c r="D63" i="115"/>
  <c r="D63" i="116"/>
  <c r="D61" i="76"/>
  <c r="D63" i="117"/>
  <c r="D63" i="118"/>
  <c r="D63" i="119"/>
  <c r="D63" i="120"/>
  <c r="D63" i="114"/>
  <c r="D63" i="113"/>
  <c r="D70" i="76"/>
  <c r="D70" i="80"/>
  <c r="D72" i="115"/>
  <c r="D72" i="116"/>
  <c r="D72" i="117"/>
  <c r="D72" i="118"/>
  <c r="D72" i="119"/>
  <c r="D72" i="120"/>
  <c r="D72" i="114"/>
  <c r="D72" i="113"/>
  <c r="D23" i="80"/>
  <c r="D25" i="115"/>
  <c r="D23" i="76"/>
  <c r="D25" i="116"/>
  <c r="D25" i="117"/>
  <c r="D25" i="118"/>
  <c r="D25" i="119"/>
  <c r="D25" i="120"/>
  <c r="D25" i="114"/>
  <c r="D25" i="113"/>
  <c r="D45" i="80"/>
  <c r="D47" i="115"/>
  <c r="D47" i="116"/>
  <c r="D45" i="76"/>
  <c r="D47" i="117"/>
  <c r="D47" i="118"/>
  <c r="D47" i="119"/>
  <c r="D47" i="120"/>
  <c r="D47" i="114"/>
  <c r="D47" i="113"/>
  <c r="D39" i="80"/>
  <c r="D41" i="115"/>
  <c r="D41" i="116"/>
  <c r="D39" i="76"/>
  <c r="D41" i="117"/>
  <c r="D41" i="118"/>
  <c r="D41" i="119"/>
  <c r="D41" i="120"/>
  <c r="D41" i="114"/>
  <c r="D41" i="113"/>
  <c r="D38" i="76"/>
  <c r="D38" i="80"/>
  <c r="D40" i="115"/>
  <c r="D40" i="116"/>
  <c r="D40" i="117"/>
  <c r="D40" i="118"/>
  <c r="D40" i="119"/>
  <c r="D40" i="120"/>
  <c r="D40" i="114"/>
  <c r="D40" i="113"/>
  <c r="D35" i="80"/>
  <c r="D37" i="115"/>
  <c r="D37" i="116"/>
  <c r="D35" i="76"/>
  <c r="D37" i="117"/>
  <c r="D37" i="118"/>
  <c r="D37" i="119"/>
  <c r="D37" i="120"/>
  <c r="D37" i="114"/>
  <c r="D37" i="113"/>
  <c r="D44" i="80"/>
  <c r="D46" i="115"/>
  <c r="D46" i="116"/>
  <c r="D44" i="76"/>
  <c r="D46" i="117"/>
  <c r="D46" i="118"/>
  <c r="D46" i="119"/>
  <c r="D46" i="120"/>
  <c r="D46" i="114"/>
  <c r="D46" i="113"/>
  <c r="D57" i="80"/>
  <c r="D59" i="115"/>
  <c r="D59" i="116"/>
  <c r="D57" i="76"/>
  <c r="D59" i="117"/>
  <c r="D59" i="118"/>
  <c r="D59" i="119"/>
  <c r="D59" i="120"/>
  <c r="D59" i="114"/>
  <c r="D59" i="113"/>
  <c r="D64" i="80"/>
  <c r="D66" i="115"/>
  <c r="D66" i="116"/>
  <c r="D64" i="76"/>
  <c r="D66" i="117"/>
  <c r="D66" i="118"/>
  <c r="D66" i="119"/>
  <c r="D66" i="120"/>
  <c r="D66" i="114"/>
  <c r="D66" i="113"/>
  <c r="D9" i="80"/>
  <c r="D11" i="115"/>
  <c r="D9" i="76"/>
  <c r="D11" i="116"/>
  <c r="D11" i="117"/>
  <c r="D11" i="118"/>
  <c r="D11" i="119"/>
  <c r="D11" i="120"/>
  <c r="D11" i="114"/>
  <c r="D11" i="113"/>
  <c r="D73" i="80"/>
  <c r="D75" i="115"/>
  <c r="D75" i="116"/>
  <c r="D73" i="76"/>
  <c r="D75" i="117"/>
  <c r="D75" i="118"/>
  <c r="D75" i="119"/>
  <c r="D75" i="120"/>
  <c r="D75" i="114"/>
  <c r="D75" i="113"/>
  <c r="D33" i="80"/>
  <c r="D35" i="115"/>
  <c r="D35" i="116"/>
  <c r="D33" i="76"/>
  <c r="D35" i="117"/>
  <c r="D35" i="118"/>
  <c r="D35" i="119"/>
  <c r="D35" i="120"/>
  <c r="D35" i="114"/>
  <c r="D35" i="113"/>
  <c r="D12" i="80"/>
  <c r="D14" i="115"/>
  <c r="D12" i="76"/>
  <c r="D14" i="116"/>
  <c r="D14" i="117"/>
  <c r="D14" i="118"/>
  <c r="D14" i="119"/>
  <c r="D14" i="120"/>
  <c r="D14" i="114"/>
  <c r="D14" i="113"/>
  <c r="D47" i="80"/>
  <c r="D49" i="115"/>
  <c r="D49" i="116"/>
  <c r="D47" i="76"/>
  <c r="D49" i="117"/>
  <c r="D49" i="118"/>
  <c r="D49" i="119"/>
  <c r="D49" i="120"/>
  <c r="D49" i="114"/>
  <c r="D49" i="113"/>
  <c r="D52" i="80"/>
  <c r="D54" i="115"/>
  <c r="D54" i="116"/>
  <c r="D52" i="76"/>
  <c r="D54" i="117"/>
  <c r="D54" i="118"/>
  <c r="D54" i="119"/>
  <c r="D54" i="120"/>
  <c r="D54" i="114"/>
  <c r="D54" i="113"/>
  <c r="D37" i="80"/>
  <c r="D39" i="115"/>
  <c r="D39" i="116"/>
  <c r="D37" i="76"/>
  <c r="D39" i="117"/>
  <c r="D39" i="118"/>
  <c r="D39" i="119"/>
  <c r="D39" i="120"/>
  <c r="D39" i="114"/>
  <c r="D39" i="113"/>
  <c r="D15" i="80"/>
  <c r="D17" i="115"/>
  <c r="D15" i="76"/>
  <c r="D17" i="116"/>
  <c r="D17" i="117"/>
  <c r="D17" i="118"/>
  <c r="D17" i="119"/>
  <c r="D17" i="120"/>
  <c r="D17" i="114"/>
  <c r="D17" i="113"/>
  <c r="D60" i="80"/>
  <c r="D62" i="115"/>
  <c r="D76" i="115" s="1"/>
  <c r="D62" i="116"/>
  <c r="D60" i="76"/>
  <c r="D62" i="117"/>
  <c r="D62" i="118"/>
  <c r="D62" i="119"/>
  <c r="D62" i="120"/>
  <c r="D62" i="114"/>
  <c r="D76" i="114" s="1"/>
  <c r="D62" i="113"/>
  <c r="D11" i="80"/>
  <c r="D13" i="115"/>
  <c r="D11" i="76"/>
  <c r="D13" i="116"/>
  <c r="D13" i="117"/>
  <c r="D13" i="118"/>
  <c r="D13" i="119"/>
  <c r="D13" i="120"/>
  <c r="D13" i="114"/>
  <c r="D13" i="113"/>
  <c r="D53" i="80"/>
  <c r="D55" i="115"/>
  <c r="D55" i="116"/>
  <c r="D53" i="76"/>
  <c r="D55" i="117"/>
  <c r="D55" i="118"/>
  <c r="D55" i="119"/>
  <c r="D55" i="120"/>
  <c r="D55" i="114"/>
  <c r="D55" i="113"/>
  <c r="D16" i="80"/>
  <c r="D18" i="115"/>
  <c r="D16" i="76"/>
  <c r="D18" i="116"/>
  <c r="D18" i="117"/>
  <c r="D18" i="118"/>
  <c r="D18" i="119"/>
  <c r="D18" i="120"/>
  <c r="D18" i="114"/>
  <c r="D18" i="113"/>
  <c r="D71" i="80"/>
  <c r="D73" i="115"/>
  <c r="D73" i="116"/>
  <c r="D71" i="76"/>
  <c r="D73" i="117"/>
  <c r="D73" i="118"/>
  <c r="D73" i="119"/>
  <c r="D73" i="120"/>
  <c r="D73" i="114"/>
  <c r="D73" i="113"/>
  <c r="D63" i="80"/>
  <c r="D65" i="115"/>
  <c r="D65" i="116"/>
  <c r="D63" i="76"/>
  <c r="D65" i="117"/>
  <c r="D65" i="118"/>
  <c r="D65" i="119"/>
  <c r="D65" i="120"/>
  <c r="D65" i="114"/>
  <c r="D65" i="113"/>
  <c r="D19" i="80"/>
  <c r="D21" i="115"/>
  <c r="D19" i="76"/>
  <c r="D21" i="116"/>
  <c r="D21" i="117"/>
  <c r="D21" i="118"/>
  <c r="D21" i="119"/>
  <c r="D21" i="120"/>
  <c r="D21" i="114"/>
  <c r="D21" i="113"/>
  <c r="D22" i="76"/>
  <c r="D22" i="80"/>
  <c r="D24" i="115"/>
  <c r="D24" i="116"/>
  <c r="D24" i="117"/>
  <c r="D24" i="118"/>
  <c r="D24" i="119"/>
  <c r="D24" i="120"/>
  <c r="D24" i="114"/>
  <c r="D24" i="113"/>
  <c r="D36" i="80"/>
  <c r="D38" i="115"/>
  <c r="D38" i="116"/>
  <c r="D36" i="76"/>
  <c r="D38" i="117"/>
  <c r="D38" i="118"/>
  <c r="D38" i="119"/>
  <c r="D38" i="120"/>
  <c r="D38" i="114"/>
  <c r="D38" i="113"/>
  <c r="D50" i="76"/>
  <c r="D50" i="80"/>
  <c r="D52" i="115"/>
  <c r="D52" i="116"/>
  <c r="D52" i="117"/>
  <c r="D52" i="118"/>
  <c r="D52" i="119"/>
  <c r="D52" i="120"/>
  <c r="D52" i="114"/>
  <c r="D33" i="46"/>
  <c r="D52" i="113"/>
  <c r="D35" i="46"/>
  <c r="D48" i="80"/>
  <c r="D50" i="115"/>
  <c r="D50" i="116"/>
  <c r="D48" i="76"/>
  <c r="D50" i="117"/>
  <c r="D50" i="118"/>
  <c r="D50" i="119"/>
  <c r="D50" i="120"/>
  <c r="D50" i="114"/>
  <c r="D50" i="113"/>
  <c r="D31" i="80"/>
  <c r="D33" i="115"/>
  <c r="D33" i="116"/>
  <c r="D31" i="76"/>
  <c r="D33" i="117"/>
  <c r="D33" i="118"/>
  <c r="D33" i="119"/>
  <c r="D33" i="120"/>
  <c r="D33" i="114"/>
  <c r="D33" i="113"/>
  <c r="D72" i="80"/>
  <c r="D74" i="115"/>
  <c r="D74" i="116"/>
  <c r="D72" i="76"/>
  <c r="D74" i="117"/>
  <c r="D74" i="118"/>
  <c r="D74" i="119"/>
  <c r="D74" i="120"/>
  <c r="D74" i="114"/>
  <c r="D74" i="113"/>
  <c r="AO41" i="1"/>
  <c r="AP41" i="1" s="1"/>
  <c r="AB13" i="67"/>
  <c r="AD13" i="67" s="1"/>
  <c r="AF13" i="67" s="1"/>
  <c r="AB26" i="67"/>
  <c r="AD26" i="67" s="1"/>
  <c r="AF26" i="67" s="1"/>
  <c r="AB74" i="67"/>
  <c r="P73" i="100" s="1"/>
  <c r="AB66" i="67"/>
  <c r="AD66" i="67" s="1"/>
  <c r="AF66" i="67" s="1"/>
  <c r="AB68" i="67"/>
  <c r="AD68" i="67" s="1"/>
  <c r="AF68" i="67" s="1"/>
  <c r="AB25" i="67"/>
  <c r="P24" i="100" s="1"/>
  <c r="AB21" i="67"/>
  <c r="P20" i="100" s="1"/>
  <c r="AB33" i="67"/>
  <c r="AD33" i="67" s="1"/>
  <c r="AF33" i="67" s="1"/>
  <c r="AB34" i="67"/>
  <c r="AD34" i="67" s="1"/>
  <c r="AF34" i="67" s="1"/>
  <c r="AB30" i="67"/>
  <c r="P29" i="100" s="1"/>
  <c r="AB36" i="67"/>
  <c r="AD36" i="67" s="1"/>
  <c r="AF36" i="67" s="1"/>
  <c r="AB11" i="67"/>
  <c r="AD11" i="67" s="1"/>
  <c r="AF11" i="67" s="1"/>
  <c r="AH59" i="1"/>
  <c r="AK59" i="1"/>
  <c r="AL59" i="1" s="1"/>
  <c r="AO75" i="1"/>
  <c r="AP75" i="1" s="1"/>
  <c r="D74" i="67" s="1"/>
  <c r="AH75" i="1"/>
  <c r="AO34" i="1"/>
  <c r="C33" i="33" s="1"/>
  <c r="AH34" i="1"/>
  <c r="AB49" i="67"/>
  <c r="AD49" i="67" s="1"/>
  <c r="AF49" i="67" s="1"/>
  <c r="AB51" i="67"/>
  <c r="P50" i="100" s="1"/>
  <c r="AW40" i="1"/>
  <c r="AV40" i="1" s="1"/>
  <c r="AP27" i="1"/>
  <c r="AK27" i="1"/>
  <c r="AL27" i="1" s="1"/>
  <c r="AH27" i="1"/>
  <c r="P8" i="100"/>
  <c r="V69" i="67"/>
  <c r="X69" i="67"/>
  <c r="AA69" i="67" s="1"/>
  <c r="V56" i="67"/>
  <c r="X56" i="67"/>
  <c r="AA56" i="67" s="1"/>
  <c r="V20" i="67"/>
  <c r="X20" i="67"/>
  <c r="V44" i="67"/>
  <c r="X44" i="67"/>
  <c r="AA44" i="67" s="1"/>
  <c r="V27" i="67"/>
  <c r="X27" i="67"/>
  <c r="V75" i="67"/>
  <c r="X75" i="67"/>
  <c r="V22" i="67"/>
  <c r="X22" i="67"/>
  <c r="V73" i="67"/>
  <c r="X73" i="67"/>
  <c r="V48" i="67"/>
  <c r="X48" i="67"/>
  <c r="V65" i="67"/>
  <c r="X65" i="67"/>
  <c r="V62" i="67"/>
  <c r="X62" i="67"/>
  <c r="V18" i="67"/>
  <c r="X18" i="67"/>
  <c r="AA42" i="67"/>
  <c r="AB42" i="67" s="1"/>
  <c r="AA52" i="67"/>
  <c r="AB52" i="67" s="1"/>
  <c r="AA38" i="67"/>
  <c r="AB38" i="67" s="1"/>
  <c r="AA59" i="67"/>
  <c r="AB59" i="67" s="1"/>
  <c r="AA40" i="67"/>
  <c r="AB40" i="67" s="1"/>
  <c r="AA58" i="67"/>
  <c r="AB58" i="67" s="1"/>
  <c r="AA8" i="67"/>
  <c r="AB8" i="67" s="1"/>
  <c r="AA54" i="67"/>
  <c r="AB54" i="67" s="1"/>
  <c r="AA41" i="67"/>
  <c r="AB41" i="67" s="1"/>
  <c r="AA17" i="67"/>
  <c r="AB17" i="67" s="1"/>
  <c r="AA46" i="67"/>
  <c r="AB46" i="67" s="1"/>
  <c r="AA60" i="67"/>
  <c r="AB60" i="67" s="1"/>
  <c r="AA50" i="67"/>
  <c r="AB50" i="67" s="1"/>
  <c r="AA70" i="67"/>
  <c r="AB70" i="67" s="1"/>
  <c r="V64" i="67"/>
  <c r="X64" i="67"/>
  <c r="AA64" i="67" s="1"/>
  <c r="V61" i="67"/>
  <c r="X61" i="67"/>
  <c r="AA61" i="67" s="1"/>
  <c r="V12" i="67"/>
  <c r="X12" i="67"/>
  <c r="AA12" i="67" s="1"/>
  <c r="V24" i="67"/>
  <c r="X24" i="67"/>
  <c r="V45" i="67"/>
  <c r="X45" i="67"/>
  <c r="V57" i="67"/>
  <c r="X57" i="67"/>
  <c r="AA57" i="67" s="1"/>
  <c r="V31" i="67"/>
  <c r="X31" i="67"/>
  <c r="AA31" i="67" s="1"/>
  <c r="V43" i="67"/>
  <c r="X43" i="67"/>
  <c r="AA43" i="67" s="1"/>
  <c r="V23" i="67"/>
  <c r="X23" i="67"/>
  <c r="AA23" i="67" s="1"/>
  <c r="V71" i="67"/>
  <c r="X71" i="67"/>
  <c r="AA71" i="67" s="1"/>
  <c r="V67" i="67"/>
  <c r="X67" i="67"/>
  <c r="V37" i="67"/>
  <c r="X37" i="67"/>
  <c r="V10" i="67"/>
  <c r="X10" i="67"/>
  <c r="AA10" i="67" s="1"/>
  <c r="V29" i="67"/>
  <c r="X29" i="67"/>
  <c r="V19" i="67"/>
  <c r="X19" i="67"/>
  <c r="AA19" i="67" s="1"/>
  <c r="V55" i="67"/>
  <c r="X55" i="67"/>
  <c r="AA55" i="67" s="1"/>
  <c r="V47" i="67"/>
  <c r="X47" i="67"/>
  <c r="V14" i="67"/>
  <c r="X14" i="67"/>
  <c r="V28" i="67"/>
  <c r="X28" i="67"/>
  <c r="AA28" i="67" s="1"/>
  <c r="V53" i="67"/>
  <c r="X53" i="67"/>
  <c r="AA53" i="67" s="1"/>
  <c r="V32" i="67"/>
  <c r="X32" i="67"/>
  <c r="AA32" i="67" s="1"/>
  <c r="V16" i="67"/>
  <c r="X16" i="67"/>
  <c r="V63" i="67"/>
  <c r="X63" i="67"/>
  <c r="V72" i="67"/>
  <c r="X72" i="67"/>
  <c r="V39" i="67"/>
  <c r="X39" i="67"/>
  <c r="AA39" i="67" s="1"/>
  <c r="V35" i="67"/>
  <c r="X35" i="67"/>
  <c r="AW27" i="1"/>
  <c r="AV27" i="1" s="1"/>
  <c r="BA27" i="1"/>
  <c r="AH47" i="1"/>
  <c r="AK9" i="1"/>
  <c r="AL9" i="1" s="1"/>
  <c r="AK52" i="1"/>
  <c r="AL52" i="1" s="1"/>
  <c r="AO9" i="1"/>
  <c r="BA9" i="1" s="1"/>
  <c r="AO52" i="1"/>
  <c r="C51" i="33" s="1"/>
  <c r="AH53" i="1"/>
  <c r="AO53" i="1"/>
  <c r="AW53" i="1" s="1"/>
  <c r="AO55" i="1"/>
  <c r="C54" i="33" s="1"/>
  <c r="AH55" i="1"/>
  <c r="AO18" i="1"/>
  <c r="BA18" i="1" s="1"/>
  <c r="AH18" i="1"/>
  <c r="AH51" i="1"/>
  <c r="AO51" i="1"/>
  <c r="BA51" i="1" s="1"/>
  <c r="AU38" i="33"/>
  <c r="AP40" i="1"/>
  <c r="D39" i="67" s="1"/>
  <c r="AO47" i="1"/>
  <c r="AW47" i="1" s="1"/>
  <c r="AQ47" i="1" s="1"/>
  <c r="AU60" i="33"/>
  <c r="BA40" i="1"/>
  <c r="AH71" i="1"/>
  <c r="AK71" i="1"/>
  <c r="AL71" i="1" s="1"/>
  <c r="BA61" i="1"/>
  <c r="AW61" i="1"/>
  <c r="AQ61" i="1" s="1"/>
  <c r="C60" i="33"/>
  <c r="AH61" i="1"/>
  <c r="AK61" i="1"/>
  <c r="AL61" i="1" s="1"/>
  <c r="AH23" i="1"/>
  <c r="AW41" i="1"/>
  <c r="AQ41" i="1" s="1"/>
  <c r="AO50" i="1"/>
  <c r="AP50" i="1" s="1"/>
  <c r="D49" i="67" s="1"/>
  <c r="AH50" i="1"/>
  <c r="AO42" i="1"/>
  <c r="AW42" i="1" s="1"/>
  <c r="AK31" i="1"/>
  <c r="AL31" i="1" s="1"/>
  <c r="AH42" i="1"/>
  <c r="AK35" i="1"/>
  <c r="AL35" i="1" s="1"/>
  <c r="AO35" i="1"/>
  <c r="AW35" i="1" s="1"/>
  <c r="AX35" i="1" s="1"/>
  <c r="AO43" i="1"/>
  <c r="AP43" i="1" s="1"/>
  <c r="D42" i="67" s="1"/>
  <c r="AK10" i="1"/>
  <c r="AL10" i="1" s="1"/>
  <c r="AH10" i="1"/>
  <c r="AO10" i="1"/>
  <c r="AK43" i="1"/>
  <c r="AL43" i="1" s="1"/>
  <c r="AO31" i="1"/>
  <c r="AP31" i="1" s="1"/>
  <c r="D30" i="67" s="1"/>
  <c r="AK24" i="1"/>
  <c r="AL24" i="1" s="1"/>
  <c r="AH24" i="1"/>
  <c r="AO38" i="1"/>
  <c r="AW38" i="1" s="1"/>
  <c r="AX38" i="1" s="1"/>
  <c r="AH38" i="1"/>
  <c r="AO44" i="1"/>
  <c r="C43" i="33" s="1"/>
  <c r="AO73" i="1"/>
  <c r="C72" i="33" s="1"/>
  <c r="AO65" i="1"/>
  <c r="AW65" i="1" s="1"/>
  <c r="AH73" i="1"/>
  <c r="AK65" i="1"/>
  <c r="AL65" i="1" s="1"/>
  <c r="AO15" i="1"/>
  <c r="AW15" i="1" s="1"/>
  <c r="AV15" i="1" s="1"/>
  <c r="Z77" i="1"/>
  <c r="AH15" i="1"/>
  <c r="AC77" i="1"/>
  <c r="E36" i="81" s="1"/>
  <c r="AK23" i="1"/>
  <c r="AL23" i="1" s="1"/>
  <c r="AH21" i="1"/>
  <c r="AK29" i="1"/>
  <c r="AL29" i="1" s="1"/>
  <c r="AK28" i="1"/>
  <c r="AL28" i="1" s="1"/>
  <c r="AH28" i="1"/>
  <c r="AO64" i="1"/>
  <c r="AP64" i="1" s="1"/>
  <c r="D63" i="67" s="1"/>
  <c r="AD8" i="1"/>
  <c r="AD77" i="1" s="1"/>
  <c r="AK44" i="1"/>
  <c r="AL44" i="1" s="1"/>
  <c r="AO29" i="1"/>
  <c r="AP29" i="1" s="1"/>
  <c r="D28" i="67" s="1"/>
  <c r="AK21" i="1"/>
  <c r="AL21" i="1" s="1"/>
  <c r="AK54" i="1"/>
  <c r="AL54" i="1" s="1"/>
  <c r="AH54" i="1"/>
  <c r="AK32" i="1"/>
  <c r="AL32" i="1" s="1"/>
  <c r="AH32" i="1"/>
  <c r="AH64" i="1"/>
  <c r="AV28" i="1"/>
  <c r="AX28" i="1"/>
  <c r="AQ74" i="1"/>
  <c r="AX74" i="1"/>
  <c r="AV74" i="1"/>
  <c r="C35" i="33"/>
  <c r="BA36" i="1"/>
  <c r="AW36" i="1"/>
  <c r="AP36" i="1"/>
  <c r="D35" i="67" s="1"/>
  <c r="C55" i="33"/>
  <c r="BA56" i="1"/>
  <c r="AP56" i="1"/>
  <c r="D55" i="67" s="1"/>
  <c r="AX39" i="1"/>
  <c r="AV39" i="1"/>
  <c r="AQ39" i="1"/>
  <c r="AP48" i="1"/>
  <c r="D47" i="67" s="1"/>
  <c r="C47" i="33"/>
  <c r="BA48" i="1"/>
  <c r="AX54" i="1"/>
  <c r="AV54" i="1"/>
  <c r="F7" i="84"/>
  <c r="F7" i="83"/>
  <c r="AW63" i="1"/>
  <c r="BA63" i="1"/>
  <c r="AP63" i="1"/>
  <c r="D62" i="67" s="1"/>
  <c r="C62" i="33"/>
  <c r="AH62" i="1"/>
  <c r="AO62" i="1"/>
  <c r="AK62" i="1"/>
  <c r="AL62" i="1" s="1"/>
  <c r="AP32" i="1"/>
  <c r="D31" i="67" s="1"/>
  <c r="BA32" i="1"/>
  <c r="C31" i="33"/>
  <c r="AP76" i="1"/>
  <c r="D75" i="67" s="1"/>
  <c r="BA76" i="1"/>
  <c r="C75" i="33"/>
  <c r="AO33" i="1"/>
  <c r="AH33" i="1"/>
  <c r="AK33" i="1"/>
  <c r="AL33" i="1" s="1"/>
  <c r="BA66" i="1"/>
  <c r="AP66" i="1"/>
  <c r="D65" i="67" s="1"/>
  <c r="C65" i="33"/>
  <c r="AW66" i="1"/>
  <c r="BA22" i="1"/>
  <c r="AP22" i="1"/>
  <c r="D21" i="67" s="1"/>
  <c r="C21" i="33"/>
  <c r="AW22" i="1"/>
  <c r="AW23" i="1"/>
  <c r="AQ23" i="1" s="1"/>
  <c r="BA23" i="1"/>
  <c r="AP23" i="1"/>
  <c r="D22" i="67" s="1"/>
  <c r="C22" i="33"/>
  <c r="AO30" i="1"/>
  <c r="AK30" i="1"/>
  <c r="AL30" i="1" s="1"/>
  <c r="AH30" i="1"/>
  <c r="AW59" i="1"/>
  <c r="C58" i="33"/>
  <c r="AP59" i="1"/>
  <c r="D58" i="67" s="1"/>
  <c r="BA59" i="1"/>
  <c r="AP26" i="1"/>
  <c r="D25" i="67" s="1"/>
  <c r="C25" i="33"/>
  <c r="AW26" i="1"/>
  <c r="BA26" i="1"/>
  <c r="AH58" i="1"/>
  <c r="AO58" i="1"/>
  <c r="AK58" i="1"/>
  <c r="AL58" i="1" s="1"/>
  <c r="AK13" i="1"/>
  <c r="AL13" i="1" s="1"/>
  <c r="AO13" i="1"/>
  <c r="AH13" i="1"/>
  <c r="AP19" i="1"/>
  <c r="D18" i="67" s="1"/>
  <c r="C18" i="33"/>
  <c r="AW19" i="1"/>
  <c r="BA19" i="1"/>
  <c r="AW56" i="1"/>
  <c r="AQ56" i="1" s="1"/>
  <c r="AK45" i="1"/>
  <c r="AL45" i="1" s="1"/>
  <c r="AH45" i="1"/>
  <c r="AO45" i="1"/>
  <c r="U77" i="1"/>
  <c r="BB8" i="1"/>
  <c r="V8" i="1"/>
  <c r="AP14" i="1"/>
  <c r="D13" i="67" s="1"/>
  <c r="C13" i="33"/>
  <c r="BA14" i="1"/>
  <c r="AW14" i="1"/>
  <c r="AP54" i="1"/>
  <c r="D53" i="67" s="1"/>
  <c r="BA54" i="1"/>
  <c r="C53" i="33"/>
  <c r="AQ54" i="1"/>
  <c r="AK70" i="1"/>
  <c r="AL70" i="1" s="1"/>
  <c r="AH70" i="1"/>
  <c r="AO70" i="1"/>
  <c r="AH49" i="1"/>
  <c r="AK49" i="1"/>
  <c r="AL49" i="1" s="1"/>
  <c r="AO49" i="1"/>
  <c r="AH72" i="1"/>
  <c r="AO72" i="1"/>
  <c r="AK72" i="1"/>
  <c r="AL72" i="1" s="1"/>
  <c r="AQ48" i="1"/>
  <c r="AX48" i="1"/>
  <c r="AV48" i="1"/>
  <c r="AQ25" i="1"/>
  <c r="AX25" i="1"/>
  <c r="AV25" i="1"/>
  <c r="BA21" i="1"/>
  <c r="AP21" i="1"/>
  <c r="D20" i="67" s="1"/>
  <c r="C20" i="33"/>
  <c r="BA37" i="1"/>
  <c r="C36" i="33"/>
  <c r="AP37" i="1"/>
  <c r="D36" i="67" s="1"/>
  <c r="AW37" i="1"/>
  <c r="AQ37" i="1" s="1"/>
  <c r="AO17" i="1"/>
  <c r="AK17" i="1"/>
  <c r="AL17" i="1" s="1"/>
  <c r="AH17" i="1"/>
  <c r="C27" i="33"/>
  <c r="AP28" i="1"/>
  <c r="D27" i="67" s="1"/>
  <c r="BA28" i="1"/>
  <c r="AQ28" i="1"/>
  <c r="AK57" i="1"/>
  <c r="AL57" i="1" s="1"/>
  <c r="AH57" i="1"/>
  <c r="AO57" i="1"/>
  <c r="AW60" i="1"/>
  <c r="AQ60" i="1" s="1"/>
  <c r="BA60" i="1"/>
  <c r="AP60" i="1"/>
  <c r="D59" i="67" s="1"/>
  <c r="C59" i="33"/>
  <c r="AW46" i="1"/>
  <c r="AP46" i="1"/>
  <c r="D45" i="67" s="1"/>
  <c r="BA46" i="1"/>
  <c r="C45" i="33"/>
  <c r="AW21" i="1"/>
  <c r="BA67" i="1"/>
  <c r="AW67" i="1"/>
  <c r="C66" i="33"/>
  <c r="AP67" i="1"/>
  <c r="D66" i="67" s="1"/>
  <c r="C70" i="33"/>
  <c r="AW71" i="1"/>
  <c r="AP71" i="1"/>
  <c r="D70" i="67" s="1"/>
  <c r="BA71" i="1"/>
  <c r="C11" i="33"/>
  <c r="AW12" i="1"/>
  <c r="BA12" i="1"/>
  <c r="AP12" i="1"/>
  <c r="D11" i="67" s="1"/>
  <c r="C68" i="33"/>
  <c r="BA69" i="1"/>
  <c r="AW69" i="1"/>
  <c r="AP69" i="1"/>
  <c r="D68" i="67" s="1"/>
  <c r="AO20" i="1"/>
  <c r="AK20" i="1"/>
  <c r="AL20" i="1" s="1"/>
  <c r="AH20" i="1"/>
  <c r="AW32" i="1"/>
  <c r="C73" i="33"/>
  <c r="BA74" i="1"/>
  <c r="AP74" i="1"/>
  <c r="D73" i="67" s="1"/>
  <c r="AW76" i="1"/>
  <c r="AO11" i="1"/>
  <c r="AK11" i="1"/>
  <c r="AL11" i="1" s="1"/>
  <c r="AH11" i="1"/>
  <c r="AH68" i="1"/>
  <c r="AO68" i="1"/>
  <c r="AK68" i="1"/>
  <c r="AL68" i="1" s="1"/>
  <c r="BA25" i="1"/>
  <c r="C24" i="33"/>
  <c r="AP25" i="1"/>
  <c r="D24" i="67" s="1"/>
  <c r="G100" i="81"/>
  <c r="F76" i="84"/>
  <c r="F77" i="83"/>
  <c r="R15" i="67"/>
  <c r="U15" i="67" s="1"/>
  <c r="Z15" i="67" s="1"/>
  <c r="AT16" i="1"/>
  <c r="BE16" i="1"/>
  <c r="BG16" i="1" s="1"/>
  <c r="AG16" i="1"/>
  <c r="AT8" i="1"/>
  <c r="R7" i="67"/>
  <c r="AS77" i="1"/>
  <c r="AT77" i="1" s="1"/>
  <c r="BA24" i="1"/>
  <c r="C23" i="33"/>
  <c r="AP24" i="1"/>
  <c r="D23" i="67" s="1"/>
  <c r="AW24" i="1"/>
  <c r="I72" i="80" l="1"/>
  <c r="I31" i="80"/>
  <c r="I48" i="80"/>
  <c r="I50" i="76"/>
  <c r="I36" i="80"/>
  <c r="I22" i="76"/>
  <c r="I19" i="76"/>
  <c r="I19" i="80"/>
  <c r="I63" i="80"/>
  <c r="I71" i="80"/>
  <c r="I16" i="76"/>
  <c r="I16" i="80"/>
  <c r="I53" i="80"/>
  <c r="I11" i="76"/>
  <c r="I11" i="80"/>
  <c r="I60" i="80"/>
  <c r="I15" i="76"/>
  <c r="I15" i="80"/>
  <c r="I37" i="80"/>
  <c r="I52" i="80"/>
  <c r="I47" i="80"/>
  <c r="I12" i="76"/>
  <c r="I12" i="80"/>
  <c r="I33" i="80"/>
  <c r="I73" i="80"/>
  <c r="I9" i="76"/>
  <c r="I9" i="80"/>
  <c r="I64" i="80"/>
  <c r="I57" i="80"/>
  <c r="I44" i="80"/>
  <c r="I35" i="80"/>
  <c r="I38" i="76"/>
  <c r="I39" i="80"/>
  <c r="I45" i="80"/>
  <c r="I23" i="76"/>
  <c r="I23" i="80"/>
  <c r="I70" i="76"/>
  <c r="I61" i="80"/>
  <c r="I66" i="76"/>
  <c r="I34" i="76"/>
  <c r="I43" i="80"/>
  <c r="I72" i="76"/>
  <c r="I31" i="76"/>
  <c r="I48" i="76"/>
  <c r="I50" i="80"/>
  <c r="I36" i="76"/>
  <c r="I22" i="80"/>
  <c r="I63" i="76"/>
  <c r="I71" i="76"/>
  <c r="I53" i="76"/>
  <c r="I60" i="76"/>
  <c r="I37" i="76"/>
  <c r="I52" i="76"/>
  <c r="I47" i="76"/>
  <c r="I33" i="76"/>
  <c r="I73" i="76"/>
  <c r="I64" i="76"/>
  <c r="I57" i="76"/>
  <c r="I44" i="76"/>
  <c r="I35" i="76"/>
  <c r="I38" i="80"/>
  <c r="I39" i="76"/>
  <c r="I45" i="76"/>
  <c r="I70" i="80"/>
  <c r="I61" i="76"/>
  <c r="I66" i="80"/>
  <c r="I34" i="80"/>
  <c r="I43" i="76"/>
  <c r="AG11" i="67"/>
  <c r="Q10" i="72" s="1"/>
  <c r="AG33" i="67"/>
  <c r="Q32" i="72" s="1"/>
  <c r="AG66" i="67"/>
  <c r="Q65" i="72" s="1"/>
  <c r="AG26" i="67"/>
  <c r="Q25" i="72" s="1"/>
  <c r="AG49" i="67"/>
  <c r="Q48" i="72" s="1"/>
  <c r="AG36" i="67"/>
  <c r="Q35" i="72" s="1"/>
  <c r="AG34" i="67"/>
  <c r="Q33" i="72" s="1"/>
  <c r="AG68" i="67"/>
  <c r="Q67" i="72" s="1"/>
  <c r="AG13" i="67"/>
  <c r="Q12" i="72" s="1"/>
  <c r="AD74" i="67"/>
  <c r="AF74" i="67" s="1"/>
  <c r="D8" i="80"/>
  <c r="D10" i="115"/>
  <c r="D8" i="76"/>
  <c r="D10" i="116"/>
  <c r="D10" i="117"/>
  <c r="D10" i="118"/>
  <c r="D10" i="119"/>
  <c r="D10" i="120"/>
  <c r="D10" i="113"/>
  <c r="D10" i="114"/>
  <c r="D59" i="80"/>
  <c r="D61" i="115"/>
  <c r="D61" i="116"/>
  <c r="D59" i="76"/>
  <c r="D61" i="117"/>
  <c r="D61" i="118"/>
  <c r="D61" i="119"/>
  <c r="D61" i="120"/>
  <c r="D61" i="114"/>
  <c r="D61" i="113"/>
  <c r="AU40" i="33"/>
  <c r="D40" i="67"/>
  <c r="D14" i="76"/>
  <c r="D14" i="80"/>
  <c r="D16" i="115"/>
  <c r="D16" i="116"/>
  <c r="D16" i="117"/>
  <c r="D16" i="118"/>
  <c r="D16" i="119"/>
  <c r="D16" i="120"/>
  <c r="D16" i="114"/>
  <c r="D16" i="113"/>
  <c r="D55" i="80"/>
  <c r="D57" i="115"/>
  <c r="D57" i="116"/>
  <c r="D55" i="76"/>
  <c r="D57" i="117"/>
  <c r="D57" i="118"/>
  <c r="D57" i="119"/>
  <c r="D57" i="120"/>
  <c r="D57" i="114"/>
  <c r="D57" i="113"/>
  <c r="D27" i="80"/>
  <c r="D29" i="115"/>
  <c r="D27" i="76"/>
  <c r="D29" i="116"/>
  <c r="D29" i="117"/>
  <c r="D29" i="118"/>
  <c r="D29" i="119"/>
  <c r="D29" i="120"/>
  <c r="D29" i="114"/>
  <c r="D29" i="113"/>
  <c r="D30" i="76"/>
  <c r="D30" i="80"/>
  <c r="D32" i="115"/>
  <c r="D32" i="116"/>
  <c r="D32" i="117"/>
  <c r="D32" i="118"/>
  <c r="D32" i="119"/>
  <c r="D32" i="120"/>
  <c r="D32" i="114"/>
  <c r="D32" i="113"/>
  <c r="D51" i="80"/>
  <c r="D53" i="115"/>
  <c r="D53" i="116"/>
  <c r="D51" i="76"/>
  <c r="D53" i="117"/>
  <c r="D53" i="118"/>
  <c r="D53" i="119"/>
  <c r="D53" i="120"/>
  <c r="D53" i="114"/>
  <c r="D53" i="113"/>
  <c r="D26" i="76"/>
  <c r="D26" i="80"/>
  <c r="D28" i="115"/>
  <c r="D28" i="116"/>
  <c r="D28" i="117"/>
  <c r="D28" i="118"/>
  <c r="D28" i="119"/>
  <c r="D28" i="120"/>
  <c r="D28" i="114"/>
  <c r="D28" i="113"/>
  <c r="D62" i="76"/>
  <c r="D62" i="80"/>
  <c r="D64" i="115"/>
  <c r="D64" i="116"/>
  <c r="D64" i="117"/>
  <c r="D64" i="118"/>
  <c r="D64" i="119"/>
  <c r="D64" i="120"/>
  <c r="D64" i="114"/>
  <c r="D64" i="113"/>
  <c r="D21" i="80"/>
  <c r="D23" i="115"/>
  <c r="D21" i="76"/>
  <c r="D23" i="116"/>
  <c r="D23" i="117"/>
  <c r="D23" i="118"/>
  <c r="D23" i="119"/>
  <c r="D23" i="120"/>
  <c r="D15" i="46"/>
  <c r="D11" i="46"/>
  <c r="D14" i="46"/>
  <c r="D10" i="46"/>
  <c r="D23" i="114"/>
  <c r="D23" i="113"/>
  <c r="D17" i="46"/>
  <c r="D13" i="46"/>
  <c r="D7" i="46"/>
  <c r="D12" i="46"/>
  <c r="D16" i="46"/>
  <c r="D6" i="76"/>
  <c r="D6" i="80"/>
  <c r="D8" i="115"/>
  <c r="D8" i="116"/>
  <c r="D8" i="117"/>
  <c r="D8" i="118"/>
  <c r="D8" i="119"/>
  <c r="D8" i="120"/>
  <c r="D8" i="114"/>
  <c r="D8" i="113"/>
  <c r="D56" i="80"/>
  <c r="D58" i="115"/>
  <c r="D58" i="116"/>
  <c r="D56" i="76"/>
  <c r="D58" i="117"/>
  <c r="D58" i="118"/>
  <c r="D58" i="119"/>
  <c r="D58" i="120"/>
  <c r="D58" i="114"/>
  <c r="D58" i="113"/>
  <c r="D17" i="80"/>
  <c r="D19" i="115"/>
  <c r="D17" i="76"/>
  <c r="D19" i="116"/>
  <c r="D19" i="117"/>
  <c r="D19" i="118"/>
  <c r="D19" i="119"/>
  <c r="D19" i="120"/>
  <c r="D19" i="114"/>
  <c r="D19" i="113"/>
  <c r="D7" i="80"/>
  <c r="D9" i="115"/>
  <c r="D7" i="76"/>
  <c r="D9" i="116"/>
  <c r="D9" i="117"/>
  <c r="D9" i="118"/>
  <c r="D9" i="119"/>
  <c r="D9" i="120"/>
  <c r="D9" i="114"/>
  <c r="D9" i="113"/>
  <c r="D28" i="80"/>
  <c r="D30" i="115"/>
  <c r="D30" i="116"/>
  <c r="D28" i="76"/>
  <c r="D30" i="117"/>
  <c r="D30" i="118"/>
  <c r="D30" i="119"/>
  <c r="D30" i="120"/>
  <c r="D30" i="114"/>
  <c r="D30" i="113"/>
  <c r="D54" i="76"/>
  <c r="D54" i="80"/>
  <c r="D56" i="115"/>
  <c r="D56" i="116"/>
  <c r="D56" i="117"/>
  <c r="D56" i="118"/>
  <c r="D56" i="119"/>
  <c r="D56" i="120"/>
  <c r="D56" i="114"/>
  <c r="D56" i="113"/>
  <c r="D29" i="80"/>
  <c r="D31" i="115"/>
  <c r="D31" i="116"/>
  <c r="D29" i="76"/>
  <c r="D31" i="117"/>
  <c r="D31" i="118"/>
  <c r="D31" i="119"/>
  <c r="D31" i="120"/>
  <c r="D31" i="114"/>
  <c r="D31" i="113"/>
  <c r="D20" i="80"/>
  <c r="D22" i="115"/>
  <c r="D20" i="76"/>
  <c r="D22" i="116"/>
  <c r="D22" i="117"/>
  <c r="D22" i="118"/>
  <c r="D22" i="119"/>
  <c r="D22" i="120"/>
  <c r="D22" i="114"/>
  <c r="D22" i="113"/>
  <c r="D40" i="80"/>
  <c r="D42" i="115"/>
  <c r="D42" i="116"/>
  <c r="D40" i="76"/>
  <c r="D42" i="117"/>
  <c r="D42" i="118"/>
  <c r="D42" i="119"/>
  <c r="D42" i="120"/>
  <c r="D3" i="31"/>
  <c r="D42" i="114"/>
  <c r="D42" i="113"/>
  <c r="D32" i="80"/>
  <c r="D34" i="115"/>
  <c r="D34" i="116"/>
  <c r="D32" i="76"/>
  <c r="D34" i="117"/>
  <c r="D34" i="118"/>
  <c r="D34" i="119"/>
  <c r="D34" i="120"/>
  <c r="D34" i="114"/>
  <c r="D34" i="113"/>
  <c r="D24" i="80"/>
  <c r="D26" i="115"/>
  <c r="D24" i="76"/>
  <c r="D26" i="116"/>
  <c r="D26" i="117"/>
  <c r="D26" i="118"/>
  <c r="D26" i="119"/>
  <c r="D26" i="120"/>
  <c r="D26" i="114"/>
  <c r="D26" i="113"/>
  <c r="D18" i="76"/>
  <c r="D18" i="80"/>
  <c r="D20" i="115"/>
  <c r="D20" i="116"/>
  <c r="D20" i="117"/>
  <c r="D20" i="118"/>
  <c r="D20" i="119"/>
  <c r="D20" i="120"/>
  <c r="D20" i="114"/>
  <c r="D20" i="113"/>
  <c r="D68" i="80"/>
  <c r="D70" i="115"/>
  <c r="D70" i="116"/>
  <c r="D68" i="76"/>
  <c r="D70" i="117"/>
  <c r="D70" i="118"/>
  <c r="D70" i="119"/>
  <c r="D70" i="120"/>
  <c r="D70" i="114"/>
  <c r="D70" i="113"/>
  <c r="D65" i="80"/>
  <c r="D67" i="115"/>
  <c r="D67" i="116"/>
  <c r="D65" i="76"/>
  <c r="D67" i="117"/>
  <c r="D67" i="118"/>
  <c r="D67" i="119"/>
  <c r="D67" i="120"/>
  <c r="D67" i="114"/>
  <c r="D67" i="113"/>
  <c r="D69" i="80"/>
  <c r="D71" i="115"/>
  <c r="D71" i="116"/>
  <c r="D69" i="76"/>
  <c r="D71" i="117"/>
  <c r="D71" i="118"/>
  <c r="D71" i="119"/>
  <c r="D71" i="120"/>
  <c r="D71" i="114"/>
  <c r="D71" i="113"/>
  <c r="D46" i="76"/>
  <c r="D46" i="80"/>
  <c r="D48" i="115"/>
  <c r="D48" i="116"/>
  <c r="D48" i="117"/>
  <c r="D48" i="118"/>
  <c r="D48" i="119"/>
  <c r="D48" i="120"/>
  <c r="D48" i="114"/>
  <c r="D48" i="113"/>
  <c r="D67" i="80"/>
  <c r="D69" i="115"/>
  <c r="D69" i="116"/>
  <c r="D67" i="76"/>
  <c r="D69" i="117"/>
  <c r="D69" i="118"/>
  <c r="D69" i="119"/>
  <c r="D69" i="120"/>
  <c r="D69" i="114"/>
  <c r="D69" i="113"/>
  <c r="D42" i="76"/>
  <c r="D42" i="80"/>
  <c r="D44" i="115"/>
  <c r="D44" i="116"/>
  <c r="D44" i="117"/>
  <c r="D44" i="118"/>
  <c r="D44" i="119"/>
  <c r="D44" i="120"/>
  <c r="D44" i="114"/>
  <c r="D44" i="113"/>
  <c r="D10" i="76"/>
  <c r="D10" i="80"/>
  <c r="D12" i="115"/>
  <c r="D12" i="116"/>
  <c r="D12" i="117"/>
  <c r="D12" i="118"/>
  <c r="D12" i="119"/>
  <c r="D12" i="120"/>
  <c r="D12" i="114"/>
  <c r="D12" i="113"/>
  <c r="D41" i="80"/>
  <c r="D43" i="115"/>
  <c r="D43" i="116"/>
  <c r="D41" i="76"/>
  <c r="D43" i="117"/>
  <c r="D43" i="118"/>
  <c r="D43" i="119"/>
  <c r="D43" i="120"/>
  <c r="D43" i="114"/>
  <c r="D43" i="113"/>
  <c r="D25" i="80"/>
  <c r="D27" i="115"/>
  <c r="D27" i="116"/>
  <c r="D25" i="76"/>
  <c r="D27" i="117"/>
  <c r="D27" i="118"/>
  <c r="D27" i="119"/>
  <c r="D27" i="120"/>
  <c r="D27" i="114"/>
  <c r="D27" i="113"/>
  <c r="D58" i="76"/>
  <c r="D58" i="80"/>
  <c r="D60" i="115"/>
  <c r="D60" i="116"/>
  <c r="D60" i="117"/>
  <c r="D60" i="118"/>
  <c r="D60" i="119"/>
  <c r="D60" i="120"/>
  <c r="D60" i="114"/>
  <c r="D60" i="113"/>
  <c r="D49" i="80"/>
  <c r="D51" i="115"/>
  <c r="D51" i="116"/>
  <c r="D49" i="76"/>
  <c r="D51" i="117"/>
  <c r="D51" i="118"/>
  <c r="D51" i="119"/>
  <c r="D51" i="120"/>
  <c r="D51" i="113"/>
  <c r="D51" i="114"/>
  <c r="D26" i="67"/>
  <c r="P33" i="100"/>
  <c r="AW34" i="1"/>
  <c r="AQ34" i="1" s="1"/>
  <c r="BA41" i="1"/>
  <c r="AW52" i="1"/>
  <c r="AV52" i="1" s="1"/>
  <c r="P25" i="100"/>
  <c r="AD25" i="67"/>
  <c r="AF25" i="67" s="1"/>
  <c r="P12" i="100"/>
  <c r="AD30" i="67"/>
  <c r="AF30" i="67" s="1"/>
  <c r="P67" i="100"/>
  <c r="C74" i="33"/>
  <c r="AD21" i="67"/>
  <c r="AF21" i="67" s="1"/>
  <c r="P35" i="100"/>
  <c r="C40" i="33"/>
  <c r="P10" i="100"/>
  <c r="P32" i="100"/>
  <c r="P65" i="100"/>
  <c r="AW75" i="1"/>
  <c r="AX75" i="1" s="1"/>
  <c r="BA75" i="1"/>
  <c r="BA34" i="1"/>
  <c r="AD51" i="67"/>
  <c r="AF51" i="67" s="1"/>
  <c r="AP34" i="1"/>
  <c r="AQ40" i="1"/>
  <c r="AW18" i="1"/>
  <c r="AX18" i="1" s="1"/>
  <c r="AX27" i="1"/>
  <c r="P48" i="100"/>
  <c r="AQ27" i="1"/>
  <c r="AX40" i="1"/>
  <c r="AP52" i="1"/>
  <c r="AU26" i="33"/>
  <c r="BA52" i="1"/>
  <c r="BA53" i="1"/>
  <c r="AB39" i="67"/>
  <c r="AD39" i="67" s="1"/>
  <c r="AF39" i="67" s="1"/>
  <c r="AB32" i="67"/>
  <c r="AD32" i="67" s="1"/>
  <c r="AB53" i="67"/>
  <c r="AD53" i="67" s="1"/>
  <c r="AF53" i="67" s="1"/>
  <c r="AB28" i="67"/>
  <c r="AD28" i="67" s="1"/>
  <c r="AB55" i="67"/>
  <c r="AD55" i="67" s="1"/>
  <c r="AF55" i="67" s="1"/>
  <c r="AB19" i="67"/>
  <c r="AD19" i="67" s="1"/>
  <c r="AB10" i="67"/>
  <c r="AD10" i="67" s="1"/>
  <c r="AF10" i="67" s="1"/>
  <c r="AB71" i="67"/>
  <c r="AD71" i="67" s="1"/>
  <c r="AB23" i="67"/>
  <c r="AD23" i="67" s="1"/>
  <c r="AF23" i="67" s="1"/>
  <c r="AB43" i="67"/>
  <c r="AD43" i="67" s="1"/>
  <c r="AB31" i="67"/>
  <c r="AD31" i="67" s="1"/>
  <c r="AF31" i="67" s="1"/>
  <c r="AB57" i="67"/>
  <c r="AD57" i="67" s="1"/>
  <c r="AB12" i="67"/>
  <c r="AD12" i="67" s="1"/>
  <c r="AF12" i="67" s="1"/>
  <c r="AB61" i="67"/>
  <c r="P60" i="100" s="1"/>
  <c r="AB64" i="67"/>
  <c r="AD64" i="67" s="1"/>
  <c r="AF64" i="67" s="1"/>
  <c r="AB44" i="67"/>
  <c r="AD44" i="67" s="1"/>
  <c r="AF44" i="67" s="1"/>
  <c r="AB56" i="67"/>
  <c r="AD56" i="67" s="1"/>
  <c r="AB69" i="67"/>
  <c r="P68" i="100" s="1"/>
  <c r="AD50" i="67"/>
  <c r="P49" i="100"/>
  <c r="AD46" i="67"/>
  <c r="AF46" i="67" s="1"/>
  <c r="P45" i="100"/>
  <c r="AD41" i="67"/>
  <c r="P40" i="100"/>
  <c r="AD8" i="67"/>
  <c r="AF8" i="67" s="1"/>
  <c r="P7" i="100"/>
  <c r="AD40" i="67"/>
  <c r="P39" i="100"/>
  <c r="AD38" i="67"/>
  <c r="AF38" i="67" s="1"/>
  <c r="P37" i="100"/>
  <c r="AD42" i="67"/>
  <c r="P41" i="100"/>
  <c r="AD70" i="67"/>
  <c r="P69" i="100"/>
  <c r="AD60" i="67"/>
  <c r="AF60" i="67" s="1"/>
  <c r="P59" i="100"/>
  <c r="AD17" i="67"/>
  <c r="P16" i="100"/>
  <c r="AD54" i="67"/>
  <c r="AF54" i="67" s="1"/>
  <c r="P53" i="100"/>
  <c r="AD58" i="67"/>
  <c r="P57" i="100"/>
  <c r="AD59" i="67"/>
  <c r="AF59" i="67" s="1"/>
  <c r="P58" i="100"/>
  <c r="AD52" i="67"/>
  <c r="P51" i="100"/>
  <c r="AA62" i="67"/>
  <c r="AB62" i="67" s="1"/>
  <c r="V15" i="67"/>
  <c r="X15" i="67"/>
  <c r="AA65" i="67"/>
  <c r="AB65" i="67" s="1"/>
  <c r="AA48" i="67"/>
  <c r="AB48" i="67" s="1"/>
  <c r="AA73" i="67"/>
  <c r="AB73" i="67" s="1"/>
  <c r="AA22" i="67"/>
  <c r="AB22" i="67" s="1"/>
  <c r="AA75" i="67"/>
  <c r="AB75" i="67" s="1"/>
  <c r="AA27" i="67"/>
  <c r="AB27" i="67" s="1"/>
  <c r="AA20" i="67"/>
  <c r="AB20" i="67" s="1"/>
  <c r="AA35" i="67"/>
  <c r="AB35" i="67" s="1"/>
  <c r="AA72" i="67"/>
  <c r="AB72" i="67" s="1"/>
  <c r="AA63" i="67"/>
  <c r="AB63" i="67" s="1"/>
  <c r="AA16" i="67"/>
  <c r="AB16" i="67" s="1"/>
  <c r="AA14" i="67"/>
  <c r="AB14" i="67" s="1"/>
  <c r="AA47" i="67"/>
  <c r="AB47" i="67" s="1"/>
  <c r="AA29" i="67"/>
  <c r="AB29" i="67" s="1"/>
  <c r="AA37" i="67"/>
  <c r="AB37" i="67" s="1"/>
  <c r="AA67" i="67"/>
  <c r="AB67" i="67" s="1"/>
  <c r="AA45" i="67"/>
  <c r="AB45" i="67" s="1"/>
  <c r="AA24" i="67"/>
  <c r="AB24" i="67" s="1"/>
  <c r="AA18" i="67"/>
  <c r="AB18" i="67" s="1"/>
  <c r="AW9" i="1"/>
  <c r="AQ9" i="1" s="1"/>
  <c r="C50" i="33"/>
  <c r="C8" i="33"/>
  <c r="AP9" i="1"/>
  <c r="C52" i="33"/>
  <c r="AW55" i="1"/>
  <c r="AV55" i="1" s="1"/>
  <c r="AP53" i="1"/>
  <c r="C17" i="33"/>
  <c r="AP18" i="1"/>
  <c r="AW51" i="1"/>
  <c r="AV51" i="1" s="1"/>
  <c r="BA55" i="1"/>
  <c r="AP55" i="1"/>
  <c r="C46" i="33"/>
  <c r="AP47" i="1"/>
  <c r="D46" i="67" s="1"/>
  <c r="BA47" i="1"/>
  <c r="AP51" i="1"/>
  <c r="AU42" i="33"/>
  <c r="AU45" i="33"/>
  <c r="AU58" i="33"/>
  <c r="AU62" i="33"/>
  <c r="AU47" i="33"/>
  <c r="AU63" i="33"/>
  <c r="AU49" i="33"/>
  <c r="AU23" i="33"/>
  <c r="AU73" i="33"/>
  <c r="AU11" i="33"/>
  <c r="AU66" i="33"/>
  <c r="AU36" i="33"/>
  <c r="AU13" i="33"/>
  <c r="AU18" i="33"/>
  <c r="AU22" i="33"/>
  <c r="AU31" i="33"/>
  <c r="AU55" i="33"/>
  <c r="AU28" i="33"/>
  <c r="AU24" i="33"/>
  <c r="AU68" i="33"/>
  <c r="AU70" i="33"/>
  <c r="AU25" i="33"/>
  <c r="AU21" i="33"/>
  <c r="AU65" i="33"/>
  <c r="AU39" i="33"/>
  <c r="AU75" i="33"/>
  <c r="AU59" i="33"/>
  <c r="AU27" i="33"/>
  <c r="AU20" i="33"/>
  <c r="AU53" i="33"/>
  <c r="AU74" i="33"/>
  <c r="AU35" i="33"/>
  <c r="AU30" i="33"/>
  <c r="AW31" i="1"/>
  <c r="AQ31" i="1" s="1"/>
  <c r="AV61" i="1"/>
  <c r="AV41" i="1"/>
  <c r="AX61" i="1"/>
  <c r="AW50" i="1"/>
  <c r="AQ50" i="1" s="1"/>
  <c r="BA50" i="1"/>
  <c r="C49" i="33"/>
  <c r="AX41" i="1"/>
  <c r="C41" i="33"/>
  <c r="BA42" i="1"/>
  <c r="AP42" i="1"/>
  <c r="D41" i="67" s="1"/>
  <c r="AV35" i="1"/>
  <c r="AQ35" i="1"/>
  <c r="BA35" i="1"/>
  <c r="C34" i="33"/>
  <c r="AP35" i="1"/>
  <c r="D34" i="67" s="1"/>
  <c r="C30" i="33"/>
  <c r="BA31" i="1"/>
  <c r="AW43" i="1"/>
  <c r="AX43" i="1" s="1"/>
  <c r="BA43" i="1"/>
  <c r="C42" i="33"/>
  <c r="AW10" i="1"/>
  <c r="AP10" i="1"/>
  <c r="D9" i="67" s="1"/>
  <c r="BA10" i="1"/>
  <c r="C9" i="33"/>
  <c r="C64" i="33"/>
  <c r="BA65" i="1"/>
  <c r="BA73" i="1"/>
  <c r="AP65" i="1"/>
  <c r="D64" i="67" s="1"/>
  <c r="BA15" i="1"/>
  <c r="AW73" i="1"/>
  <c r="AQ73" i="1" s="1"/>
  <c r="AP73" i="1"/>
  <c r="D72" i="67" s="1"/>
  <c r="AV38" i="1"/>
  <c r="BA38" i="1"/>
  <c r="AP44" i="1"/>
  <c r="D43" i="67" s="1"/>
  <c r="BA44" i="1"/>
  <c r="AW44" i="1"/>
  <c r="AQ44" i="1" s="1"/>
  <c r="AQ38" i="1"/>
  <c r="C37" i="33"/>
  <c r="AP38" i="1"/>
  <c r="D37" i="67" s="1"/>
  <c r="AP15" i="1"/>
  <c r="D14" i="67" s="1"/>
  <c r="C14" i="33"/>
  <c r="AX15" i="1"/>
  <c r="C63" i="33"/>
  <c r="AQ15" i="1"/>
  <c r="BA29" i="1"/>
  <c r="AE8" i="1"/>
  <c r="BE8" i="1" s="1"/>
  <c r="C28" i="33"/>
  <c r="BA64" i="1"/>
  <c r="AW64" i="1"/>
  <c r="AX64" i="1" s="1"/>
  <c r="AW29" i="1"/>
  <c r="AV29" i="1" s="1"/>
  <c r="AX12" i="1"/>
  <c r="AV12" i="1"/>
  <c r="AQ71" i="1"/>
  <c r="AV71" i="1"/>
  <c r="AX71" i="1"/>
  <c r="AP70" i="1"/>
  <c r="D69" i="67" s="1"/>
  <c r="BA70" i="1"/>
  <c r="C69" i="33"/>
  <c r="AW70" i="1"/>
  <c r="AQ59" i="1"/>
  <c r="AV59" i="1"/>
  <c r="AX59" i="1"/>
  <c r="C61" i="33"/>
  <c r="AP62" i="1"/>
  <c r="D61" i="67" s="1"/>
  <c r="BA62" i="1"/>
  <c r="AW62" i="1"/>
  <c r="AQ62" i="1" s="1"/>
  <c r="AP11" i="1"/>
  <c r="D10" i="67" s="1"/>
  <c r="C10" i="33"/>
  <c r="BA11" i="1"/>
  <c r="AW11" i="1"/>
  <c r="AQ32" i="1"/>
  <c r="AX32" i="1"/>
  <c r="AV32" i="1"/>
  <c r="AQ69" i="1"/>
  <c r="AV69" i="1"/>
  <c r="AX69" i="1"/>
  <c r="AQ12" i="1"/>
  <c r="AP57" i="1"/>
  <c r="D56" i="67" s="1"/>
  <c r="C56" i="33"/>
  <c r="BA57" i="1"/>
  <c r="AW57" i="1"/>
  <c r="AW49" i="1"/>
  <c r="AQ49" i="1" s="1"/>
  <c r="BA49" i="1"/>
  <c r="AP49" i="1"/>
  <c r="D48" i="67" s="1"/>
  <c r="C48" i="33"/>
  <c r="C29" i="33"/>
  <c r="AP30" i="1"/>
  <c r="D29" i="67" s="1"/>
  <c r="BA30" i="1"/>
  <c r="AW30" i="1"/>
  <c r="AQ63" i="1"/>
  <c r="AV63" i="1"/>
  <c r="AX63" i="1"/>
  <c r="AQ53" i="1"/>
  <c r="AX53" i="1"/>
  <c r="AV53" i="1"/>
  <c r="AQ19" i="1"/>
  <c r="AV19" i="1"/>
  <c r="AX19" i="1"/>
  <c r="AQ66" i="1"/>
  <c r="AX66" i="1"/>
  <c r="AV66" i="1"/>
  <c r="C32" i="33"/>
  <c r="BA33" i="1"/>
  <c r="AP33" i="1"/>
  <c r="D32" i="67" s="1"/>
  <c r="AW33" i="1"/>
  <c r="AQ33" i="1" s="1"/>
  <c r="AQ76" i="1"/>
  <c r="AX76" i="1"/>
  <c r="AV76" i="1"/>
  <c r="C19" i="33"/>
  <c r="BA20" i="1"/>
  <c r="AP20" i="1"/>
  <c r="D19" i="67" s="1"/>
  <c r="AW20" i="1"/>
  <c r="AP72" i="1"/>
  <c r="D71" i="67" s="1"/>
  <c r="C71" i="33"/>
  <c r="BA72" i="1"/>
  <c r="AW72" i="1"/>
  <c r="E7" i="84"/>
  <c r="E7" i="83"/>
  <c r="AV56" i="1"/>
  <c r="AX56" i="1"/>
  <c r="AP13" i="1"/>
  <c r="D12" i="67" s="1"/>
  <c r="BA13" i="1"/>
  <c r="C12" i="33"/>
  <c r="AW13" i="1"/>
  <c r="C57" i="33"/>
  <c r="BA58" i="1"/>
  <c r="AP58" i="1"/>
  <c r="D57" i="67" s="1"/>
  <c r="AW58" i="1"/>
  <c r="AQ67" i="1"/>
  <c r="AV67" i="1"/>
  <c r="AX67" i="1"/>
  <c r="AQ46" i="1"/>
  <c r="AV46" i="1"/>
  <c r="AX46" i="1"/>
  <c r="BA17" i="1"/>
  <c r="C16" i="33"/>
  <c r="AP17" i="1"/>
  <c r="D16" i="67" s="1"/>
  <c r="AW17" i="1"/>
  <c r="E26" i="81"/>
  <c r="V77" i="1"/>
  <c r="AQ22" i="1"/>
  <c r="AV22" i="1"/>
  <c r="AX22" i="1"/>
  <c r="AQ36" i="1"/>
  <c r="AV36" i="1"/>
  <c r="AX36" i="1"/>
  <c r="C67" i="33"/>
  <c r="BA68" i="1"/>
  <c r="AP68" i="1"/>
  <c r="D67" i="67" s="1"/>
  <c r="AW68" i="1"/>
  <c r="AX47" i="1"/>
  <c r="AV47" i="1"/>
  <c r="AX65" i="1"/>
  <c r="AV65" i="1"/>
  <c r="AQ65" i="1"/>
  <c r="AQ21" i="1"/>
  <c r="AX21" i="1"/>
  <c r="AV21" i="1"/>
  <c r="AV60" i="1"/>
  <c r="AX60" i="1"/>
  <c r="AX37" i="1"/>
  <c r="AV37" i="1"/>
  <c r="AQ14" i="1"/>
  <c r="AV14" i="1"/>
  <c r="AX14" i="1"/>
  <c r="BD8" i="1"/>
  <c r="BD77" i="1" s="1"/>
  <c r="BB77" i="1"/>
  <c r="C44" i="33"/>
  <c r="AP45" i="1"/>
  <c r="D44" i="67" s="1"/>
  <c r="BA45" i="1"/>
  <c r="AW45" i="1"/>
  <c r="AQ45" i="1" s="1"/>
  <c r="AX26" i="1"/>
  <c r="AV26" i="1"/>
  <c r="AX23" i="1"/>
  <c r="AV23" i="1"/>
  <c r="AV42" i="1"/>
  <c r="AQ42" i="1"/>
  <c r="AX42" i="1"/>
  <c r="AQ26" i="1"/>
  <c r="AH16" i="1"/>
  <c r="AK16" i="1"/>
  <c r="AL16" i="1" s="1"/>
  <c r="AO16" i="1"/>
  <c r="G36" i="81"/>
  <c r="H36" i="81"/>
  <c r="AU24" i="1"/>
  <c r="AU62" i="1"/>
  <c r="AU47" i="1"/>
  <c r="AU25" i="1"/>
  <c r="AU28" i="1"/>
  <c r="AU42" i="1"/>
  <c r="AU74" i="1"/>
  <c r="AU17" i="1"/>
  <c r="AU45" i="1"/>
  <c r="AU37" i="1"/>
  <c r="AU68" i="1"/>
  <c r="AU76" i="1"/>
  <c r="AU15" i="1"/>
  <c r="AU48" i="1"/>
  <c r="AU51" i="1"/>
  <c r="AU60" i="1"/>
  <c r="AU73" i="1"/>
  <c r="AU27" i="1"/>
  <c r="AU43" i="1"/>
  <c r="AU69" i="1"/>
  <c r="AU35" i="1"/>
  <c r="AU34" i="1"/>
  <c r="AU44" i="1"/>
  <c r="AU31" i="1"/>
  <c r="AU40" i="1"/>
  <c r="AU11" i="1"/>
  <c r="AU32" i="1"/>
  <c r="AU12" i="1"/>
  <c r="AU29" i="1"/>
  <c r="AU9" i="1"/>
  <c r="AU52" i="1"/>
  <c r="AU49" i="1"/>
  <c r="AU22" i="1"/>
  <c r="AU72" i="1"/>
  <c r="AU61" i="1"/>
  <c r="AU33" i="1"/>
  <c r="AU66" i="1"/>
  <c r="AU75" i="1"/>
  <c r="AU38" i="1"/>
  <c r="AU14" i="1"/>
  <c r="AU70" i="1"/>
  <c r="AU23" i="1"/>
  <c r="AU54" i="1"/>
  <c r="AU57" i="1"/>
  <c r="AU53" i="1"/>
  <c r="AU58" i="1"/>
  <c r="AU39" i="1"/>
  <c r="AU46" i="1"/>
  <c r="AU50" i="1"/>
  <c r="AU20" i="1"/>
  <c r="AU13" i="1"/>
  <c r="AU18" i="1"/>
  <c r="AU10" i="1"/>
  <c r="AU63" i="1"/>
  <c r="AU71" i="1"/>
  <c r="AU67" i="1"/>
  <c r="AU56" i="1"/>
  <c r="AU36" i="1"/>
  <c r="AU30" i="1"/>
  <c r="AU21" i="1"/>
  <c r="AU55" i="1"/>
  <c r="AU59" i="1"/>
  <c r="AU16" i="1"/>
  <c r="AU26" i="1"/>
  <c r="AU19" i="1"/>
  <c r="AU65" i="1"/>
  <c r="AU41" i="1"/>
  <c r="AU8" i="1"/>
  <c r="AU64" i="1"/>
  <c r="U7" i="67"/>
  <c r="Z7" i="67" s="1"/>
  <c r="R76" i="67"/>
  <c r="U76" i="67" s="1"/>
  <c r="AX24" i="1"/>
  <c r="AV24" i="1"/>
  <c r="AQ24" i="1"/>
  <c r="I49" i="76" l="1"/>
  <c r="I58" i="80"/>
  <c r="I25" i="76"/>
  <c r="I41" i="76"/>
  <c r="I10" i="80"/>
  <c r="I42" i="80"/>
  <c r="I67" i="76"/>
  <c r="I46" i="80"/>
  <c r="I69" i="76"/>
  <c r="I65" i="76"/>
  <c r="I68" i="76"/>
  <c r="I18" i="80"/>
  <c r="I32" i="76"/>
  <c r="I40" i="80"/>
  <c r="I20" i="76"/>
  <c r="I20" i="80"/>
  <c r="I29" i="80"/>
  <c r="I54" i="76"/>
  <c r="I28" i="80"/>
  <c r="I7" i="76"/>
  <c r="I7" i="80"/>
  <c r="I17" i="76"/>
  <c r="I17" i="80"/>
  <c r="I56" i="80"/>
  <c r="I6" i="76"/>
  <c r="I62" i="80"/>
  <c r="I26" i="80"/>
  <c r="I51" i="76"/>
  <c r="I30" i="80"/>
  <c r="I55" i="76"/>
  <c r="I14" i="80"/>
  <c r="I59" i="76"/>
  <c r="I49" i="80"/>
  <c r="I58" i="76"/>
  <c r="I25" i="80"/>
  <c r="I41" i="80"/>
  <c r="I10" i="76"/>
  <c r="I42" i="76"/>
  <c r="I67" i="80"/>
  <c r="I46" i="76"/>
  <c r="I69" i="80"/>
  <c r="I65" i="80"/>
  <c r="I68" i="80"/>
  <c r="I18" i="76"/>
  <c r="I24" i="76"/>
  <c r="I24" i="80"/>
  <c r="I32" i="80"/>
  <c r="I40" i="76"/>
  <c r="I29" i="76"/>
  <c r="I54" i="80"/>
  <c r="I28" i="76"/>
  <c r="I56" i="76"/>
  <c r="I6" i="80"/>
  <c r="I21" i="76"/>
  <c r="I21" i="80"/>
  <c r="I62" i="76"/>
  <c r="I26" i="76"/>
  <c r="I51" i="80"/>
  <c r="I30" i="76"/>
  <c r="I27" i="76"/>
  <c r="I27" i="80"/>
  <c r="I55" i="80"/>
  <c r="I14" i="76"/>
  <c r="I59" i="80"/>
  <c r="I8" i="76"/>
  <c r="I8" i="80"/>
  <c r="AG59" i="67"/>
  <c r="Q58" i="72" s="1"/>
  <c r="AG54" i="67"/>
  <c r="Q53" i="72" s="1"/>
  <c r="AG60" i="67"/>
  <c r="Q59" i="72" s="1"/>
  <c r="AG38" i="67"/>
  <c r="Q37" i="72" s="1"/>
  <c r="AG8" i="67"/>
  <c r="Q7" i="72" s="1"/>
  <c r="AG46" i="67"/>
  <c r="Q45" i="72" s="1"/>
  <c r="AG64" i="67"/>
  <c r="Q63" i="72" s="1"/>
  <c r="AG12" i="67"/>
  <c r="Q11" i="72" s="1"/>
  <c r="AG31" i="67"/>
  <c r="Q30" i="72" s="1"/>
  <c r="AG23" i="67"/>
  <c r="Q22" i="72" s="1"/>
  <c r="AG10" i="67"/>
  <c r="Q9" i="72" s="1"/>
  <c r="AG55" i="67"/>
  <c r="Q54" i="72" s="1"/>
  <c r="AG53" i="67"/>
  <c r="Q52" i="72" s="1"/>
  <c r="AG39" i="67"/>
  <c r="Q38" i="72" s="1"/>
  <c r="AG51" i="67"/>
  <c r="Q50" i="72" s="1"/>
  <c r="AG30" i="67"/>
  <c r="Q29" i="72" s="1"/>
  <c r="AG25" i="67"/>
  <c r="Q24" i="72" s="1"/>
  <c r="AG44" i="67"/>
  <c r="Q43" i="72" s="1"/>
  <c r="AG21" i="67"/>
  <c r="Q20" i="72" s="1"/>
  <c r="AG74" i="67"/>
  <c r="Q73" i="72" s="1"/>
  <c r="AX52" i="1"/>
  <c r="AQ52" i="1"/>
  <c r="D8" i="67"/>
  <c r="AU54" i="33"/>
  <c r="D54" i="67"/>
  <c r="D13" i="80"/>
  <c r="D15" i="115"/>
  <c r="D13" i="76"/>
  <c r="D15" i="116"/>
  <c r="D15" i="117"/>
  <c r="D15" i="118"/>
  <c r="D15" i="119"/>
  <c r="D15" i="120"/>
  <c r="D29" i="46"/>
  <c r="D15" i="114"/>
  <c r="D15" i="113"/>
  <c r="D28" i="46"/>
  <c r="D26" i="46"/>
  <c r="AU50" i="33"/>
  <c r="D50" i="67"/>
  <c r="D17" i="67"/>
  <c r="D52" i="67"/>
  <c r="D51" i="67"/>
  <c r="D33" i="67"/>
  <c r="AQ75" i="1"/>
  <c r="AU33" i="33"/>
  <c r="AX34" i="1"/>
  <c r="AV34" i="1"/>
  <c r="AV75" i="1"/>
  <c r="AU51" i="33"/>
  <c r="AD61" i="67"/>
  <c r="AF61" i="67" s="1"/>
  <c r="AD69" i="67"/>
  <c r="AF69" i="67" s="1"/>
  <c r="P18" i="100"/>
  <c r="P42" i="100"/>
  <c r="P31" i="100"/>
  <c r="AQ18" i="1"/>
  <c r="AX55" i="1"/>
  <c r="AV18" i="1"/>
  <c r="P70" i="100"/>
  <c r="P43" i="100"/>
  <c r="P56" i="100"/>
  <c r="P27" i="100"/>
  <c r="AU52" i="33"/>
  <c r="P55" i="100"/>
  <c r="P63" i="100"/>
  <c r="P11" i="100"/>
  <c r="P30" i="100"/>
  <c r="P22" i="100"/>
  <c r="P9" i="100"/>
  <c r="P54" i="100"/>
  <c r="P52" i="100"/>
  <c r="P38" i="100"/>
  <c r="AX9" i="1"/>
  <c r="AF56" i="67"/>
  <c r="AF52" i="67"/>
  <c r="AF58" i="67"/>
  <c r="AF17" i="67"/>
  <c r="AF70" i="67"/>
  <c r="AF57" i="67"/>
  <c r="AF43" i="67"/>
  <c r="AF71" i="67"/>
  <c r="AF19" i="67"/>
  <c r="AF28" i="67"/>
  <c r="AF32" i="67"/>
  <c r="AF42" i="67"/>
  <c r="AF40" i="67"/>
  <c r="AF41" i="67"/>
  <c r="AF50" i="67"/>
  <c r="AD24" i="67"/>
  <c r="AF24" i="67" s="1"/>
  <c r="P23" i="100"/>
  <c r="AD67" i="67"/>
  <c r="AF67" i="67" s="1"/>
  <c r="P66" i="100"/>
  <c r="AD29" i="67"/>
  <c r="AF29" i="67" s="1"/>
  <c r="P28" i="100"/>
  <c r="AD14" i="67"/>
  <c r="AF14" i="67" s="1"/>
  <c r="P13" i="100"/>
  <c r="AD63" i="67"/>
  <c r="AF63" i="67" s="1"/>
  <c r="P62" i="100"/>
  <c r="AD35" i="67"/>
  <c r="AF35" i="67" s="1"/>
  <c r="P34" i="100"/>
  <c r="AD27" i="67"/>
  <c r="AF27" i="67" s="1"/>
  <c r="P26" i="100"/>
  <c r="AD22" i="67"/>
  <c r="AF22" i="67" s="1"/>
  <c r="P21" i="100"/>
  <c r="AD48" i="67"/>
  <c r="AF48" i="67" s="1"/>
  <c r="P47" i="100"/>
  <c r="AD62" i="67"/>
  <c r="AF62" i="67" s="1"/>
  <c r="P61" i="100"/>
  <c r="AD18" i="67"/>
  <c r="AF18" i="67" s="1"/>
  <c r="P17" i="100"/>
  <c r="AD45" i="67"/>
  <c r="AF45" i="67" s="1"/>
  <c r="P44" i="100"/>
  <c r="AD37" i="67"/>
  <c r="AF37" i="67" s="1"/>
  <c r="P36" i="100"/>
  <c r="AD47" i="67"/>
  <c r="AF47" i="67" s="1"/>
  <c r="P46" i="100"/>
  <c r="AD16" i="67"/>
  <c r="AF16" i="67" s="1"/>
  <c r="P15" i="100"/>
  <c r="AD72" i="67"/>
  <c r="AF72" i="67" s="1"/>
  <c r="P71" i="100"/>
  <c r="AD20" i="67"/>
  <c r="AF20" i="67" s="1"/>
  <c r="P19" i="100"/>
  <c r="AD75" i="67"/>
  <c r="AF75" i="67" s="1"/>
  <c r="P74" i="100"/>
  <c r="AD73" i="67"/>
  <c r="AF73" i="67" s="1"/>
  <c r="P72" i="100"/>
  <c r="AD65" i="67"/>
  <c r="AF65" i="67" s="1"/>
  <c r="P64" i="100"/>
  <c r="AA15" i="67"/>
  <c r="AB15" i="67" s="1"/>
  <c r="V7" i="67"/>
  <c r="V76" i="67" s="1"/>
  <c r="X7" i="67"/>
  <c r="Z76" i="67"/>
  <c r="AQ55" i="1"/>
  <c r="AV9" i="1"/>
  <c r="AU8" i="33"/>
  <c r="AU46" i="33"/>
  <c r="E100" i="81"/>
  <c r="AU17" i="33"/>
  <c r="AX51" i="1"/>
  <c r="AQ51" i="1"/>
  <c r="AU14" i="33"/>
  <c r="AU72" i="33"/>
  <c r="AU34" i="33"/>
  <c r="AU37" i="33"/>
  <c r="AU43" i="33"/>
  <c r="AU64" i="33"/>
  <c r="AU9" i="33"/>
  <c r="AU41" i="33"/>
  <c r="AU29" i="33"/>
  <c r="AU10" i="33"/>
  <c r="AU44" i="33"/>
  <c r="AU32" i="33"/>
  <c r="AU56" i="33"/>
  <c r="AU16" i="33"/>
  <c r="AU19" i="33"/>
  <c r="AU61" i="33"/>
  <c r="AU69" i="33"/>
  <c r="AU67" i="33"/>
  <c r="AU57" i="33"/>
  <c r="AU12" i="33"/>
  <c r="AU71" i="33"/>
  <c r="AU48" i="33"/>
  <c r="AX50" i="1"/>
  <c r="AV50" i="1"/>
  <c r="AX31" i="1"/>
  <c r="AV31" i="1"/>
  <c r="AV43" i="1"/>
  <c r="AQ43" i="1"/>
  <c r="AX10" i="1"/>
  <c r="AV10" i="1"/>
  <c r="AQ10" i="1"/>
  <c r="AX44" i="1"/>
  <c r="AX73" i="1"/>
  <c r="AV73" i="1"/>
  <c r="AV44" i="1"/>
  <c r="AF8" i="1"/>
  <c r="AE77" i="1"/>
  <c r="E37" i="81" s="1"/>
  <c r="G37" i="81" s="1"/>
  <c r="AV64" i="1"/>
  <c r="AG8" i="1"/>
  <c r="AK8" i="1" s="1"/>
  <c r="AL8" i="1" s="1"/>
  <c r="AQ64" i="1"/>
  <c r="AX29" i="1"/>
  <c r="AQ29" i="1"/>
  <c r="AV58" i="1"/>
  <c r="AX58" i="1"/>
  <c r="AQ30" i="1"/>
  <c r="AV30" i="1"/>
  <c r="AX30" i="1"/>
  <c r="AQ58" i="1"/>
  <c r="AQ57" i="1"/>
  <c r="AV57" i="1"/>
  <c r="AX57" i="1"/>
  <c r="AV68" i="1"/>
  <c r="AX68" i="1"/>
  <c r="F81" i="25"/>
  <c r="E77" i="83"/>
  <c r="E76" i="84"/>
  <c r="AQ17" i="1"/>
  <c r="AV17" i="1"/>
  <c r="AX17" i="1"/>
  <c r="AQ11" i="1"/>
  <c r="AV11" i="1"/>
  <c r="AX11" i="1"/>
  <c r="AX20" i="1"/>
  <c r="AV20" i="1"/>
  <c r="AX33" i="1"/>
  <c r="AV33" i="1"/>
  <c r="AV45" i="1"/>
  <c r="AX45" i="1"/>
  <c r="AQ20" i="1"/>
  <c r="AQ68" i="1"/>
  <c r="G26" i="81"/>
  <c r="H26" i="81"/>
  <c r="AQ13" i="1"/>
  <c r="AV13" i="1"/>
  <c r="AX13" i="1"/>
  <c r="AQ72" i="1"/>
  <c r="AV72" i="1"/>
  <c r="AX72" i="1"/>
  <c r="AX49" i="1"/>
  <c r="AV49" i="1"/>
  <c r="AV62" i="1"/>
  <c r="AX62" i="1"/>
  <c r="AQ70" i="1"/>
  <c r="AV70" i="1"/>
  <c r="AX70" i="1"/>
  <c r="C15" i="33"/>
  <c r="AP16" i="1"/>
  <c r="D15" i="67" s="1"/>
  <c r="BA16" i="1"/>
  <c r="AW16" i="1"/>
  <c r="BG8" i="1"/>
  <c r="BG77" i="1" s="1"/>
  <c r="BE77" i="1"/>
  <c r="I13" i="76" l="1"/>
  <c r="I13" i="80"/>
  <c r="AG50" i="67"/>
  <c r="Q49" i="72" s="1"/>
  <c r="AG40" i="67"/>
  <c r="Q39" i="72" s="1"/>
  <c r="AG32" i="67"/>
  <c r="Q31" i="72" s="1"/>
  <c r="AG19" i="67"/>
  <c r="Q18" i="72" s="1"/>
  <c r="AG43" i="67"/>
  <c r="Q42" i="72" s="1"/>
  <c r="AG70" i="67"/>
  <c r="Q69" i="72" s="1"/>
  <c r="AG58" i="67"/>
  <c r="Q57" i="72" s="1"/>
  <c r="AG56" i="67"/>
  <c r="Q55" i="72" s="1"/>
  <c r="AG69" i="67"/>
  <c r="Q68" i="72" s="1"/>
  <c r="AG65" i="67"/>
  <c r="Q64" i="72" s="1"/>
  <c r="AG73" i="67"/>
  <c r="Q72" i="72" s="1"/>
  <c r="AG75" i="67"/>
  <c r="Q74" i="72" s="1"/>
  <c r="AG20" i="67"/>
  <c r="Q19" i="72" s="1"/>
  <c r="AG72" i="67"/>
  <c r="Q71" i="72" s="1"/>
  <c r="AG16" i="67"/>
  <c r="Q15" i="72" s="1"/>
  <c r="AG47" i="67"/>
  <c r="Q46" i="72" s="1"/>
  <c r="AG37" i="67"/>
  <c r="Q36" i="72" s="1"/>
  <c r="AG45" i="67"/>
  <c r="Q44" i="72" s="1"/>
  <c r="AG18" i="67"/>
  <c r="Q17" i="72" s="1"/>
  <c r="AG62" i="67"/>
  <c r="Q61" i="72" s="1"/>
  <c r="AG48" i="67"/>
  <c r="Q47" i="72" s="1"/>
  <c r="AG22" i="67"/>
  <c r="Q21" i="72" s="1"/>
  <c r="AG27" i="67"/>
  <c r="Q26" i="72" s="1"/>
  <c r="AG35" i="67"/>
  <c r="Q34" i="72" s="1"/>
  <c r="AG63" i="67"/>
  <c r="Q62" i="72" s="1"/>
  <c r="AG14" i="67"/>
  <c r="Q13" i="72" s="1"/>
  <c r="AG29" i="67"/>
  <c r="Q28" i="72" s="1"/>
  <c r="AG67" i="67"/>
  <c r="Q66" i="72" s="1"/>
  <c r="AG24" i="67"/>
  <c r="Q23" i="72" s="1"/>
  <c r="AG41" i="67"/>
  <c r="Q40" i="72" s="1"/>
  <c r="AG42" i="67"/>
  <c r="Q41" i="72" s="1"/>
  <c r="AG28" i="67"/>
  <c r="Q27" i="72" s="1"/>
  <c r="AG71" i="67"/>
  <c r="Q70" i="72" s="1"/>
  <c r="AG57" i="67"/>
  <c r="Q56" i="72" s="1"/>
  <c r="AG17" i="67"/>
  <c r="Q16" i="72" s="1"/>
  <c r="AG52" i="67"/>
  <c r="Q51" i="72" s="1"/>
  <c r="AG61" i="67"/>
  <c r="Q60" i="72" s="1"/>
  <c r="D5" i="80"/>
  <c r="D5" i="76"/>
  <c r="D7" i="117"/>
  <c r="D7" i="114"/>
  <c r="D7" i="118"/>
  <c r="D7" i="115"/>
  <c r="D7" i="119"/>
  <c r="D7" i="113"/>
  <c r="D7" i="116"/>
  <c r="D7" i="120"/>
  <c r="AD15" i="67"/>
  <c r="AF15" i="67" s="1"/>
  <c r="P14" i="100"/>
  <c r="X76" i="67"/>
  <c r="AA7" i="67"/>
  <c r="AU15" i="33"/>
  <c r="H37" i="81"/>
  <c r="AO8" i="1"/>
  <c r="AW8" i="1" s="1"/>
  <c r="AF77" i="1"/>
  <c r="E38" i="81"/>
  <c r="G38" i="81" s="1"/>
  <c r="AG77" i="1"/>
  <c r="AH8" i="1"/>
  <c r="AQ16" i="1"/>
  <c r="AX16" i="1"/>
  <c r="AV16" i="1"/>
  <c r="AK77" i="1"/>
  <c r="AL77" i="1" s="1"/>
  <c r="I5" i="80" l="1"/>
  <c r="I5" i="76"/>
  <c r="AG15" i="67"/>
  <c r="Q14" i="72" s="1"/>
  <c r="D76" i="118"/>
  <c r="D77" i="118"/>
  <c r="D76" i="117"/>
  <c r="D77" i="115"/>
  <c r="D77" i="119"/>
  <c r="D76" i="120"/>
  <c r="D76" i="116"/>
  <c r="D77" i="116"/>
  <c r="D77" i="120"/>
  <c r="D74" i="80"/>
  <c r="D76" i="119"/>
  <c r="D77" i="117"/>
  <c r="D77" i="114"/>
  <c r="D76" i="113"/>
  <c r="C9" i="5"/>
  <c r="C8" i="5"/>
  <c r="AB7" i="67"/>
  <c r="AA76" i="67"/>
  <c r="AB76" i="67" s="1"/>
  <c r="E76" i="115"/>
  <c r="H76" i="115" s="1"/>
  <c r="AH77" i="1"/>
  <c r="H38" i="81"/>
  <c r="C7" i="33"/>
  <c r="E48" i="81"/>
  <c r="G48" i="81" s="1"/>
  <c r="AO77" i="1"/>
  <c r="AP77" i="1" s="1"/>
  <c r="BA8" i="1"/>
  <c r="BA77" i="1" s="1"/>
  <c r="AP8" i="1"/>
  <c r="D7" i="67" s="1"/>
  <c r="AQ8" i="1"/>
  <c r="AX8" i="1"/>
  <c r="AV8" i="1"/>
  <c r="AW77" i="1"/>
  <c r="D76" i="67" l="1"/>
  <c r="D107" i="84"/>
  <c r="D108" i="83"/>
  <c r="AD7" i="67"/>
  <c r="P6" i="100"/>
  <c r="P75" i="100" s="1"/>
  <c r="AU7" i="33"/>
  <c r="C76" i="33"/>
  <c r="H48" i="81"/>
  <c r="D74" i="84"/>
  <c r="D70" i="84"/>
  <c r="D66" i="84"/>
  <c r="D62" i="84"/>
  <c r="D58" i="84"/>
  <c r="D54" i="84"/>
  <c r="D50" i="84"/>
  <c r="D46" i="84"/>
  <c r="D42" i="84"/>
  <c r="D38" i="84"/>
  <c r="D34" i="84"/>
  <c r="D30" i="84"/>
  <c r="D26" i="84"/>
  <c r="D22" i="84"/>
  <c r="D18" i="84"/>
  <c r="D73" i="84"/>
  <c r="D69" i="84"/>
  <c r="D65" i="84"/>
  <c r="D61" i="84"/>
  <c r="D57" i="84"/>
  <c r="D53" i="84"/>
  <c r="D49" i="84"/>
  <c r="D45" i="84"/>
  <c r="D41" i="84"/>
  <c r="D37" i="84"/>
  <c r="D33" i="84"/>
  <c r="D29" i="84"/>
  <c r="D25" i="84"/>
  <c r="D21" i="84"/>
  <c r="D17" i="84"/>
  <c r="D72" i="84"/>
  <c r="D68" i="84"/>
  <c r="D64" i="84"/>
  <c r="D60" i="84"/>
  <c r="D56" i="84"/>
  <c r="D52" i="84"/>
  <c r="D48" i="84"/>
  <c r="D44" i="84"/>
  <c r="D40" i="84"/>
  <c r="D36" i="84"/>
  <c r="D32" i="84"/>
  <c r="D28" i="84"/>
  <c r="D24" i="84"/>
  <c r="D20" i="84"/>
  <c r="D16" i="84"/>
  <c r="D75" i="84"/>
  <c r="D71" i="84"/>
  <c r="D67" i="84"/>
  <c r="D63" i="84"/>
  <c r="D59" i="84"/>
  <c r="D55" i="84"/>
  <c r="D51" i="84"/>
  <c r="D47" i="84"/>
  <c r="D43" i="84"/>
  <c r="D39" i="84"/>
  <c r="D35" i="84"/>
  <c r="D31" i="84"/>
  <c r="D27" i="84"/>
  <c r="D23" i="84"/>
  <c r="D19" i="84"/>
  <c r="D14" i="84"/>
  <c r="D10" i="84"/>
  <c r="D75" i="83"/>
  <c r="D71" i="83"/>
  <c r="D67" i="83"/>
  <c r="D63" i="83"/>
  <c r="D59" i="83"/>
  <c r="D55" i="83"/>
  <c r="D51" i="83"/>
  <c r="D47" i="83"/>
  <c r="D43" i="83"/>
  <c r="D39" i="83"/>
  <c r="D35" i="83"/>
  <c r="D31" i="83"/>
  <c r="D27" i="83"/>
  <c r="D23" i="83"/>
  <c r="D19" i="83"/>
  <c r="D15" i="83"/>
  <c r="D11" i="83"/>
  <c r="D7" i="83"/>
  <c r="P7" i="83" s="1"/>
  <c r="D13" i="84"/>
  <c r="D9" i="84"/>
  <c r="D74" i="83"/>
  <c r="D70" i="83"/>
  <c r="D66" i="83"/>
  <c r="D62" i="83"/>
  <c r="D58" i="83"/>
  <c r="D54" i="83"/>
  <c r="D50" i="83"/>
  <c r="D46" i="83"/>
  <c r="D42" i="83"/>
  <c r="D38" i="83"/>
  <c r="D34" i="83"/>
  <c r="D30" i="83"/>
  <c r="D26" i="83"/>
  <c r="D22" i="83"/>
  <c r="D18" i="83"/>
  <c r="D14" i="83"/>
  <c r="D10" i="83"/>
  <c r="D12" i="84"/>
  <c r="D8" i="84"/>
  <c r="D73" i="83"/>
  <c r="D69" i="83"/>
  <c r="D65" i="83"/>
  <c r="D61" i="83"/>
  <c r="D57" i="83"/>
  <c r="D53" i="83"/>
  <c r="D49" i="83"/>
  <c r="D45" i="83"/>
  <c r="D41" i="83"/>
  <c r="D37" i="83"/>
  <c r="D33" i="83"/>
  <c r="D29" i="83"/>
  <c r="D25" i="83"/>
  <c r="D21" i="83"/>
  <c r="D17" i="83"/>
  <c r="D13" i="83"/>
  <c r="D9" i="83"/>
  <c r="D15" i="84"/>
  <c r="D11" i="84"/>
  <c r="D7" i="84"/>
  <c r="D72" i="83"/>
  <c r="D68" i="83"/>
  <c r="D64" i="83"/>
  <c r="D60" i="83"/>
  <c r="D56" i="83"/>
  <c r="D52" i="83"/>
  <c r="D48" i="83"/>
  <c r="D44" i="83"/>
  <c r="D40" i="83"/>
  <c r="D36" i="83"/>
  <c r="D32" i="83"/>
  <c r="D28" i="83"/>
  <c r="D24" i="83"/>
  <c r="D20" i="83"/>
  <c r="D16" i="83"/>
  <c r="D12" i="83"/>
  <c r="D8" i="83"/>
  <c r="E49" i="81"/>
  <c r="H49" i="81" s="1"/>
  <c r="D76" i="84"/>
  <c r="H77" i="84" s="1"/>
  <c r="D77" i="83"/>
  <c r="H78" i="83" s="1"/>
  <c r="AX77" i="1"/>
  <c r="AV77" i="1"/>
  <c r="AY24" i="1"/>
  <c r="AY63" i="1"/>
  <c r="AY70" i="1"/>
  <c r="AY13" i="1"/>
  <c r="AY74" i="1"/>
  <c r="AY38" i="1"/>
  <c r="AY56" i="1"/>
  <c r="AY59" i="1"/>
  <c r="AY20" i="1"/>
  <c r="AY60" i="1"/>
  <c r="AY67" i="1"/>
  <c r="AY21" i="1"/>
  <c r="AY66" i="1"/>
  <c r="AY37" i="1"/>
  <c r="AY54" i="1"/>
  <c r="AY33" i="1"/>
  <c r="AY19" i="1"/>
  <c r="AY29" i="1"/>
  <c r="AY22" i="1"/>
  <c r="AY50" i="1"/>
  <c r="AY57" i="1"/>
  <c r="AY53" i="1"/>
  <c r="AY31" i="1"/>
  <c r="AY25" i="1"/>
  <c r="AY30" i="1"/>
  <c r="AY48" i="1"/>
  <c r="AY8" i="1"/>
  <c r="AY49" i="1"/>
  <c r="AY16" i="1"/>
  <c r="AY65" i="1"/>
  <c r="AY46" i="1"/>
  <c r="AY44" i="1"/>
  <c r="AY39" i="1"/>
  <c r="AY51" i="1"/>
  <c r="AY35" i="1"/>
  <c r="AY17" i="1"/>
  <c r="AY11" i="1"/>
  <c r="AY28" i="1"/>
  <c r="AY14" i="1"/>
  <c r="AY58" i="1"/>
  <c r="AY40" i="1"/>
  <c r="AY36" i="1"/>
  <c r="AY71" i="1"/>
  <c r="AY62" i="1"/>
  <c r="AY32" i="1"/>
  <c r="AY69" i="1"/>
  <c r="AY75" i="1"/>
  <c r="AY12" i="1"/>
  <c r="AY55" i="1"/>
  <c r="AY42" i="1"/>
  <c r="AY61" i="1"/>
  <c r="AY23" i="1"/>
  <c r="AY41" i="1"/>
  <c r="AY26" i="1"/>
  <c r="AY10" i="1"/>
  <c r="AY76" i="1"/>
  <c r="AY68" i="1"/>
  <c r="AY27" i="1"/>
  <c r="AY34" i="1"/>
  <c r="AY15" i="1"/>
  <c r="AY9" i="1"/>
  <c r="AY72" i="1"/>
  <c r="AY52" i="1"/>
  <c r="AY64" i="1"/>
  <c r="AY73" i="1"/>
  <c r="AY18" i="1"/>
  <c r="AY47" i="1"/>
  <c r="AY43" i="1"/>
  <c r="AY45" i="1"/>
  <c r="AQ77" i="1"/>
  <c r="AR16" i="1"/>
  <c r="AR8" i="1"/>
  <c r="AR23" i="1"/>
  <c r="AR75" i="1"/>
  <c r="AR25" i="1"/>
  <c r="AR13" i="1"/>
  <c r="AR66" i="1"/>
  <c r="AR30" i="1"/>
  <c r="AR28" i="1"/>
  <c r="AR15" i="1"/>
  <c r="AR60" i="1"/>
  <c r="AR41" i="1"/>
  <c r="AR63" i="1"/>
  <c r="AR38" i="1"/>
  <c r="AR65" i="1"/>
  <c r="AR44" i="1"/>
  <c r="AR31" i="1"/>
  <c r="AR27" i="1"/>
  <c r="AR50" i="1"/>
  <c r="AR24" i="1"/>
  <c r="AR19" i="1"/>
  <c r="AR72" i="1"/>
  <c r="AR64" i="1"/>
  <c r="AR70" i="1"/>
  <c r="AR69" i="1"/>
  <c r="AR57" i="1"/>
  <c r="AR11" i="1"/>
  <c r="AR71" i="1"/>
  <c r="AR36" i="1"/>
  <c r="AR59" i="1"/>
  <c r="AR68" i="1"/>
  <c r="AR47" i="1"/>
  <c r="AR37" i="1"/>
  <c r="AR20" i="1"/>
  <c r="AR40" i="1"/>
  <c r="AR67" i="1"/>
  <c r="AR9" i="1"/>
  <c r="AR22" i="1"/>
  <c r="AR52" i="1"/>
  <c r="AR43" i="1"/>
  <c r="AR21" i="1"/>
  <c r="AR26" i="1"/>
  <c r="AR53" i="1"/>
  <c r="AR48" i="1"/>
  <c r="AR74" i="1"/>
  <c r="AR46" i="1"/>
  <c r="AR14" i="1"/>
  <c r="AR42" i="1"/>
  <c r="AR35" i="1"/>
  <c r="AR56" i="1"/>
  <c r="AR51" i="1"/>
  <c r="AR62" i="1"/>
  <c r="AR45" i="1"/>
  <c r="AR58" i="1"/>
  <c r="AR76" i="1"/>
  <c r="AR17" i="1"/>
  <c r="AR18" i="1"/>
  <c r="AR39" i="1"/>
  <c r="AR73" i="1"/>
  <c r="AR12" i="1"/>
  <c r="AR29" i="1"/>
  <c r="AR61" i="1"/>
  <c r="AR49" i="1"/>
  <c r="AR34" i="1"/>
  <c r="AR32" i="1"/>
  <c r="AR55" i="1"/>
  <c r="AR33" i="1"/>
  <c r="AR10" i="1"/>
  <c r="AR54" i="1"/>
  <c r="AF7" i="67" l="1"/>
  <c r="AD76" i="67"/>
  <c r="Q7" i="83"/>
  <c r="P7" i="84"/>
  <c r="G7" i="83"/>
  <c r="H7" i="83" s="1"/>
  <c r="L7" i="83" s="1"/>
  <c r="G28" i="83"/>
  <c r="H28" i="83" s="1"/>
  <c r="L28" i="83" s="1"/>
  <c r="P28" i="83"/>
  <c r="P45" i="83"/>
  <c r="G45" i="83"/>
  <c r="H45" i="83" s="1"/>
  <c r="L45" i="83" s="1"/>
  <c r="G18" i="83"/>
  <c r="H18" i="83" s="1"/>
  <c r="P18" i="83"/>
  <c r="P66" i="83"/>
  <c r="G66" i="83"/>
  <c r="H66" i="83" s="1"/>
  <c r="L66" i="83" s="1"/>
  <c r="G35" i="83"/>
  <c r="H35" i="83" s="1"/>
  <c r="L35" i="83" s="1"/>
  <c r="P35" i="83"/>
  <c r="P67" i="83"/>
  <c r="G67" i="83"/>
  <c r="H67" i="83" s="1"/>
  <c r="L67" i="83" s="1"/>
  <c r="P47" i="84"/>
  <c r="G47" i="84"/>
  <c r="H47" i="84" s="1"/>
  <c r="L47" i="84" s="1"/>
  <c r="N47" i="84" s="1"/>
  <c r="O47" i="84" s="1"/>
  <c r="P63" i="84"/>
  <c r="G63" i="84"/>
  <c r="H63" i="84" s="1"/>
  <c r="L63" i="84" s="1"/>
  <c r="N63" i="84" s="1"/>
  <c r="O63" i="84" s="1"/>
  <c r="P45" i="84"/>
  <c r="G45" i="84"/>
  <c r="H45" i="84" s="1"/>
  <c r="L45" i="84" s="1"/>
  <c r="N45" i="84" s="1"/>
  <c r="O45" i="84" s="1"/>
  <c r="G7" i="84"/>
  <c r="H7" i="84" s="1"/>
  <c r="L7" i="84" s="1"/>
  <c r="N7" i="84" s="1"/>
  <c r="O7" i="84" s="1"/>
  <c r="G16" i="83"/>
  <c r="H16" i="83" s="1"/>
  <c r="L16" i="83" s="1"/>
  <c r="P16" i="83"/>
  <c r="P32" i="83"/>
  <c r="G32" i="83"/>
  <c r="H32" i="83" s="1"/>
  <c r="L32" i="83" s="1"/>
  <c r="P48" i="83"/>
  <c r="G48" i="83"/>
  <c r="H48" i="83" s="1"/>
  <c r="L48" i="83" s="1"/>
  <c r="P64" i="83"/>
  <c r="G64" i="83"/>
  <c r="H64" i="83" s="1"/>
  <c r="L64" i="83" s="1"/>
  <c r="P11" i="84"/>
  <c r="G11" i="84"/>
  <c r="H11" i="84" s="1"/>
  <c r="L11" i="84" s="1"/>
  <c r="N11" i="84" s="1"/>
  <c r="O11" i="84" s="1"/>
  <c r="P17" i="83"/>
  <c r="G17" i="83"/>
  <c r="H17" i="83" s="1"/>
  <c r="L17" i="83" s="1"/>
  <c r="P33" i="83"/>
  <c r="G33" i="83"/>
  <c r="H33" i="83" s="1"/>
  <c r="L33" i="83" s="1"/>
  <c r="P49" i="83"/>
  <c r="G49" i="83"/>
  <c r="H49" i="83" s="1"/>
  <c r="L49" i="83" s="1"/>
  <c r="G65" i="83"/>
  <c r="H65" i="83" s="1"/>
  <c r="L65" i="83" s="1"/>
  <c r="P65" i="83"/>
  <c r="G12" i="84"/>
  <c r="H12" i="84" s="1"/>
  <c r="L12" i="84" s="1"/>
  <c r="N12" i="84" s="1"/>
  <c r="O12" i="84" s="1"/>
  <c r="P12" i="84"/>
  <c r="P22" i="83"/>
  <c r="G22" i="83"/>
  <c r="H22" i="83" s="1"/>
  <c r="L22" i="83" s="1"/>
  <c r="G38" i="83"/>
  <c r="H38" i="83" s="1"/>
  <c r="L38" i="83" s="1"/>
  <c r="P38" i="83"/>
  <c r="G54" i="83"/>
  <c r="H54" i="83" s="1"/>
  <c r="L54" i="83" s="1"/>
  <c r="P54" i="83"/>
  <c r="G70" i="83"/>
  <c r="H70" i="83" s="1"/>
  <c r="L70" i="83" s="1"/>
  <c r="P70" i="83"/>
  <c r="G23" i="83"/>
  <c r="H23" i="83" s="1"/>
  <c r="L23" i="83" s="1"/>
  <c r="P23" i="83"/>
  <c r="P39" i="83"/>
  <c r="G39" i="83"/>
  <c r="H39" i="83" s="1"/>
  <c r="L39" i="83" s="1"/>
  <c r="G55" i="83"/>
  <c r="H55" i="83" s="1"/>
  <c r="L55" i="83" s="1"/>
  <c r="P55" i="83"/>
  <c r="P71" i="83"/>
  <c r="G71" i="83"/>
  <c r="H71" i="83" s="1"/>
  <c r="L71" i="83" s="1"/>
  <c r="P19" i="84"/>
  <c r="G19" i="84"/>
  <c r="H19" i="84" s="1"/>
  <c r="L19" i="84" s="1"/>
  <c r="N19" i="84" s="1"/>
  <c r="O19" i="84" s="1"/>
  <c r="P35" i="84"/>
  <c r="G35" i="84"/>
  <c r="H35" i="84" s="1"/>
  <c r="L35" i="84" s="1"/>
  <c r="N35" i="84" s="1"/>
  <c r="O35" i="84" s="1"/>
  <c r="G51" i="84"/>
  <c r="H51" i="84" s="1"/>
  <c r="L51" i="84" s="1"/>
  <c r="N51" i="84" s="1"/>
  <c r="O51" i="84" s="1"/>
  <c r="P51" i="84"/>
  <c r="P67" i="84"/>
  <c r="G67" i="84"/>
  <c r="H67" i="84" s="1"/>
  <c r="L67" i="84" s="1"/>
  <c r="N67" i="84" s="1"/>
  <c r="O67" i="84" s="1"/>
  <c r="G16" i="84"/>
  <c r="H16" i="84" s="1"/>
  <c r="L16" i="84" s="1"/>
  <c r="N16" i="84" s="1"/>
  <c r="O16" i="84" s="1"/>
  <c r="P16" i="84"/>
  <c r="G32" i="84"/>
  <c r="H32" i="84" s="1"/>
  <c r="L32" i="84" s="1"/>
  <c r="N32" i="84" s="1"/>
  <c r="O32" i="84" s="1"/>
  <c r="P32" i="84"/>
  <c r="G48" i="84"/>
  <c r="H48" i="84" s="1"/>
  <c r="L48" i="84" s="1"/>
  <c r="N48" i="84" s="1"/>
  <c r="O48" i="84" s="1"/>
  <c r="P48" i="84"/>
  <c r="P64" i="84"/>
  <c r="G64" i="84"/>
  <c r="H64" i="84" s="1"/>
  <c r="L64" i="84" s="1"/>
  <c r="N64" i="84" s="1"/>
  <c r="O64" i="84" s="1"/>
  <c r="P17" i="84"/>
  <c r="G17" i="84"/>
  <c r="H17" i="84" s="1"/>
  <c r="L17" i="84" s="1"/>
  <c r="N17" i="84" s="1"/>
  <c r="O17" i="84" s="1"/>
  <c r="P33" i="84"/>
  <c r="G33" i="84"/>
  <c r="H33" i="84" s="1"/>
  <c r="L33" i="84" s="1"/>
  <c r="N33" i="84" s="1"/>
  <c r="O33" i="84" s="1"/>
  <c r="G49" i="84"/>
  <c r="H49" i="84" s="1"/>
  <c r="L49" i="84" s="1"/>
  <c r="N49" i="84" s="1"/>
  <c r="O49" i="84" s="1"/>
  <c r="P49" i="84"/>
  <c r="G65" i="84"/>
  <c r="H65" i="84" s="1"/>
  <c r="L65" i="84" s="1"/>
  <c r="N65" i="84" s="1"/>
  <c r="O65" i="84" s="1"/>
  <c r="P65" i="84"/>
  <c r="P22" i="84"/>
  <c r="G22" i="84"/>
  <c r="H22" i="84" s="1"/>
  <c r="L22" i="84" s="1"/>
  <c r="N22" i="84" s="1"/>
  <c r="O22" i="84" s="1"/>
  <c r="P38" i="84"/>
  <c r="G38" i="84"/>
  <c r="H38" i="84" s="1"/>
  <c r="L38" i="84" s="1"/>
  <c r="N38" i="84" s="1"/>
  <c r="O38" i="84" s="1"/>
  <c r="P54" i="84"/>
  <c r="G54" i="84"/>
  <c r="H54" i="84" s="1"/>
  <c r="L54" i="84" s="1"/>
  <c r="N54" i="84" s="1"/>
  <c r="O54" i="84" s="1"/>
  <c r="P70" i="84"/>
  <c r="G70" i="84"/>
  <c r="H70" i="84" s="1"/>
  <c r="L70" i="84" s="1"/>
  <c r="N70" i="84" s="1"/>
  <c r="O70" i="84" s="1"/>
  <c r="G12" i="83"/>
  <c r="H12" i="83" s="1"/>
  <c r="L12" i="83" s="1"/>
  <c r="P12" i="83"/>
  <c r="P60" i="83"/>
  <c r="G60" i="83"/>
  <c r="H60" i="83" s="1"/>
  <c r="L60" i="83" s="1"/>
  <c r="G29" i="83"/>
  <c r="H29" i="83" s="1"/>
  <c r="L29" i="83" s="1"/>
  <c r="P29" i="83"/>
  <c r="P8" i="84"/>
  <c r="G8" i="84"/>
  <c r="H8" i="84" s="1"/>
  <c r="L8" i="84" s="1"/>
  <c r="N8" i="84" s="1"/>
  <c r="O8" i="84" s="1"/>
  <c r="G50" i="83"/>
  <c r="H50" i="83" s="1"/>
  <c r="L50" i="83" s="1"/>
  <c r="P50" i="83"/>
  <c r="P19" i="83"/>
  <c r="G19" i="83"/>
  <c r="H19" i="83" s="1"/>
  <c r="P31" i="84"/>
  <c r="G31" i="84"/>
  <c r="H31" i="84" s="1"/>
  <c r="L31" i="84" s="1"/>
  <c r="N31" i="84" s="1"/>
  <c r="O31" i="84" s="1"/>
  <c r="G50" i="84"/>
  <c r="H50" i="84" s="1"/>
  <c r="L50" i="84" s="1"/>
  <c r="N50" i="84" s="1"/>
  <c r="O50" i="84" s="1"/>
  <c r="P50" i="84"/>
  <c r="P20" i="83"/>
  <c r="G20" i="83"/>
  <c r="H20" i="83" s="1"/>
  <c r="L20" i="83" s="1"/>
  <c r="P36" i="83"/>
  <c r="G36" i="83"/>
  <c r="H36" i="83" s="1"/>
  <c r="L36" i="83" s="1"/>
  <c r="G52" i="83"/>
  <c r="H52" i="83" s="1"/>
  <c r="P52" i="83"/>
  <c r="G68" i="83"/>
  <c r="H68" i="83" s="1"/>
  <c r="L68" i="83" s="1"/>
  <c r="P68" i="83"/>
  <c r="G15" i="84"/>
  <c r="H15" i="84" s="1"/>
  <c r="L15" i="84" s="1"/>
  <c r="N15" i="84" s="1"/>
  <c r="O15" i="84" s="1"/>
  <c r="P15" i="84"/>
  <c r="G21" i="83"/>
  <c r="H21" i="83" s="1"/>
  <c r="L21" i="83" s="1"/>
  <c r="P21" i="83"/>
  <c r="P37" i="83"/>
  <c r="G37" i="83"/>
  <c r="H37" i="83" s="1"/>
  <c r="L37" i="83" s="1"/>
  <c r="P53" i="83"/>
  <c r="G53" i="83"/>
  <c r="H53" i="83" s="1"/>
  <c r="L53" i="83" s="1"/>
  <c r="P69" i="83"/>
  <c r="G69" i="83"/>
  <c r="H69" i="83" s="1"/>
  <c r="G10" i="83"/>
  <c r="H10" i="83" s="1"/>
  <c r="L10" i="83" s="1"/>
  <c r="P10" i="83"/>
  <c r="G26" i="83"/>
  <c r="H26" i="83" s="1"/>
  <c r="L26" i="83" s="1"/>
  <c r="P26" i="83"/>
  <c r="G42" i="83"/>
  <c r="H42" i="83" s="1"/>
  <c r="L42" i="83" s="1"/>
  <c r="P42" i="83"/>
  <c r="P58" i="83"/>
  <c r="G58" i="83"/>
  <c r="H58" i="83" s="1"/>
  <c r="L58" i="83" s="1"/>
  <c r="G74" i="83"/>
  <c r="H74" i="83" s="1"/>
  <c r="P74" i="83"/>
  <c r="G11" i="83"/>
  <c r="H11" i="83" s="1"/>
  <c r="L11" i="83" s="1"/>
  <c r="P11" i="83"/>
  <c r="P27" i="83"/>
  <c r="G27" i="83"/>
  <c r="H27" i="83" s="1"/>
  <c r="L27" i="83" s="1"/>
  <c r="P43" i="83"/>
  <c r="G43" i="83"/>
  <c r="H43" i="83" s="1"/>
  <c r="L43" i="83" s="1"/>
  <c r="G59" i="83"/>
  <c r="H59" i="83" s="1"/>
  <c r="L59" i="83" s="1"/>
  <c r="P59" i="83"/>
  <c r="P75" i="83"/>
  <c r="G75" i="83"/>
  <c r="H75" i="83" s="1"/>
  <c r="P23" i="84"/>
  <c r="G23" i="84"/>
  <c r="H23" i="84" s="1"/>
  <c r="L23" i="84" s="1"/>
  <c r="N23" i="84" s="1"/>
  <c r="O23" i="84" s="1"/>
  <c r="G39" i="84"/>
  <c r="H39" i="84" s="1"/>
  <c r="L39" i="84" s="1"/>
  <c r="N39" i="84" s="1"/>
  <c r="O39" i="84" s="1"/>
  <c r="P39" i="84"/>
  <c r="P55" i="84"/>
  <c r="G55" i="84"/>
  <c r="H55" i="84" s="1"/>
  <c r="L55" i="84" s="1"/>
  <c r="N55" i="84" s="1"/>
  <c r="O55" i="84" s="1"/>
  <c r="P71" i="84"/>
  <c r="G71" i="84"/>
  <c r="H71" i="84" s="1"/>
  <c r="L71" i="84" s="1"/>
  <c r="N71" i="84" s="1"/>
  <c r="O71" i="84" s="1"/>
  <c r="P20" i="84"/>
  <c r="G20" i="84"/>
  <c r="H20" i="84" s="1"/>
  <c r="L20" i="84" s="1"/>
  <c r="N20" i="84" s="1"/>
  <c r="O20" i="84" s="1"/>
  <c r="P36" i="84"/>
  <c r="G36" i="84"/>
  <c r="H36" i="84" s="1"/>
  <c r="L36" i="84" s="1"/>
  <c r="N36" i="84" s="1"/>
  <c r="O36" i="84" s="1"/>
  <c r="P52" i="84"/>
  <c r="G52" i="84"/>
  <c r="H52" i="84" s="1"/>
  <c r="L52" i="84" s="1"/>
  <c r="N52" i="84" s="1"/>
  <c r="O52" i="84" s="1"/>
  <c r="P68" i="84"/>
  <c r="G68" i="84"/>
  <c r="H68" i="84" s="1"/>
  <c r="L68" i="84" s="1"/>
  <c r="N68" i="84" s="1"/>
  <c r="O68" i="84" s="1"/>
  <c r="G21" i="84"/>
  <c r="H21" i="84" s="1"/>
  <c r="L21" i="84" s="1"/>
  <c r="N21" i="84" s="1"/>
  <c r="O21" i="84" s="1"/>
  <c r="P21" i="84"/>
  <c r="P37" i="84"/>
  <c r="G37" i="84"/>
  <c r="H37" i="84" s="1"/>
  <c r="L37" i="84" s="1"/>
  <c r="N37" i="84" s="1"/>
  <c r="O37" i="84" s="1"/>
  <c r="G53" i="84"/>
  <c r="H53" i="84" s="1"/>
  <c r="L53" i="84" s="1"/>
  <c r="N53" i="84" s="1"/>
  <c r="O53" i="84" s="1"/>
  <c r="P53" i="84"/>
  <c r="P69" i="84"/>
  <c r="G69" i="84"/>
  <c r="H69" i="84" s="1"/>
  <c r="L69" i="84" s="1"/>
  <c r="N69" i="84" s="1"/>
  <c r="O69" i="84" s="1"/>
  <c r="P26" i="84"/>
  <c r="G26" i="84"/>
  <c r="H26" i="84" s="1"/>
  <c r="L26" i="84" s="1"/>
  <c r="N26" i="84" s="1"/>
  <c r="O26" i="84" s="1"/>
  <c r="P42" i="84"/>
  <c r="G42" i="84"/>
  <c r="H42" i="84" s="1"/>
  <c r="L42" i="84" s="1"/>
  <c r="N42" i="84" s="1"/>
  <c r="O42" i="84" s="1"/>
  <c r="P58" i="84"/>
  <c r="G58" i="84"/>
  <c r="H58" i="84" s="1"/>
  <c r="L58" i="84" s="1"/>
  <c r="N58" i="84" s="1"/>
  <c r="O58" i="84" s="1"/>
  <c r="P74" i="84"/>
  <c r="G74" i="84"/>
  <c r="H74" i="84" s="1"/>
  <c r="L74" i="84" s="1"/>
  <c r="N74" i="84" s="1"/>
  <c r="O74" i="84" s="1"/>
  <c r="P44" i="83"/>
  <c r="G44" i="83"/>
  <c r="H44" i="83" s="1"/>
  <c r="L44" i="83" s="1"/>
  <c r="G13" i="83"/>
  <c r="H13" i="83" s="1"/>
  <c r="L13" i="83" s="1"/>
  <c r="P13" i="83"/>
  <c r="G61" i="83"/>
  <c r="H61" i="83" s="1"/>
  <c r="L61" i="83" s="1"/>
  <c r="P61" i="83"/>
  <c r="P34" i="83"/>
  <c r="G34" i="83"/>
  <c r="H34" i="83" s="1"/>
  <c r="L34" i="83" s="1"/>
  <c r="P13" i="84"/>
  <c r="G13" i="84"/>
  <c r="H13" i="84" s="1"/>
  <c r="L13" i="84" s="1"/>
  <c r="N13" i="84" s="1"/>
  <c r="O13" i="84" s="1"/>
  <c r="P51" i="83"/>
  <c r="G51" i="83"/>
  <c r="H51" i="83" s="1"/>
  <c r="L51" i="83" s="1"/>
  <c r="P14" i="84"/>
  <c r="G14" i="84"/>
  <c r="H14" i="84" s="1"/>
  <c r="L14" i="84" s="1"/>
  <c r="N14" i="84" s="1"/>
  <c r="O14" i="84" s="1"/>
  <c r="G28" i="84"/>
  <c r="H28" i="84" s="1"/>
  <c r="L28" i="84" s="1"/>
  <c r="N28" i="84" s="1"/>
  <c r="O28" i="84" s="1"/>
  <c r="P28" i="84"/>
  <c r="P44" i="84"/>
  <c r="G44" i="84"/>
  <c r="H44" i="84" s="1"/>
  <c r="L44" i="84" s="1"/>
  <c r="N44" i="84" s="1"/>
  <c r="O44" i="84" s="1"/>
  <c r="P60" i="84"/>
  <c r="G60" i="84"/>
  <c r="H60" i="84" s="1"/>
  <c r="L60" i="84" s="1"/>
  <c r="N60" i="84" s="1"/>
  <c r="O60" i="84" s="1"/>
  <c r="P29" i="84"/>
  <c r="G29" i="84"/>
  <c r="H29" i="84" s="1"/>
  <c r="L29" i="84" s="1"/>
  <c r="N29" i="84" s="1"/>
  <c r="O29" i="84" s="1"/>
  <c r="P61" i="84"/>
  <c r="G61" i="84"/>
  <c r="H61" i="84" s="1"/>
  <c r="L61" i="84" s="1"/>
  <c r="N61" i="84" s="1"/>
  <c r="O61" i="84" s="1"/>
  <c r="G18" i="84"/>
  <c r="H18" i="84" s="1"/>
  <c r="L18" i="84" s="1"/>
  <c r="N18" i="84" s="1"/>
  <c r="O18" i="84" s="1"/>
  <c r="P18" i="84"/>
  <c r="P34" i="84"/>
  <c r="G34" i="84"/>
  <c r="H34" i="84" s="1"/>
  <c r="L34" i="84" s="1"/>
  <c r="N34" i="84" s="1"/>
  <c r="O34" i="84" s="1"/>
  <c r="P66" i="84"/>
  <c r="G66" i="84"/>
  <c r="H66" i="84" s="1"/>
  <c r="L66" i="84" s="1"/>
  <c r="N66" i="84" s="1"/>
  <c r="O66" i="84" s="1"/>
  <c r="G8" i="83"/>
  <c r="H8" i="83" s="1"/>
  <c r="L8" i="83" s="1"/>
  <c r="P8" i="83"/>
  <c r="G24" i="83"/>
  <c r="H24" i="83" s="1"/>
  <c r="L24" i="83" s="1"/>
  <c r="P24" i="83"/>
  <c r="P40" i="83"/>
  <c r="G40" i="83"/>
  <c r="H40" i="83" s="1"/>
  <c r="G56" i="83"/>
  <c r="H56" i="83" s="1"/>
  <c r="L56" i="83" s="1"/>
  <c r="P56" i="83"/>
  <c r="P72" i="83"/>
  <c r="G72" i="83"/>
  <c r="H72" i="83" s="1"/>
  <c r="L72" i="83" s="1"/>
  <c r="G9" i="83"/>
  <c r="H9" i="83" s="1"/>
  <c r="L9" i="83" s="1"/>
  <c r="P9" i="83"/>
  <c r="G25" i="83"/>
  <c r="H25" i="83" s="1"/>
  <c r="L25" i="83" s="1"/>
  <c r="P25" i="83"/>
  <c r="G41" i="83"/>
  <c r="H41" i="83" s="1"/>
  <c r="L41" i="83" s="1"/>
  <c r="P41" i="83"/>
  <c r="G57" i="83"/>
  <c r="H57" i="83" s="1"/>
  <c r="L57" i="83" s="1"/>
  <c r="P57" i="83"/>
  <c r="P73" i="83"/>
  <c r="G73" i="83"/>
  <c r="H73" i="83" s="1"/>
  <c r="L73" i="83" s="1"/>
  <c r="P14" i="83"/>
  <c r="G14" i="83"/>
  <c r="H14" i="83" s="1"/>
  <c r="L14" i="83" s="1"/>
  <c r="P30" i="83"/>
  <c r="G30" i="83"/>
  <c r="H30" i="83" s="1"/>
  <c r="L30" i="83" s="1"/>
  <c r="G46" i="83"/>
  <c r="H46" i="83" s="1"/>
  <c r="L46" i="83" s="1"/>
  <c r="P46" i="83"/>
  <c r="P62" i="83"/>
  <c r="G62" i="83"/>
  <c r="H62" i="83" s="1"/>
  <c r="L62" i="83" s="1"/>
  <c r="P9" i="84"/>
  <c r="G9" i="84"/>
  <c r="H9" i="84" s="1"/>
  <c r="L9" i="84" s="1"/>
  <c r="N9" i="84" s="1"/>
  <c r="O9" i="84" s="1"/>
  <c r="G15" i="83"/>
  <c r="H15" i="83" s="1"/>
  <c r="L15" i="83" s="1"/>
  <c r="P15" i="83"/>
  <c r="G31" i="83"/>
  <c r="H31" i="83" s="1"/>
  <c r="P31" i="83"/>
  <c r="G47" i="83"/>
  <c r="H47" i="83" s="1"/>
  <c r="L47" i="83" s="1"/>
  <c r="P47" i="83"/>
  <c r="P63" i="83"/>
  <c r="G63" i="83"/>
  <c r="H63" i="83" s="1"/>
  <c r="L63" i="83" s="1"/>
  <c r="G10" i="84"/>
  <c r="H10" i="84" s="1"/>
  <c r="L10" i="84" s="1"/>
  <c r="N10" i="84" s="1"/>
  <c r="O10" i="84" s="1"/>
  <c r="P10" i="84"/>
  <c r="G27" i="84"/>
  <c r="H27" i="84" s="1"/>
  <c r="L27" i="84" s="1"/>
  <c r="N27" i="84" s="1"/>
  <c r="O27" i="84" s="1"/>
  <c r="P27" i="84"/>
  <c r="G43" i="84"/>
  <c r="H43" i="84" s="1"/>
  <c r="L43" i="84" s="1"/>
  <c r="N43" i="84" s="1"/>
  <c r="O43" i="84" s="1"/>
  <c r="P43" i="84"/>
  <c r="G59" i="84"/>
  <c r="H59" i="84" s="1"/>
  <c r="L59" i="84" s="1"/>
  <c r="N59" i="84" s="1"/>
  <c r="O59" i="84" s="1"/>
  <c r="P59" i="84"/>
  <c r="P75" i="84"/>
  <c r="G75" i="84"/>
  <c r="H75" i="84" s="1"/>
  <c r="L75" i="84" s="1"/>
  <c r="N75" i="84" s="1"/>
  <c r="O75" i="84" s="1"/>
  <c r="G24" i="84"/>
  <c r="H24" i="84" s="1"/>
  <c r="L24" i="84" s="1"/>
  <c r="N24" i="84" s="1"/>
  <c r="O24" i="84" s="1"/>
  <c r="P24" i="84"/>
  <c r="P40" i="84"/>
  <c r="G40" i="84"/>
  <c r="H40" i="84" s="1"/>
  <c r="L40" i="84" s="1"/>
  <c r="N40" i="84" s="1"/>
  <c r="O40" i="84" s="1"/>
  <c r="P56" i="84"/>
  <c r="G56" i="84"/>
  <c r="H56" i="84" s="1"/>
  <c r="L56" i="84" s="1"/>
  <c r="N56" i="84" s="1"/>
  <c r="O56" i="84" s="1"/>
  <c r="P72" i="84"/>
  <c r="G72" i="84"/>
  <c r="H72" i="84" s="1"/>
  <c r="L72" i="84" s="1"/>
  <c r="N72" i="84" s="1"/>
  <c r="O72" i="84" s="1"/>
  <c r="G25" i="84"/>
  <c r="H25" i="84" s="1"/>
  <c r="L25" i="84" s="1"/>
  <c r="N25" i="84" s="1"/>
  <c r="O25" i="84" s="1"/>
  <c r="P25" i="84"/>
  <c r="P41" i="84"/>
  <c r="G41" i="84"/>
  <c r="H41" i="84" s="1"/>
  <c r="L41" i="84" s="1"/>
  <c r="N41" i="84" s="1"/>
  <c r="O41" i="84" s="1"/>
  <c r="P57" i="84"/>
  <c r="G57" i="84"/>
  <c r="H57" i="84" s="1"/>
  <c r="L57" i="84" s="1"/>
  <c r="N57" i="84" s="1"/>
  <c r="O57" i="84" s="1"/>
  <c r="G73" i="84"/>
  <c r="H73" i="84" s="1"/>
  <c r="L73" i="84" s="1"/>
  <c r="N73" i="84" s="1"/>
  <c r="O73" i="84" s="1"/>
  <c r="P73" i="84"/>
  <c r="P30" i="84"/>
  <c r="G30" i="84"/>
  <c r="H30" i="84" s="1"/>
  <c r="L30" i="84" s="1"/>
  <c r="N30" i="84" s="1"/>
  <c r="O30" i="84" s="1"/>
  <c r="P46" i="84"/>
  <c r="G46" i="84"/>
  <c r="H46" i="84" s="1"/>
  <c r="L46" i="84" s="1"/>
  <c r="N46" i="84" s="1"/>
  <c r="O46" i="84" s="1"/>
  <c r="G62" i="84"/>
  <c r="H62" i="84" s="1"/>
  <c r="L62" i="84" s="1"/>
  <c r="N62" i="84" s="1"/>
  <c r="O62" i="84" s="1"/>
  <c r="P62" i="84"/>
  <c r="G49" i="81"/>
  <c r="AF76" i="67" l="1"/>
  <c r="AG7" i="67"/>
  <c r="Q62" i="84"/>
  <c r="Q73" i="84"/>
  <c r="Q24" i="84"/>
  <c r="Q59" i="84"/>
  <c r="Q43" i="84"/>
  <c r="Q27" i="84"/>
  <c r="Q10" i="84"/>
  <c r="N63" i="83"/>
  <c r="O63" i="83" s="1"/>
  <c r="Q47" i="83"/>
  <c r="Q31" i="83"/>
  <c r="Q15" i="83"/>
  <c r="N62" i="83"/>
  <c r="O62" i="83" s="1"/>
  <c r="Q46" i="83"/>
  <c r="N30" i="83"/>
  <c r="O30" i="83" s="1"/>
  <c r="N14" i="83"/>
  <c r="O14" i="83" s="1"/>
  <c r="N73" i="83"/>
  <c r="O73" i="83" s="1"/>
  <c r="Q57" i="83"/>
  <c r="Q41" i="83"/>
  <c r="Q25" i="83"/>
  <c r="Q9" i="83"/>
  <c r="N72" i="83"/>
  <c r="O72" i="83" s="1"/>
  <c r="Q56" i="83"/>
  <c r="V56" i="83"/>
  <c r="Q24" i="83"/>
  <c r="Q8" i="83"/>
  <c r="V8" i="83"/>
  <c r="Q18" i="84"/>
  <c r="Q28" i="84"/>
  <c r="N51" i="83"/>
  <c r="O51" i="83" s="1"/>
  <c r="N34" i="83"/>
  <c r="O34" i="83" s="1"/>
  <c r="Q61" i="83"/>
  <c r="Q13" i="83"/>
  <c r="N44" i="83"/>
  <c r="O44" i="83" s="1"/>
  <c r="Q53" i="84"/>
  <c r="Q21" i="84"/>
  <c r="Q39" i="84"/>
  <c r="Q59" i="83"/>
  <c r="V59" i="83"/>
  <c r="N43" i="83"/>
  <c r="O43" i="83" s="1"/>
  <c r="N27" i="83"/>
  <c r="O27" i="83" s="1"/>
  <c r="Q11" i="83"/>
  <c r="V11" i="83"/>
  <c r="Q74" i="83"/>
  <c r="V74" i="83"/>
  <c r="N58" i="83"/>
  <c r="O58" i="83" s="1"/>
  <c r="Q42" i="83"/>
  <c r="Q26" i="83"/>
  <c r="Q10" i="83"/>
  <c r="N53" i="83"/>
  <c r="O53" i="83" s="1"/>
  <c r="N37" i="83"/>
  <c r="O37" i="83" s="1"/>
  <c r="Q21" i="83"/>
  <c r="Q15" i="84"/>
  <c r="Q68" i="83"/>
  <c r="Q52" i="83"/>
  <c r="N36" i="83"/>
  <c r="O36" i="83" s="1"/>
  <c r="N20" i="83"/>
  <c r="O20" i="83" s="1"/>
  <c r="Q50" i="84"/>
  <c r="Q50" i="83"/>
  <c r="Q29" i="83"/>
  <c r="N60" i="83"/>
  <c r="O60" i="83" s="1"/>
  <c r="Q12" i="83"/>
  <c r="Q65" i="84"/>
  <c r="Q49" i="84"/>
  <c r="Q48" i="84"/>
  <c r="Q32" i="84"/>
  <c r="Q16" i="84"/>
  <c r="Q51" i="84"/>
  <c r="N71" i="83"/>
  <c r="O71" i="83" s="1"/>
  <c r="Q55" i="83"/>
  <c r="N39" i="83"/>
  <c r="O39" i="83" s="1"/>
  <c r="Q23" i="83"/>
  <c r="V23" i="83"/>
  <c r="Q70" i="83"/>
  <c r="V70" i="83"/>
  <c r="Q54" i="83"/>
  <c r="Q38" i="83"/>
  <c r="V38" i="83"/>
  <c r="N22" i="83"/>
  <c r="O22" i="83" s="1"/>
  <c r="Q12" i="84"/>
  <c r="Q65" i="83"/>
  <c r="N49" i="83"/>
  <c r="O49" i="83" s="1"/>
  <c r="N33" i="83"/>
  <c r="O33" i="83" s="1"/>
  <c r="N17" i="83"/>
  <c r="O17" i="83" s="1"/>
  <c r="N64" i="83"/>
  <c r="O64" i="83" s="1"/>
  <c r="N48" i="83"/>
  <c r="O48" i="83" s="1"/>
  <c r="N32" i="83"/>
  <c r="O32" i="83" s="1"/>
  <c r="Q16" i="83"/>
  <c r="Q45" i="84"/>
  <c r="Q63" i="84"/>
  <c r="Q47" i="84"/>
  <c r="Q67" i="83"/>
  <c r="N35" i="83"/>
  <c r="O35" i="83" s="1"/>
  <c r="Q66" i="83"/>
  <c r="V66" i="83"/>
  <c r="Q45" i="83"/>
  <c r="N28" i="83"/>
  <c r="O28" i="83" s="1"/>
  <c r="Q25" i="84"/>
  <c r="Q46" i="84"/>
  <c r="Q30" i="84"/>
  <c r="Q57" i="84"/>
  <c r="Q41" i="84"/>
  <c r="Q72" i="84"/>
  <c r="Q56" i="84"/>
  <c r="Q40" i="84"/>
  <c r="Q75" i="84"/>
  <c r="Q63" i="83"/>
  <c r="V63" i="83"/>
  <c r="N47" i="83"/>
  <c r="O47" i="83" s="1"/>
  <c r="N15" i="83"/>
  <c r="O15" i="83" s="1"/>
  <c r="Q9" i="84"/>
  <c r="Q62" i="83"/>
  <c r="N46" i="83"/>
  <c r="O46" i="83" s="1"/>
  <c r="Q30" i="83"/>
  <c r="Q14" i="83"/>
  <c r="Q73" i="83"/>
  <c r="N57" i="83"/>
  <c r="O57" i="83" s="1"/>
  <c r="N41" i="83"/>
  <c r="O41" i="83" s="1"/>
  <c r="N25" i="83"/>
  <c r="O25" i="83" s="1"/>
  <c r="N9" i="83"/>
  <c r="O9" i="83" s="1"/>
  <c r="Q72" i="83"/>
  <c r="N56" i="83"/>
  <c r="O56" i="83" s="1"/>
  <c r="Q40" i="83"/>
  <c r="N24" i="83"/>
  <c r="O24" i="83" s="1"/>
  <c r="N8" i="83"/>
  <c r="O8" i="83" s="1"/>
  <c r="Q66" i="84"/>
  <c r="Q34" i="84"/>
  <c r="Q61" i="84"/>
  <c r="Q29" i="84"/>
  <c r="Q60" i="84"/>
  <c r="Q44" i="84"/>
  <c r="Q14" i="84"/>
  <c r="Q51" i="83"/>
  <c r="Q13" i="84"/>
  <c r="Q34" i="83"/>
  <c r="N61" i="83"/>
  <c r="O61" i="83" s="1"/>
  <c r="N13" i="83"/>
  <c r="O13" i="83" s="1"/>
  <c r="Q44" i="83"/>
  <c r="Q74" i="84"/>
  <c r="Q58" i="84"/>
  <c r="Q42" i="84"/>
  <c r="Q26" i="84"/>
  <c r="Q69" i="84"/>
  <c r="Q37" i="84"/>
  <c r="Q68" i="84"/>
  <c r="Q52" i="84"/>
  <c r="Q36" i="84"/>
  <c r="Q20" i="84"/>
  <c r="Q71" i="84"/>
  <c r="Q55" i="84"/>
  <c r="Q23" i="84"/>
  <c r="Q75" i="83"/>
  <c r="N59" i="83"/>
  <c r="O59" i="83" s="1"/>
  <c r="Q43" i="83"/>
  <c r="Q27" i="83"/>
  <c r="N11" i="83"/>
  <c r="O11" i="83" s="1"/>
  <c r="Q58" i="83"/>
  <c r="N42" i="83"/>
  <c r="O42" i="83" s="1"/>
  <c r="N26" i="83"/>
  <c r="O26" i="83" s="1"/>
  <c r="N10" i="83"/>
  <c r="O10" i="83" s="1"/>
  <c r="Q69" i="83"/>
  <c r="Q53" i="83"/>
  <c r="Q37" i="83"/>
  <c r="N21" i="83"/>
  <c r="O21" i="83" s="1"/>
  <c r="N68" i="83"/>
  <c r="O68" i="83" s="1"/>
  <c r="Q36" i="83"/>
  <c r="Q20" i="83"/>
  <c r="V20" i="83"/>
  <c r="Q31" i="84"/>
  <c r="Q19" i="83"/>
  <c r="N50" i="83"/>
  <c r="O50" i="83" s="1"/>
  <c r="Q8" i="84"/>
  <c r="N29" i="83"/>
  <c r="O29" i="83" s="1"/>
  <c r="Q60" i="83"/>
  <c r="V60" i="83"/>
  <c r="N12" i="83"/>
  <c r="O12" i="83" s="1"/>
  <c r="Q70" i="84"/>
  <c r="Q54" i="84"/>
  <c r="Q38" i="84"/>
  <c r="Q22" i="84"/>
  <c r="Q33" i="84"/>
  <c r="Q17" i="84"/>
  <c r="Q64" i="84"/>
  <c r="Q67" i="84"/>
  <c r="Q35" i="84"/>
  <c r="Q19" i="84"/>
  <c r="Q71" i="83"/>
  <c r="N55" i="83"/>
  <c r="O55" i="83" s="1"/>
  <c r="Q39" i="83"/>
  <c r="N23" i="83"/>
  <c r="O23" i="83" s="1"/>
  <c r="N70" i="83"/>
  <c r="O70" i="83" s="1"/>
  <c r="N54" i="83"/>
  <c r="O54" i="83" s="1"/>
  <c r="N38" i="83"/>
  <c r="O38" i="83" s="1"/>
  <c r="Q22" i="83"/>
  <c r="N65" i="83"/>
  <c r="O65" i="83" s="1"/>
  <c r="Q49" i="83"/>
  <c r="Q33" i="83"/>
  <c r="Q17" i="83"/>
  <c r="Q11" i="84"/>
  <c r="Q64" i="83"/>
  <c r="Q48" i="83"/>
  <c r="Q32" i="83"/>
  <c r="V32" i="83"/>
  <c r="N16" i="83"/>
  <c r="O16" i="83" s="1"/>
  <c r="N67" i="83"/>
  <c r="O67" i="83" s="1"/>
  <c r="Q35" i="83"/>
  <c r="V35" i="83"/>
  <c r="N66" i="83"/>
  <c r="O66" i="83" s="1"/>
  <c r="Q18" i="83"/>
  <c r="N45" i="83"/>
  <c r="O45" i="83" s="1"/>
  <c r="Q28" i="83"/>
  <c r="Q7" i="84"/>
  <c r="O76" i="84"/>
  <c r="N76" i="84"/>
  <c r="V7" i="83"/>
  <c r="N7" i="83"/>
  <c r="O7" i="83" s="1"/>
  <c r="L76" i="84"/>
  <c r="H77" i="83"/>
  <c r="P77" i="83"/>
  <c r="H76" i="84"/>
  <c r="AG76" i="67" l="1"/>
  <c r="Q6" i="72"/>
  <c r="Q75" i="72" s="1"/>
  <c r="W66" i="83"/>
  <c r="W38" i="83"/>
  <c r="AA38" i="83" s="1"/>
  <c r="W70" i="83"/>
  <c r="W23" i="83"/>
  <c r="W11" i="83"/>
  <c r="AA11" i="83" s="1"/>
  <c r="W59" i="83"/>
  <c r="W35" i="83"/>
  <c r="AA35" i="83" s="1"/>
  <c r="W32" i="83"/>
  <c r="W74" i="83"/>
  <c r="W60" i="83"/>
  <c r="AA60" i="83" s="1"/>
  <c r="W20" i="83"/>
  <c r="AA20" i="83" s="1"/>
  <c r="W63" i="83"/>
  <c r="AA63" i="83" s="1"/>
  <c r="W56" i="83"/>
  <c r="AA56" i="83" s="1"/>
  <c r="W39" i="84"/>
  <c r="W53" i="84"/>
  <c r="V64" i="83"/>
  <c r="W64" i="83" s="1"/>
  <c r="AA64" i="83" s="1"/>
  <c r="V33" i="83"/>
  <c r="W33" i="83" s="1"/>
  <c r="AA33" i="83" s="1"/>
  <c r="V49" i="83"/>
  <c r="W49" i="83" s="1"/>
  <c r="AA49" i="83" s="1"/>
  <c r="V43" i="83"/>
  <c r="W43" i="83" s="1"/>
  <c r="AA43" i="83" s="1"/>
  <c r="V75" i="83"/>
  <c r="W75" i="83" s="1"/>
  <c r="W23" i="84"/>
  <c r="W71" i="84"/>
  <c r="W20" i="84"/>
  <c r="W52" i="84"/>
  <c r="W69" i="84"/>
  <c r="W58" i="84"/>
  <c r="V44" i="83"/>
  <c r="W44" i="83" s="1"/>
  <c r="AA44" i="83" s="1"/>
  <c r="W60" i="84"/>
  <c r="W29" i="84"/>
  <c r="V72" i="83"/>
  <c r="W72" i="83" s="1"/>
  <c r="AA72" i="83" s="1"/>
  <c r="V14" i="83"/>
  <c r="W14" i="83" s="1"/>
  <c r="AA14" i="83" s="1"/>
  <c r="V68" i="83"/>
  <c r="W68" i="83" s="1"/>
  <c r="AA68" i="83" s="1"/>
  <c r="V9" i="83"/>
  <c r="W9" i="83" s="1"/>
  <c r="AA9" i="83" s="1"/>
  <c r="V41" i="83"/>
  <c r="W41" i="83" s="1"/>
  <c r="AA41" i="83" s="1"/>
  <c r="V57" i="83"/>
  <c r="W57" i="83" s="1"/>
  <c r="AA57" i="83" s="1"/>
  <c r="V31" i="83"/>
  <c r="W31" i="83" s="1"/>
  <c r="V47" i="83"/>
  <c r="W47" i="83" s="1"/>
  <c r="AA47" i="83" s="1"/>
  <c r="V18" i="83"/>
  <c r="W18" i="83" s="1"/>
  <c r="W35" i="84"/>
  <c r="W33" i="84"/>
  <c r="V69" i="83"/>
  <c r="W69" i="83" s="1"/>
  <c r="V62" i="83"/>
  <c r="W62" i="83" s="1"/>
  <c r="AA62" i="83" s="1"/>
  <c r="W63" i="84"/>
  <c r="V65" i="83"/>
  <c r="W65" i="83" s="1"/>
  <c r="AA65" i="83" s="1"/>
  <c r="V55" i="83"/>
  <c r="W55" i="83" s="1"/>
  <c r="AA55" i="83" s="1"/>
  <c r="V26" i="83"/>
  <c r="W26" i="83" s="1"/>
  <c r="AA26" i="83" s="1"/>
  <c r="W17" i="84"/>
  <c r="W14" i="84"/>
  <c r="W7" i="83"/>
  <c r="AA7" i="83" s="1"/>
  <c r="W11" i="84"/>
  <c r="W8" i="84"/>
  <c r="W9" i="84"/>
  <c r="W12" i="84"/>
  <c r="W15" i="84"/>
  <c r="W18" i="84"/>
  <c r="W10" i="84"/>
  <c r="W22" i="84"/>
  <c r="W26" i="84"/>
  <c r="W66" i="84"/>
  <c r="Q76" i="84"/>
  <c r="Q77" i="83"/>
  <c r="V28" i="83"/>
  <c r="W28" i="83" s="1"/>
  <c r="AA28" i="83" s="1"/>
  <c r="V48" i="83"/>
  <c r="W48" i="83" s="1"/>
  <c r="AA48" i="83" s="1"/>
  <c r="V17" i="83"/>
  <c r="W17" i="83" s="1"/>
  <c r="AA17" i="83" s="1"/>
  <c r="V22" i="83"/>
  <c r="W22" i="83" s="1"/>
  <c r="AA22" i="83" s="1"/>
  <c r="V39" i="83"/>
  <c r="W39" i="83" s="1"/>
  <c r="AA39" i="83" s="1"/>
  <c r="V71" i="83"/>
  <c r="W71" i="83" s="1"/>
  <c r="AA71" i="83" s="1"/>
  <c r="W19" i="84"/>
  <c r="W67" i="84"/>
  <c r="W64" i="84"/>
  <c r="W38" i="84"/>
  <c r="W70" i="84"/>
  <c r="V19" i="83"/>
  <c r="W19" i="83" s="1"/>
  <c r="W31" i="84"/>
  <c r="V36" i="83"/>
  <c r="W36" i="83" s="1"/>
  <c r="AA36" i="83" s="1"/>
  <c r="V37" i="83"/>
  <c r="W37" i="83" s="1"/>
  <c r="AA37" i="83" s="1"/>
  <c r="V53" i="83"/>
  <c r="W53" i="83" s="1"/>
  <c r="AA53" i="83" s="1"/>
  <c r="V58" i="83"/>
  <c r="W58" i="83" s="1"/>
  <c r="AA58" i="83" s="1"/>
  <c r="V27" i="83"/>
  <c r="W27" i="83" s="1"/>
  <c r="AA27" i="83" s="1"/>
  <c r="W55" i="84"/>
  <c r="W36" i="84"/>
  <c r="W68" i="84"/>
  <c r="W37" i="84"/>
  <c r="W42" i="84"/>
  <c r="W74" i="84"/>
  <c r="V34" i="83"/>
  <c r="W34" i="83" s="1"/>
  <c r="AA34" i="83" s="1"/>
  <c r="V51" i="83"/>
  <c r="W51" i="83" s="1"/>
  <c r="AA51" i="83" s="1"/>
  <c r="W44" i="84"/>
  <c r="W61" i="84"/>
  <c r="W34" i="84"/>
  <c r="V40" i="83"/>
  <c r="W40" i="83" s="1"/>
  <c r="V73" i="83"/>
  <c r="W73" i="83" s="1"/>
  <c r="AA73" i="83" s="1"/>
  <c r="V30" i="83"/>
  <c r="W30" i="83" s="1"/>
  <c r="AA30" i="83" s="1"/>
  <c r="W75" i="84"/>
  <c r="W56" i="84"/>
  <c r="W41" i="84"/>
  <c r="W57" i="84"/>
  <c r="W30" i="84"/>
  <c r="W25" i="84"/>
  <c r="V45" i="83"/>
  <c r="W45" i="83" s="1"/>
  <c r="AA45" i="83" s="1"/>
  <c r="V67" i="83"/>
  <c r="W67" i="83" s="1"/>
  <c r="AA67" i="83" s="1"/>
  <c r="W47" i="84"/>
  <c r="W45" i="84"/>
  <c r="V16" i="83"/>
  <c r="W16" i="83" s="1"/>
  <c r="AA16" i="83" s="1"/>
  <c r="V54" i="83"/>
  <c r="W54" i="83" s="1"/>
  <c r="AA54" i="83" s="1"/>
  <c r="W51" i="84"/>
  <c r="W32" i="84"/>
  <c r="W49" i="84"/>
  <c r="W65" i="84"/>
  <c r="V12" i="83"/>
  <c r="W12" i="83" s="1"/>
  <c r="AA12" i="83" s="1"/>
  <c r="V29" i="83"/>
  <c r="W29" i="83" s="1"/>
  <c r="AA29" i="83" s="1"/>
  <c r="V50" i="83"/>
  <c r="W50" i="83" s="1"/>
  <c r="AA50" i="83" s="1"/>
  <c r="V52" i="83"/>
  <c r="W52" i="83" s="1"/>
  <c r="V21" i="83"/>
  <c r="W21" i="83" s="1"/>
  <c r="AA21" i="83" s="1"/>
  <c r="V10" i="83"/>
  <c r="W10" i="83" s="1"/>
  <c r="AA10" i="83" s="1"/>
  <c r="V42" i="83"/>
  <c r="W42" i="83" s="1"/>
  <c r="AA42" i="83" s="1"/>
  <c r="W21" i="84"/>
  <c r="V13" i="83"/>
  <c r="W13" i="83" s="1"/>
  <c r="AA13" i="83" s="1"/>
  <c r="V61" i="83"/>
  <c r="W61" i="83" s="1"/>
  <c r="AA61" i="83" s="1"/>
  <c r="V24" i="83"/>
  <c r="W24" i="83" s="1"/>
  <c r="AA24" i="83" s="1"/>
  <c r="V25" i="83"/>
  <c r="W25" i="83" s="1"/>
  <c r="AA25" i="83" s="1"/>
  <c r="V46" i="83"/>
  <c r="W46" i="83" s="1"/>
  <c r="AA46" i="83" s="1"/>
  <c r="V15" i="83"/>
  <c r="W15" i="83" s="1"/>
  <c r="AA15" i="83" s="1"/>
  <c r="W27" i="84"/>
  <c r="W24" i="84"/>
  <c r="W62" i="84"/>
  <c r="W13" i="84"/>
  <c r="W16" i="84"/>
  <c r="W54" i="84"/>
  <c r="W40" i="84"/>
  <c r="W72" i="84"/>
  <c r="W46" i="84"/>
  <c r="W48" i="84"/>
  <c r="W50" i="84"/>
  <c r="W28" i="84"/>
  <c r="W8" i="83"/>
  <c r="AA8" i="83" s="1"/>
  <c r="W43" i="84"/>
  <c r="W59" i="84"/>
  <c r="W73" i="84"/>
  <c r="H78" i="84"/>
  <c r="H79" i="83"/>
  <c r="Y32" i="83" l="1"/>
  <c r="Z32" i="83" s="1"/>
  <c r="AB32" i="83" s="1"/>
  <c r="AA32" i="83"/>
  <c r="Y59" i="83"/>
  <c r="Z59" i="83" s="1"/>
  <c r="AB59" i="83" s="1"/>
  <c r="AA59" i="83"/>
  <c r="Y23" i="83"/>
  <c r="Z23" i="83" s="1"/>
  <c r="AB23" i="83" s="1"/>
  <c r="AA23" i="83"/>
  <c r="Y70" i="83"/>
  <c r="Z70" i="83" s="1"/>
  <c r="AB70" i="83" s="1"/>
  <c r="AA70" i="83"/>
  <c r="Y66" i="83"/>
  <c r="Z66" i="83" s="1"/>
  <c r="AB66" i="83" s="1"/>
  <c r="AA66" i="83"/>
  <c r="Y38" i="83"/>
  <c r="Z38" i="83" s="1"/>
  <c r="Y74" i="83"/>
  <c r="Z74" i="83" s="1"/>
  <c r="Y8" i="83"/>
  <c r="Y11" i="83"/>
  <c r="Z11" i="83" s="1"/>
  <c r="Y35" i="83"/>
  <c r="Z35" i="83" s="1"/>
  <c r="G84" i="81"/>
  <c r="Y52" i="83"/>
  <c r="Z52" i="83" s="1"/>
  <c r="Y19" i="83"/>
  <c r="Z19" i="83" s="1"/>
  <c r="Y26" i="83"/>
  <c r="Z26" i="83" s="1"/>
  <c r="Y65" i="83"/>
  <c r="Z65" i="83" s="1"/>
  <c r="Y62" i="83"/>
  <c r="Z62" i="83" s="1"/>
  <c r="Y18" i="83"/>
  <c r="Z18" i="83" s="1"/>
  <c r="Y57" i="83"/>
  <c r="Z57" i="83" s="1"/>
  <c r="Y9" i="83"/>
  <c r="Z9" i="83" s="1"/>
  <c r="Y72" i="83"/>
  <c r="Z72" i="83" s="1"/>
  <c r="Y44" i="83"/>
  <c r="Z44" i="83" s="1"/>
  <c r="Y75" i="83"/>
  <c r="Z75" i="83" s="1"/>
  <c r="Y49" i="83"/>
  <c r="Z49" i="83" s="1"/>
  <c r="Y64" i="83"/>
  <c r="Z64" i="83" s="1"/>
  <c r="Y56" i="83"/>
  <c r="Z56" i="83" s="1"/>
  <c r="Y20" i="83"/>
  <c r="Z20" i="83" s="1"/>
  <c r="Y40" i="83"/>
  <c r="Z40" i="83" s="1"/>
  <c r="Y55" i="83"/>
  <c r="Z55" i="83" s="1"/>
  <c r="Y69" i="83"/>
  <c r="Z69" i="83" s="1"/>
  <c r="Y31" i="83"/>
  <c r="Z31" i="83" s="1"/>
  <c r="Y41" i="83"/>
  <c r="Z41" i="83" s="1"/>
  <c r="Y14" i="83"/>
  <c r="Z14" i="83" s="1"/>
  <c r="Y43" i="83"/>
  <c r="Z43" i="83" s="1"/>
  <c r="Y33" i="83"/>
  <c r="Z33" i="83" s="1"/>
  <c r="Y63" i="83"/>
  <c r="Z63" i="83" s="1"/>
  <c r="Y60" i="83"/>
  <c r="Z60" i="83" s="1"/>
  <c r="Y68" i="83"/>
  <c r="Z68" i="83" s="1"/>
  <c r="Y47" i="83"/>
  <c r="Z47" i="83" s="1"/>
  <c r="Y43" i="84"/>
  <c r="Z43" i="84" s="1"/>
  <c r="AA43" i="84"/>
  <c r="Y32" i="84"/>
  <c r="Z32" i="84" s="1"/>
  <c r="AA32" i="84"/>
  <c r="Y45" i="84"/>
  <c r="Z45" i="84" s="1"/>
  <c r="AA45" i="84"/>
  <c r="Y56" i="84"/>
  <c r="Z56" i="84" s="1"/>
  <c r="AA56" i="84"/>
  <c r="Y61" i="84"/>
  <c r="Z61" i="84" s="1"/>
  <c r="AA61" i="84"/>
  <c r="Y64" i="84"/>
  <c r="Z64" i="84" s="1"/>
  <c r="AA64" i="84"/>
  <c r="Y10" i="84"/>
  <c r="Z10" i="84" s="1"/>
  <c r="AA10" i="84"/>
  <c r="Y15" i="84"/>
  <c r="Z15" i="84" s="1"/>
  <c r="AA15" i="84"/>
  <c r="Y9" i="84"/>
  <c r="Z9" i="84" s="1"/>
  <c r="AA9" i="84"/>
  <c r="Y11" i="84"/>
  <c r="Z11" i="84" s="1"/>
  <c r="AA11" i="84"/>
  <c r="Y14" i="84"/>
  <c r="Z14" i="84" s="1"/>
  <c r="AA14" i="84"/>
  <c r="Y27" i="84"/>
  <c r="Z27" i="84" s="1"/>
  <c r="AA27" i="84"/>
  <c r="Y30" i="84"/>
  <c r="Z30" i="84" s="1"/>
  <c r="AA30" i="84"/>
  <c r="Y37" i="84"/>
  <c r="Z37" i="84" s="1"/>
  <c r="AA37" i="84"/>
  <c r="Y18" i="84"/>
  <c r="Z18" i="84" s="1"/>
  <c r="AA18" i="84"/>
  <c r="Y12" i="84"/>
  <c r="Z12" i="84" s="1"/>
  <c r="AA12" i="84"/>
  <c r="AA8" i="84"/>
  <c r="Y8" i="84"/>
  <c r="Z8" i="84" s="1"/>
  <c r="Y17" i="84"/>
  <c r="Z17" i="84" s="1"/>
  <c r="AA17" i="84"/>
  <c r="Y73" i="84"/>
  <c r="Z73" i="84" s="1"/>
  <c r="AA73" i="84"/>
  <c r="Y48" i="84"/>
  <c r="Z48" i="84" s="1"/>
  <c r="AA48" i="84"/>
  <c r="Y47" i="84"/>
  <c r="Z47" i="84" s="1"/>
  <c r="AA47" i="84"/>
  <c r="Y57" i="84"/>
  <c r="Z57" i="84" s="1"/>
  <c r="AA57" i="84"/>
  <c r="Y40" i="84"/>
  <c r="Z40" i="84" s="1"/>
  <c r="AA40" i="84"/>
  <c r="Y52" i="84"/>
  <c r="Z52" i="84" s="1"/>
  <c r="AA52" i="84"/>
  <c r="Y54" i="84"/>
  <c r="Z54" i="84" s="1"/>
  <c r="AA54" i="84"/>
  <c r="Y19" i="84"/>
  <c r="Z19" i="84" s="1"/>
  <c r="AA19" i="84"/>
  <c r="Y16" i="84"/>
  <c r="Z16" i="84" s="1"/>
  <c r="AA16" i="84"/>
  <c r="Y13" i="84"/>
  <c r="Z13" i="84" s="1"/>
  <c r="AA13" i="84"/>
  <c r="Y24" i="84"/>
  <c r="Z24" i="84" s="1"/>
  <c r="AA24" i="84"/>
  <c r="Y15" i="83"/>
  <c r="Z15" i="83" s="1"/>
  <c r="Y61" i="83"/>
  <c r="Z61" i="83" s="1"/>
  <c r="Y53" i="84"/>
  <c r="Z53" i="84" s="1"/>
  <c r="AA53" i="84"/>
  <c r="Y39" i="84"/>
  <c r="Z39" i="84" s="1"/>
  <c r="AA39" i="84"/>
  <c r="Y10" i="83"/>
  <c r="Z10" i="83" s="1"/>
  <c r="Y50" i="83"/>
  <c r="Z50" i="83" s="1"/>
  <c r="Y12" i="83"/>
  <c r="Z12" i="83" s="1"/>
  <c r="Y49" i="84"/>
  <c r="Z49" i="84" s="1"/>
  <c r="AA49" i="84"/>
  <c r="Y54" i="83"/>
  <c r="Z54" i="83" s="1"/>
  <c r="Y25" i="84"/>
  <c r="Z25" i="84" s="1"/>
  <c r="AA25" i="84"/>
  <c r="Y41" i="84"/>
  <c r="Z41" i="84" s="1"/>
  <c r="AA41" i="84"/>
  <c r="Y30" i="83"/>
  <c r="Z30" i="83" s="1"/>
  <c r="Y34" i="84"/>
  <c r="Z34" i="84" s="1"/>
  <c r="AA34" i="84"/>
  <c r="Y44" i="84"/>
  <c r="Z44" i="84" s="1"/>
  <c r="AA44" i="84"/>
  <c r="Y51" i="83"/>
  <c r="Z51" i="83" s="1"/>
  <c r="Y74" i="84"/>
  <c r="Z74" i="84" s="1"/>
  <c r="AA74" i="84"/>
  <c r="Y42" i="84"/>
  <c r="Z42" i="84" s="1"/>
  <c r="AA42" i="84"/>
  <c r="Y69" i="84"/>
  <c r="Z69" i="84" s="1"/>
  <c r="AA69" i="84"/>
  <c r="Y68" i="84"/>
  <c r="Z68" i="84" s="1"/>
  <c r="AA68" i="84"/>
  <c r="Y36" i="84"/>
  <c r="Z36" i="84" s="1"/>
  <c r="AA36" i="84"/>
  <c r="Y71" i="84"/>
  <c r="Z71" i="84" s="1"/>
  <c r="AA71" i="84"/>
  <c r="Y23" i="84"/>
  <c r="Z23" i="84" s="1"/>
  <c r="AA23" i="84"/>
  <c r="Y58" i="83"/>
  <c r="Z58" i="83" s="1"/>
  <c r="Y53" i="83"/>
  <c r="Z53" i="83" s="1"/>
  <c r="Y36" i="83"/>
  <c r="Z36" i="83" s="1"/>
  <c r="Y70" i="84"/>
  <c r="Z70" i="84" s="1"/>
  <c r="AA70" i="84"/>
  <c r="Y38" i="84"/>
  <c r="Z38" i="84" s="1"/>
  <c r="AA38" i="84"/>
  <c r="Y33" i="84"/>
  <c r="Z33" i="84" s="1"/>
  <c r="AA33" i="84"/>
  <c r="Y35" i="84"/>
  <c r="Z35" i="84" s="1"/>
  <c r="AA35" i="84"/>
  <c r="Y71" i="83"/>
  <c r="Z71" i="83" s="1"/>
  <c r="Y39" i="83"/>
  <c r="Z39" i="83" s="1"/>
  <c r="Y48" i="83"/>
  <c r="Z48" i="83" s="1"/>
  <c r="Y28" i="83"/>
  <c r="Z28" i="83" s="1"/>
  <c r="Y26" i="84"/>
  <c r="Z26" i="84" s="1"/>
  <c r="AA26" i="84"/>
  <c r="Y20" i="84"/>
  <c r="Z20" i="84" s="1"/>
  <c r="AA20" i="84"/>
  <c r="W7" i="84"/>
  <c r="Y59" i="84"/>
  <c r="Z59" i="84" s="1"/>
  <c r="AA59" i="84"/>
  <c r="Y28" i="84"/>
  <c r="Z28" i="84" s="1"/>
  <c r="AA28" i="84"/>
  <c r="Y21" i="84"/>
  <c r="Z21" i="84" s="1"/>
  <c r="AA21" i="84"/>
  <c r="Y50" i="84"/>
  <c r="Z50" i="84" s="1"/>
  <c r="AA50" i="84"/>
  <c r="Y65" i="84"/>
  <c r="Z65" i="84" s="1"/>
  <c r="AA65" i="84"/>
  <c r="Y46" i="84"/>
  <c r="Z46" i="84" s="1"/>
  <c r="AA46" i="84"/>
  <c r="Y72" i="84"/>
  <c r="Z72" i="84" s="1"/>
  <c r="AA72" i="84"/>
  <c r="Y58" i="84"/>
  <c r="Z58" i="84" s="1"/>
  <c r="AA58" i="84"/>
  <c r="Y55" i="84"/>
  <c r="Z55" i="84" s="1"/>
  <c r="AA55" i="84"/>
  <c r="Y67" i="84"/>
  <c r="Z67" i="84" s="1"/>
  <c r="AA67" i="84"/>
  <c r="Y62" i="84"/>
  <c r="Z62" i="84" s="1"/>
  <c r="AA62" i="84"/>
  <c r="Y46" i="83"/>
  <c r="Z46" i="83" s="1"/>
  <c r="Y25" i="83"/>
  <c r="Z25" i="83" s="1"/>
  <c r="Y24" i="83"/>
  <c r="Z24" i="83" s="1"/>
  <c r="Y13" i="83"/>
  <c r="Z13" i="83" s="1"/>
  <c r="Y42" i="83"/>
  <c r="Z42" i="83" s="1"/>
  <c r="Y21" i="83"/>
  <c r="Z21" i="83" s="1"/>
  <c r="Y29" i="83"/>
  <c r="Z29" i="83" s="1"/>
  <c r="Y51" i="84"/>
  <c r="Z51" i="84" s="1"/>
  <c r="AA51" i="84"/>
  <c r="Y16" i="83"/>
  <c r="Z16" i="83" s="1"/>
  <c r="Y63" i="84"/>
  <c r="Z63" i="84" s="1"/>
  <c r="AA63" i="84"/>
  <c r="Y67" i="83"/>
  <c r="Z67" i="83" s="1"/>
  <c r="Y45" i="83"/>
  <c r="Z45" i="83" s="1"/>
  <c r="Y75" i="84"/>
  <c r="Z75" i="84" s="1"/>
  <c r="AA75" i="84"/>
  <c r="Y73" i="83"/>
  <c r="Z73" i="83" s="1"/>
  <c r="Y29" i="84"/>
  <c r="Z29" i="84" s="1"/>
  <c r="AA29" i="84"/>
  <c r="Y34" i="83"/>
  <c r="Z34" i="83" s="1"/>
  <c r="Y27" i="83"/>
  <c r="Z27" i="83" s="1"/>
  <c r="Y37" i="83"/>
  <c r="Z37" i="83" s="1"/>
  <c r="Y31" i="84"/>
  <c r="Z31" i="84" s="1"/>
  <c r="AA31" i="84"/>
  <c r="Y22" i="83"/>
  <c r="Z22" i="83" s="1"/>
  <c r="Y17" i="83"/>
  <c r="Z17" i="83" s="1"/>
  <c r="Y66" i="84"/>
  <c r="Z66" i="84" s="1"/>
  <c r="AA66" i="84"/>
  <c r="Y60" i="84"/>
  <c r="Z60" i="84" s="1"/>
  <c r="AA60" i="84"/>
  <c r="Y22" i="84"/>
  <c r="Z22" i="84" s="1"/>
  <c r="AA22" i="84"/>
  <c r="Y7" i="83"/>
  <c r="Z7" i="83" s="1"/>
  <c r="W77" i="83"/>
  <c r="V77" i="83"/>
  <c r="H84" i="81"/>
  <c r="G69" i="81"/>
  <c r="H69" i="81"/>
  <c r="G87" i="81"/>
  <c r="H87" i="81"/>
  <c r="Z8" i="83" l="1"/>
  <c r="AB8" i="83" s="1"/>
  <c r="AB38" i="83"/>
  <c r="AB11" i="83"/>
  <c r="AB35" i="83"/>
  <c r="AB56" i="83"/>
  <c r="AB64" i="83"/>
  <c r="AB49" i="83"/>
  <c r="AB44" i="83"/>
  <c r="AB72" i="83"/>
  <c r="AB9" i="83"/>
  <c r="AB57" i="83"/>
  <c r="AB62" i="83"/>
  <c r="AB65" i="83"/>
  <c r="AB26" i="83"/>
  <c r="AB60" i="83"/>
  <c r="AB63" i="83"/>
  <c r="AB33" i="83"/>
  <c r="AB43" i="83"/>
  <c r="AB14" i="83"/>
  <c r="AB41" i="83"/>
  <c r="AB55" i="83"/>
  <c r="AB20" i="83"/>
  <c r="AB68" i="83"/>
  <c r="AB47" i="83"/>
  <c r="AB8" i="84"/>
  <c r="Y77" i="83"/>
  <c r="AB22" i="84"/>
  <c r="AB60" i="84"/>
  <c r="AB66" i="84"/>
  <c r="AB17" i="83"/>
  <c r="AB22" i="83"/>
  <c r="AB31" i="84"/>
  <c r="AB37" i="83"/>
  <c r="AB27" i="83"/>
  <c r="AB34" i="83"/>
  <c r="AB29" i="84"/>
  <c r="AB73" i="83"/>
  <c r="AB75" i="84"/>
  <c r="AB45" i="83"/>
  <c r="AB67" i="83"/>
  <c r="AB63" i="84"/>
  <c r="AB16" i="83"/>
  <c r="AB51" i="84"/>
  <c r="AB29" i="83"/>
  <c r="AB21" i="83"/>
  <c r="AB42" i="83"/>
  <c r="AB13" i="83"/>
  <c r="AB24" i="83"/>
  <c r="AB25" i="83"/>
  <c r="AB46" i="83"/>
  <c r="AB62" i="84"/>
  <c r="AB67" i="84"/>
  <c r="AB55" i="84"/>
  <c r="AB58" i="84"/>
  <c r="AB72" i="84"/>
  <c r="AB46" i="84"/>
  <c r="AB65" i="84"/>
  <c r="AB50" i="84"/>
  <c r="AB21" i="84"/>
  <c r="AB28" i="84"/>
  <c r="AB59" i="84"/>
  <c r="AA7" i="84"/>
  <c r="AA76" i="84" s="1"/>
  <c r="Y7" i="84"/>
  <c r="Z7" i="84" s="1"/>
  <c r="W76" i="84"/>
  <c r="AB20" i="84"/>
  <c r="AB26" i="84"/>
  <c r="AB28" i="83"/>
  <c r="AB48" i="83"/>
  <c r="AB39" i="83"/>
  <c r="AB71" i="83"/>
  <c r="AB35" i="84"/>
  <c r="AB33" i="84"/>
  <c r="AB38" i="84"/>
  <c r="AB70" i="84"/>
  <c r="AB36" i="83"/>
  <c r="AB53" i="83"/>
  <c r="AB58" i="83"/>
  <c r="AB23" i="84"/>
  <c r="AB71" i="84"/>
  <c r="AB36" i="84"/>
  <c r="AB68" i="84"/>
  <c r="AB69" i="84"/>
  <c r="AB42" i="84"/>
  <c r="AB74" i="84"/>
  <c r="AB51" i="83"/>
  <c r="AB44" i="84"/>
  <c r="AB34" i="84"/>
  <c r="AB30" i="83"/>
  <c r="AB41" i="84"/>
  <c r="AB25" i="84"/>
  <c r="AB54" i="83"/>
  <c r="AB49" i="84"/>
  <c r="AB12" i="83"/>
  <c r="AB50" i="83"/>
  <c r="AB10" i="83"/>
  <c r="AB39" i="84"/>
  <c r="AB53" i="84"/>
  <c r="AB61" i="83"/>
  <c r="AB15" i="83"/>
  <c r="AB24" i="84"/>
  <c r="AB13" i="84"/>
  <c r="AB16" i="84"/>
  <c r="AB19" i="84"/>
  <c r="AB54" i="84"/>
  <c r="AB52" i="84"/>
  <c r="AB40" i="84"/>
  <c r="AB57" i="84"/>
  <c r="AB47" i="84"/>
  <c r="AB48" i="84"/>
  <c r="AB73" i="84"/>
  <c r="AB17" i="84"/>
  <c r="AB12" i="84"/>
  <c r="AB18" i="84"/>
  <c r="AB37" i="84"/>
  <c r="AB30" i="84"/>
  <c r="AB27" i="84"/>
  <c r="AB14" i="84"/>
  <c r="AB11" i="84"/>
  <c r="AB9" i="84"/>
  <c r="AB15" i="84"/>
  <c r="AB10" i="84"/>
  <c r="AB64" i="84"/>
  <c r="AB61" i="84"/>
  <c r="AB56" i="84"/>
  <c r="AB45" i="84"/>
  <c r="AB32" i="84"/>
  <c r="AB43" i="84"/>
  <c r="G88" i="81"/>
  <c r="H88" i="81"/>
  <c r="Y76" i="84" l="1"/>
  <c r="Z77" i="83"/>
  <c r="AB7" i="83"/>
  <c r="AB7" i="84" l="1"/>
  <c r="AB76" i="84" s="1"/>
  <c r="Z76" i="84"/>
  <c r="C70" i="31" l="1"/>
  <c r="C72" i="31" s="1"/>
  <c r="F8" i="5" l="1"/>
  <c r="B10" i="5" l="1"/>
  <c r="F9" i="5"/>
  <c r="F10" i="5" s="1"/>
  <c r="E13" i="81" l="1"/>
  <c r="AF76" i="120" l="1"/>
  <c r="H13" i="81"/>
  <c r="E19" i="81"/>
  <c r="G13" i="81"/>
  <c r="H19" i="81" l="1"/>
  <c r="G19" i="81"/>
  <c r="T44" i="72" l="1"/>
  <c r="S44" i="72" l="1"/>
  <c r="AJ44" i="46" l="1"/>
  <c r="U75" i="72"/>
  <c r="E75" i="72" l="1"/>
  <c r="L40" i="83" l="1"/>
  <c r="AA40" i="83" s="1"/>
  <c r="L31" i="83"/>
  <c r="AA31" i="83" s="1"/>
  <c r="L19" i="83"/>
  <c r="AA19" i="83" s="1"/>
  <c r="L75" i="83"/>
  <c r="AA75" i="83" s="1"/>
  <c r="L74" i="83"/>
  <c r="AA74" i="83" s="1"/>
  <c r="L69" i="83"/>
  <c r="AA69" i="83" s="1"/>
  <c r="L52" i="83"/>
  <c r="AA52" i="83" s="1"/>
  <c r="N69" i="83" l="1"/>
  <c r="N75" i="83"/>
  <c r="N31" i="83"/>
  <c r="N52" i="83"/>
  <c r="N74" i="83"/>
  <c r="N19" i="83"/>
  <c r="N40" i="83"/>
  <c r="O19" i="83" l="1"/>
  <c r="AB19" i="83" s="1"/>
  <c r="O52" i="83"/>
  <c r="AB52" i="83" s="1"/>
  <c r="O75" i="83"/>
  <c r="AB75" i="83" s="1"/>
  <c r="O40" i="83"/>
  <c r="AB40" i="83" s="1"/>
  <c r="O74" i="83"/>
  <c r="AB74" i="83" s="1"/>
  <c r="O31" i="83"/>
  <c r="AB31" i="83" s="1"/>
  <c r="O69" i="83"/>
  <c r="AB69" i="83" s="1"/>
  <c r="L18" i="83"/>
  <c r="AA18" i="83" l="1"/>
  <c r="L77" i="83"/>
  <c r="N18" i="83"/>
  <c r="N77" i="83" l="1"/>
  <c r="O18" i="83"/>
  <c r="AB18" i="83" s="1"/>
  <c r="AB77" i="83" s="1"/>
  <c r="AA77" i="83"/>
  <c r="O77" i="83" l="1"/>
  <c r="E40" i="119" l="1"/>
  <c r="H40" i="119" s="1"/>
  <c r="E40" i="118"/>
  <c r="H40" i="118" s="1"/>
  <c r="E40" i="120"/>
  <c r="H40" i="120" s="1"/>
  <c r="E40" i="116"/>
  <c r="H40" i="116" s="1"/>
  <c r="E40" i="115"/>
  <c r="H40" i="115" s="1"/>
  <c r="E40" i="114"/>
  <c r="H40" i="114" s="1"/>
  <c r="E40" i="117"/>
  <c r="H40" i="117" s="1"/>
  <c r="E40" i="113"/>
  <c r="H40" i="113" s="1"/>
  <c r="E38" i="76" l="1"/>
  <c r="H38" i="76" s="1"/>
  <c r="J33" i="46"/>
  <c r="K33" i="46" s="1"/>
  <c r="E35" i="46"/>
  <c r="H35" i="46" s="1"/>
  <c r="E33" i="46"/>
  <c r="E23" i="46"/>
  <c r="H23" i="46" s="1"/>
  <c r="E38" i="80"/>
  <c r="H38" i="80" s="1"/>
  <c r="E50" i="119"/>
  <c r="H50" i="119" s="1"/>
  <c r="E17" i="118"/>
  <c r="H17" i="118" s="1"/>
  <c r="E39" i="119"/>
  <c r="H39" i="119" s="1"/>
  <c r="E17" i="116"/>
  <c r="H17" i="116" s="1"/>
  <c r="E17" i="119"/>
  <c r="H17" i="119" s="1"/>
  <c r="E17" i="113"/>
  <c r="H17" i="113" s="1"/>
  <c r="E39" i="115"/>
  <c r="H39" i="115" s="1"/>
  <c r="E17" i="114"/>
  <c r="H17" i="114" s="1"/>
  <c r="E39" i="118"/>
  <c r="H39" i="118" s="1"/>
  <c r="E17" i="117"/>
  <c r="H17" i="117" s="1"/>
  <c r="E17" i="120"/>
  <c r="H17" i="120" s="1"/>
  <c r="E17" i="115"/>
  <c r="H17" i="115" s="1"/>
  <c r="E50" i="116"/>
  <c r="H50" i="116" s="1"/>
  <c r="E50" i="120"/>
  <c r="H50" i="120" s="1"/>
  <c r="E50" i="114"/>
  <c r="H50" i="114" s="1"/>
  <c r="E50" i="118"/>
  <c r="H50" i="118" s="1"/>
  <c r="E50" i="113"/>
  <c r="H50" i="113" s="1"/>
  <c r="E50" i="115"/>
  <c r="H50" i="115" s="1"/>
  <c r="E50" i="117"/>
  <c r="H50" i="117" s="1"/>
  <c r="E39" i="116"/>
  <c r="H39" i="116" s="1"/>
  <c r="E39" i="120"/>
  <c r="H39" i="120" s="1"/>
  <c r="E39" i="113"/>
  <c r="H39" i="113" s="1"/>
  <c r="E39" i="117"/>
  <c r="H39" i="117" s="1"/>
  <c r="E39" i="114"/>
  <c r="H39" i="114" s="1"/>
  <c r="E55" i="120"/>
  <c r="H55" i="120" s="1"/>
  <c r="E55" i="119"/>
  <c r="H55" i="119" s="1"/>
  <c r="E55" i="118"/>
  <c r="H55" i="118" s="1"/>
  <c r="E55" i="116"/>
  <c r="H55" i="116" s="1"/>
  <c r="E55" i="114"/>
  <c r="H55" i="114" s="1"/>
  <c r="E55" i="117"/>
  <c r="H55" i="117" s="1"/>
  <c r="E55" i="115"/>
  <c r="H55" i="115" s="1"/>
  <c r="E55" i="113"/>
  <c r="H55" i="113" s="1"/>
  <c r="E58" i="120"/>
  <c r="H58" i="120" s="1"/>
  <c r="E58" i="119"/>
  <c r="H58" i="119" s="1"/>
  <c r="E58" i="118"/>
  <c r="H58" i="118" s="1"/>
  <c r="E58" i="117"/>
  <c r="H58" i="117" s="1"/>
  <c r="E58" i="116"/>
  <c r="H58" i="116" s="1"/>
  <c r="E58" i="114"/>
  <c r="H58" i="114" s="1"/>
  <c r="E58" i="115"/>
  <c r="H58" i="115" s="1"/>
  <c r="E58" i="113"/>
  <c r="H58" i="113" s="1"/>
  <c r="E45" i="118"/>
  <c r="H45" i="118" s="1"/>
  <c r="E45" i="120"/>
  <c r="H45" i="120" s="1"/>
  <c r="E45" i="119"/>
  <c r="H45" i="119" s="1"/>
  <c r="E45" i="116"/>
  <c r="H45" i="116" s="1"/>
  <c r="E45" i="114"/>
  <c r="H45" i="114" s="1"/>
  <c r="E45" i="117"/>
  <c r="H45" i="117" s="1"/>
  <c r="E45" i="115"/>
  <c r="H45" i="115" s="1"/>
  <c r="E45" i="113"/>
  <c r="H45" i="113" s="1"/>
  <c r="E47" i="120"/>
  <c r="H47" i="120" s="1"/>
  <c r="E47" i="119"/>
  <c r="H47" i="119" s="1"/>
  <c r="E47" i="118"/>
  <c r="H47" i="118" s="1"/>
  <c r="E47" i="116"/>
  <c r="H47" i="116" s="1"/>
  <c r="E47" i="114"/>
  <c r="H47" i="114" s="1"/>
  <c r="E47" i="117"/>
  <c r="H47" i="117" s="1"/>
  <c r="E47" i="115"/>
  <c r="H47" i="115" s="1"/>
  <c r="E47" i="113"/>
  <c r="H47" i="113" s="1"/>
  <c r="E33" i="120"/>
  <c r="H33" i="120" s="1"/>
  <c r="E33" i="118"/>
  <c r="H33" i="118" s="1"/>
  <c r="E33" i="119"/>
  <c r="H33" i="119" s="1"/>
  <c r="E33" i="117"/>
  <c r="H33" i="117" s="1"/>
  <c r="E33" i="116"/>
  <c r="H33" i="116" s="1"/>
  <c r="E33" i="115"/>
  <c r="H33" i="115" s="1"/>
  <c r="E33" i="114"/>
  <c r="H33" i="114" s="1"/>
  <c r="E33" i="113"/>
  <c r="H33" i="113" s="1"/>
  <c r="E18" i="120"/>
  <c r="H18" i="120" s="1"/>
  <c r="E18" i="118"/>
  <c r="H18" i="118" s="1"/>
  <c r="E18" i="119"/>
  <c r="H18" i="119" s="1"/>
  <c r="E18" i="116"/>
  <c r="H18" i="116" s="1"/>
  <c r="E18" i="117"/>
  <c r="H18" i="117" s="1"/>
  <c r="E18" i="115"/>
  <c r="H18" i="115" s="1"/>
  <c r="E18" i="114"/>
  <c r="H18" i="114" s="1"/>
  <c r="E18" i="113"/>
  <c r="H18" i="113" s="1"/>
  <c r="E46" i="120"/>
  <c r="H46" i="120" s="1"/>
  <c r="E46" i="119"/>
  <c r="H46" i="119" s="1"/>
  <c r="E46" i="118"/>
  <c r="H46" i="118" s="1"/>
  <c r="E46" i="116"/>
  <c r="H46" i="116" s="1"/>
  <c r="E46" i="115"/>
  <c r="H46" i="115" s="1"/>
  <c r="E46" i="117"/>
  <c r="H46" i="117" s="1"/>
  <c r="E46" i="114"/>
  <c r="H46" i="114" s="1"/>
  <c r="E46" i="113"/>
  <c r="H46" i="113" s="1"/>
  <c r="E65" i="120"/>
  <c r="H65" i="120" s="1"/>
  <c r="E65" i="119"/>
  <c r="H65" i="119" s="1"/>
  <c r="E65" i="118"/>
  <c r="H65" i="118" s="1"/>
  <c r="E65" i="117"/>
  <c r="H65" i="117" s="1"/>
  <c r="E65" i="116"/>
  <c r="H65" i="116" s="1"/>
  <c r="E65" i="114"/>
  <c r="H65" i="114" s="1"/>
  <c r="E65" i="115"/>
  <c r="H65" i="115" s="1"/>
  <c r="E65" i="113"/>
  <c r="H65" i="113" s="1"/>
  <c r="E21" i="120"/>
  <c r="H21" i="120" s="1"/>
  <c r="E21" i="118"/>
  <c r="H21" i="118" s="1"/>
  <c r="E21" i="119"/>
  <c r="H21" i="119" s="1"/>
  <c r="E21" i="116"/>
  <c r="H21" i="116" s="1"/>
  <c r="E21" i="115"/>
  <c r="H21" i="115" s="1"/>
  <c r="E21" i="117"/>
  <c r="H21" i="117" s="1"/>
  <c r="E21" i="114"/>
  <c r="H21" i="114" s="1"/>
  <c r="E21" i="113"/>
  <c r="H21" i="113" s="1"/>
  <c r="E24" i="120"/>
  <c r="H24" i="120" s="1"/>
  <c r="E24" i="118"/>
  <c r="H24" i="118" s="1"/>
  <c r="E24" i="119"/>
  <c r="H24" i="119" s="1"/>
  <c r="E24" i="115"/>
  <c r="H24" i="115" s="1"/>
  <c r="E24" i="117"/>
  <c r="H24" i="117" s="1"/>
  <c r="E24" i="116"/>
  <c r="H24" i="116" s="1"/>
  <c r="E24" i="114"/>
  <c r="H24" i="114" s="1"/>
  <c r="E24" i="113"/>
  <c r="H24" i="113" s="1"/>
  <c r="E63" i="120"/>
  <c r="H63" i="120" s="1"/>
  <c r="E63" i="119"/>
  <c r="H63" i="119" s="1"/>
  <c r="E63" i="118"/>
  <c r="H63" i="118" s="1"/>
  <c r="E63" i="117"/>
  <c r="H63" i="117" s="1"/>
  <c r="E63" i="116"/>
  <c r="H63" i="116" s="1"/>
  <c r="E63" i="115"/>
  <c r="H63" i="115" s="1"/>
  <c r="E63" i="114"/>
  <c r="H63" i="114" s="1"/>
  <c r="E63" i="113"/>
  <c r="H63" i="113" s="1"/>
  <c r="E72" i="120"/>
  <c r="H72" i="120" s="1"/>
  <c r="E72" i="119"/>
  <c r="H72" i="119" s="1"/>
  <c r="E72" i="118"/>
  <c r="H72" i="118" s="1"/>
  <c r="E72" i="117"/>
  <c r="H72" i="117" s="1"/>
  <c r="E72" i="116"/>
  <c r="H72" i="116" s="1"/>
  <c r="E72" i="115"/>
  <c r="H72" i="115" s="1"/>
  <c r="E72" i="114"/>
  <c r="H72" i="114" s="1"/>
  <c r="E72" i="113"/>
  <c r="H72" i="113" s="1"/>
  <c r="E38" i="120"/>
  <c r="H38" i="120" s="1"/>
  <c r="E38" i="119"/>
  <c r="H38" i="119" s="1"/>
  <c r="E38" i="118"/>
  <c r="H38" i="118" s="1"/>
  <c r="E38" i="116"/>
  <c r="H38" i="116" s="1"/>
  <c r="E38" i="115"/>
  <c r="H38" i="115" s="1"/>
  <c r="E38" i="117"/>
  <c r="H38" i="117" s="1"/>
  <c r="E38" i="114"/>
  <c r="H38" i="114" s="1"/>
  <c r="E38" i="113"/>
  <c r="H38" i="113" s="1"/>
  <c r="E41" i="120"/>
  <c r="H41" i="120" s="1"/>
  <c r="E41" i="118"/>
  <c r="H41" i="118" s="1"/>
  <c r="E41" i="119"/>
  <c r="H41" i="119" s="1"/>
  <c r="E41" i="117"/>
  <c r="H41" i="117" s="1"/>
  <c r="E41" i="116"/>
  <c r="H41" i="116" s="1"/>
  <c r="E41" i="115"/>
  <c r="H41" i="115" s="1"/>
  <c r="E41" i="114"/>
  <c r="H41" i="114" s="1"/>
  <c r="E41" i="113"/>
  <c r="H41" i="113" s="1"/>
  <c r="E49" i="120"/>
  <c r="H49" i="120" s="1"/>
  <c r="E49" i="119"/>
  <c r="H49" i="119" s="1"/>
  <c r="E49" i="118"/>
  <c r="H49" i="118" s="1"/>
  <c r="E49" i="116"/>
  <c r="H49" i="116" s="1"/>
  <c r="E49" i="114"/>
  <c r="H49" i="114" s="1"/>
  <c r="E49" i="117"/>
  <c r="H49" i="117" s="1"/>
  <c r="E49" i="115"/>
  <c r="H49" i="115" s="1"/>
  <c r="E49" i="113"/>
  <c r="H49" i="113" s="1"/>
  <c r="E59" i="120"/>
  <c r="H59" i="120" s="1"/>
  <c r="E59" i="119"/>
  <c r="H59" i="119" s="1"/>
  <c r="E59" i="118"/>
  <c r="H59" i="118" s="1"/>
  <c r="E59" i="117"/>
  <c r="H59" i="117" s="1"/>
  <c r="E59" i="116"/>
  <c r="H59" i="116" s="1"/>
  <c r="E59" i="115"/>
  <c r="H59" i="115" s="1"/>
  <c r="E59" i="114"/>
  <c r="H59" i="114" s="1"/>
  <c r="E59" i="113"/>
  <c r="H59" i="113" s="1"/>
  <c r="E25" i="120"/>
  <c r="H25" i="120" s="1"/>
  <c r="E25" i="118"/>
  <c r="H25" i="118" s="1"/>
  <c r="E25" i="119"/>
  <c r="H25" i="119" s="1"/>
  <c r="E25" i="117"/>
  <c r="H25" i="117" s="1"/>
  <c r="E25" i="116"/>
  <c r="H25" i="116" s="1"/>
  <c r="E25" i="115"/>
  <c r="H25" i="115" s="1"/>
  <c r="E25" i="114"/>
  <c r="H25" i="114" s="1"/>
  <c r="E25" i="113"/>
  <c r="H25" i="113" s="1"/>
  <c r="E66" i="120"/>
  <c r="H66" i="120" s="1"/>
  <c r="E66" i="119"/>
  <c r="H66" i="119" s="1"/>
  <c r="E66" i="118"/>
  <c r="H66" i="118" s="1"/>
  <c r="E66" i="117"/>
  <c r="H66" i="117" s="1"/>
  <c r="E66" i="116"/>
  <c r="H66" i="116" s="1"/>
  <c r="E66" i="114"/>
  <c r="H66" i="114" s="1"/>
  <c r="E66" i="115"/>
  <c r="H66" i="115" s="1"/>
  <c r="E66" i="113"/>
  <c r="H66" i="113" s="1"/>
  <c r="E52" i="120"/>
  <c r="H52" i="120" s="1"/>
  <c r="E52" i="119"/>
  <c r="H52" i="119" s="1"/>
  <c r="E52" i="118"/>
  <c r="H52" i="118" s="1"/>
  <c r="E52" i="117"/>
  <c r="H52" i="117" s="1"/>
  <c r="E52" i="116"/>
  <c r="H52" i="116" s="1"/>
  <c r="E52" i="115"/>
  <c r="H52" i="115" s="1"/>
  <c r="E52" i="114"/>
  <c r="H52" i="114" s="1"/>
  <c r="E52" i="113"/>
  <c r="H52" i="113" s="1"/>
  <c r="E11" i="118"/>
  <c r="H11" i="118" s="1"/>
  <c r="E11" i="120"/>
  <c r="H11" i="120" s="1"/>
  <c r="E11" i="119"/>
  <c r="H11" i="119" s="1"/>
  <c r="E11" i="116"/>
  <c r="H11" i="116" s="1"/>
  <c r="E11" i="115"/>
  <c r="H11" i="115" s="1"/>
  <c r="E11" i="117"/>
  <c r="H11" i="117" s="1"/>
  <c r="E11" i="114"/>
  <c r="H11" i="114" s="1"/>
  <c r="E11" i="113"/>
  <c r="H11" i="113" s="1"/>
  <c r="E62" i="120"/>
  <c r="H62" i="120" s="1"/>
  <c r="E62" i="119"/>
  <c r="H62" i="119" s="1"/>
  <c r="E62" i="118"/>
  <c r="H62" i="118" s="1"/>
  <c r="E62" i="117"/>
  <c r="H62" i="117" s="1"/>
  <c r="E62" i="116"/>
  <c r="H62" i="116" s="1"/>
  <c r="E62" i="115"/>
  <c r="H62" i="115" s="1"/>
  <c r="E76" i="114"/>
  <c r="H76" i="114" s="1"/>
  <c r="E62" i="114"/>
  <c r="H62" i="114" s="1"/>
  <c r="E62" i="113"/>
  <c r="H62" i="113" s="1"/>
  <c r="E13" i="118"/>
  <c r="H13" i="118" s="1"/>
  <c r="E13" i="120"/>
  <c r="H13" i="120" s="1"/>
  <c r="E13" i="119"/>
  <c r="H13" i="119" s="1"/>
  <c r="E13" i="116"/>
  <c r="H13" i="116" s="1"/>
  <c r="E13" i="115"/>
  <c r="H13" i="115" s="1"/>
  <c r="E13" i="117"/>
  <c r="H13" i="117" s="1"/>
  <c r="E13" i="114"/>
  <c r="H13" i="114" s="1"/>
  <c r="E13" i="113"/>
  <c r="H13" i="113" s="1"/>
  <c r="E36" i="120"/>
  <c r="H36" i="120" s="1"/>
  <c r="E36" i="119"/>
  <c r="H36" i="119" s="1"/>
  <c r="E36" i="118"/>
  <c r="H36" i="118" s="1"/>
  <c r="E36" i="115"/>
  <c r="H36" i="115" s="1"/>
  <c r="E36" i="117"/>
  <c r="H36" i="117" s="1"/>
  <c r="E36" i="116"/>
  <c r="H36" i="116" s="1"/>
  <c r="E36" i="114"/>
  <c r="H36" i="114" s="1"/>
  <c r="E36" i="113"/>
  <c r="H36" i="113" s="1"/>
  <c r="E68" i="120"/>
  <c r="H68" i="120" s="1"/>
  <c r="E68" i="119"/>
  <c r="H68" i="119" s="1"/>
  <c r="E68" i="118"/>
  <c r="H68" i="118" s="1"/>
  <c r="E68" i="117"/>
  <c r="H68" i="117" s="1"/>
  <c r="E68" i="116"/>
  <c r="H68" i="116" s="1"/>
  <c r="E68" i="115"/>
  <c r="H68" i="115" s="1"/>
  <c r="E68" i="114"/>
  <c r="H68" i="114" s="1"/>
  <c r="E68" i="113"/>
  <c r="H68" i="113" s="1"/>
  <c r="E75" i="120"/>
  <c r="H75" i="120" s="1"/>
  <c r="E75" i="119"/>
  <c r="H75" i="119" s="1"/>
  <c r="E75" i="118"/>
  <c r="H75" i="118" s="1"/>
  <c r="E75" i="117"/>
  <c r="H75" i="117" s="1"/>
  <c r="E75" i="116"/>
  <c r="H75" i="116" s="1"/>
  <c r="E75" i="115"/>
  <c r="H75" i="115" s="1"/>
  <c r="E75" i="114"/>
  <c r="H75" i="114" s="1"/>
  <c r="E75" i="113"/>
  <c r="H75" i="113" s="1"/>
  <c r="E73" i="120"/>
  <c r="H73" i="120" s="1"/>
  <c r="E73" i="119"/>
  <c r="H73" i="119" s="1"/>
  <c r="E73" i="118"/>
  <c r="H73" i="118" s="1"/>
  <c r="E73" i="117"/>
  <c r="H73" i="117" s="1"/>
  <c r="E73" i="116"/>
  <c r="H73" i="116" s="1"/>
  <c r="E73" i="115"/>
  <c r="H73" i="115" s="1"/>
  <c r="E73" i="114"/>
  <c r="H73" i="114" s="1"/>
  <c r="E73" i="113"/>
  <c r="H73" i="113" s="1"/>
  <c r="E35" i="120"/>
  <c r="H35" i="120" s="1"/>
  <c r="E35" i="118"/>
  <c r="H35" i="118" s="1"/>
  <c r="E35" i="119"/>
  <c r="H35" i="119" s="1"/>
  <c r="E35" i="117"/>
  <c r="H35" i="117" s="1"/>
  <c r="E35" i="116"/>
  <c r="H35" i="116" s="1"/>
  <c r="E35" i="115"/>
  <c r="H35" i="115" s="1"/>
  <c r="E35" i="114"/>
  <c r="H35" i="114" s="1"/>
  <c r="E35" i="113"/>
  <c r="H35" i="113" s="1"/>
  <c r="E14" i="118"/>
  <c r="H14" i="118" s="1"/>
  <c r="E14" i="120"/>
  <c r="H14" i="120" s="1"/>
  <c r="E14" i="119"/>
  <c r="H14" i="119" s="1"/>
  <c r="E14" i="116"/>
  <c r="H14" i="116" s="1"/>
  <c r="E14" i="117"/>
  <c r="H14" i="117" s="1"/>
  <c r="E14" i="115"/>
  <c r="H14" i="115" s="1"/>
  <c r="E14" i="114"/>
  <c r="H14" i="114" s="1"/>
  <c r="E14" i="113"/>
  <c r="H14" i="113" s="1"/>
  <c r="E37" i="120"/>
  <c r="H37" i="120" s="1"/>
  <c r="E37" i="118"/>
  <c r="H37" i="118" s="1"/>
  <c r="E37" i="119"/>
  <c r="H37" i="119" s="1"/>
  <c r="E37" i="117"/>
  <c r="H37" i="117" s="1"/>
  <c r="E37" i="116"/>
  <c r="H37" i="116" s="1"/>
  <c r="E37" i="115"/>
  <c r="H37" i="115" s="1"/>
  <c r="E37" i="114"/>
  <c r="H37" i="114" s="1"/>
  <c r="E37" i="113"/>
  <c r="H37" i="113" s="1"/>
  <c r="E38" i="67"/>
  <c r="F38" i="67" s="1"/>
  <c r="G38" i="67" l="1"/>
  <c r="E66" i="76"/>
  <c r="H66" i="76" s="1"/>
  <c r="E44" i="80"/>
  <c r="H44" i="80" s="1"/>
  <c r="E61" i="80"/>
  <c r="H61" i="80" s="1"/>
  <c r="E50" i="80"/>
  <c r="H50" i="80" s="1"/>
  <c r="E57" i="80"/>
  <c r="H57" i="80" s="1"/>
  <c r="E15" i="76"/>
  <c r="H15" i="76" s="1"/>
  <c r="E73" i="76"/>
  <c r="H73" i="76" s="1"/>
  <c r="E73" i="80"/>
  <c r="H73" i="80" s="1"/>
  <c r="E63" i="80"/>
  <c r="H63" i="80" s="1"/>
  <c r="E47" i="80"/>
  <c r="H47" i="80" s="1"/>
  <c r="E53" i="80"/>
  <c r="H53" i="80" s="1"/>
  <c r="E39" i="76"/>
  <c r="H39" i="76" s="1"/>
  <c r="E35" i="76"/>
  <c r="H35" i="76" s="1"/>
  <c r="E56" i="76"/>
  <c r="H56" i="76" s="1"/>
  <c r="E53" i="76"/>
  <c r="H53" i="76" s="1"/>
  <c r="E33" i="80"/>
  <c r="H33" i="80" s="1"/>
  <c r="E44" i="76"/>
  <c r="H44" i="76" s="1"/>
  <c r="E71" i="76"/>
  <c r="H71" i="76" s="1"/>
  <c r="E19" i="76"/>
  <c r="H19" i="76" s="1"/>
  <c r="E70" i="80"/>
  <c r="H70" i="80" s="1"/>
  <c r="D60" i="31"/>
  <c r="E60" i="31" s="1"/>
  <c r="H60" i="31" s="1"/>
  <c r="D48" i="31"/>
  <c r="E48" i="31" s="1"/>
  <c r="H48" i="31" s="1"/>
  <c r="D53" i="31"/>
  <c r="E53" i="31" s="1"/>
  <c r="H53" i="31" s="1"/>
  <c r="D56" i="31"/>
  <c r="E56" i="31" s="1"/>
  <c r="H56" i="31" s="1"/>
  <c r="D30" i="31"/>
  <c r="E30" i="31" s="1"/>
  <c r="H30" i="31" s="1"/>
  <c r="D17" i="31"/>
  <c r="E17" i="31" s="1"/>
  <c r="H17" i="31" s="1"/>
  <c r="D32" i="31"/>
  <c r="E32" i="31" s="1"/>
  <c r="H32" i="31" s="1"/>
  <c r="D49" i="31"/>
  <c r="E49" i="31" s="1"/>
  <c r="H49" i="31" s="1"/>
  <c r="D19" i="31"/>
  <c r="E19" i="31" s="1"/>
  <c r="H19" i="31" s="1"/>
  <c r="D35" i="31"/>
  <c r="E35" i="31" s="1"/>
  <c r="H35" i="31" s="1"/>
  <c r="D55" i="31"/>
  <c r="E55" i="31" s="1"/>
  <c r="H55" i="31" s="1"/>
  <c r="D24" i="31"/>
  <c r="E24" i="31" s="1"/>
  <c r="H24" i="31" s="1"/>
  <c r="D66" i="31"/>
  <c r="E66" i="31" s="1"/>
  <c r="H66" i="31" s="1"/>
  <c r="D15" i="31"/>
  <c r="E15" i="31" s="1"/>
  <c r="H15" i="31" s="1"/>
  <c r="D52" i="31"/>
  <c r="E52" i="31" s="1"/>
  <c r="H52" i="31" s="1"/>
  <c r="D12" i="31"/>
  <c r="E12" i="31" s="1"/>
  <c r="D20" i="31"/>
  <c r="E20" i="31" s="1"/>
  <c r="H20" i="31" s="1"/>
  <c r="D18" i="31"/>
  <c r="E18" i="31" s="1"/>
  <c r="H18" i="31" s="1"/>
  <c r="D44" i="31"/>
  <c r="E44" i="31" s="1"/>
  <c r="H44" i="31" s="1"/>
  <c r="D65" i="31"/>
  <c r="E65" i="31" s="1"/>
  <c r="H65" i="31" s="1"/>
  <c r="D59" i="31"/>
  <c r="E59" i="31" s="1"/>
  <c r="H59" i="31" s="1"/>
  <c r="D57" i="31"/>
  <c r="E57" i="31" s="1"/>
  <c r="H57" i="31" s="1"/>
  <c r="D54" i="31"/>
  <c r="E54" i="31" s="1"/>
  <c r="H54" i="31" s="1"/>
  <c r="D33" i="31"/>
  <c r="E33" i="31" s="1"/>
  <c r="H33" i="31" s="1"/>
  <c r="D21" i="31"/>
  <c r="E21" i="31" s="1"/>
  <c r="H21" i="31" s="1"/>
  <c r="D22" i="31"/>
  <c r="E22" i="31" s="1"/>
  <c r="H22" i="31" s="1"/>
  <c r="D9" i="31"/>
  <c r="E9" i="31" s="1"/>
  <c r="H9" i="31" s="1"/>
  <c r="D37" i="31"/>
  <c r="E37" i="31" s="1"/>
  <c r="H37" i="31" s="1"/>
  <c r="D38" i="31"/>
  <c r="E38" i="31" s="1"/>
  <c r="H38" i="31" s="1"/>
  <c r="D16" i="31"/>
  <c r="E16" i="31" s="1"/>
  <c r="H16" i="31" s="1"/>
  <c r="D58" i="31"/>
  <c r="E58" i="31" s="1"/>
  <c r="H58" i="31" s="1"/>
  <c r="D62" i="31"/>
  <c r="E62" i="31" s="1"/>
  <c r="H62" i="31" s="1"/>
  <c r="D26" i="31"/>
  <c r="E26" i="31" s="1"/>
  <c r="H26" i="31" s="1"/>
  <c r="D63" i="31"/>
  <c r="E63" i="31" s="1"/>
  <c r="H63" i="31" s="1"/>
  <c r="D27" i="31"/>
  <c r="E27" i="31" s="1"/>
  <c r="H27" i="31" s="1"/>
  <c r="D42" i="31"/>
  <c r="E42" i="31" s="1"/>
  <c r="H42" i="31" s="1"/>
  <c r="D40" i="31"/>
  <c r="E40" i="31" s="1"/>
  <c r="H40" i="31" s="1"/>
  <c r="D41" i="31"/>
  <c r="E41" i="31" s="1"/>
  <c r="H41" i="31" s="1"/>
  <c r="D14" i="31"/>
  <c r="E14" i="31" s="1"/>
  <c r="H14" i="31" s="1"/>
  <c r="D51" i="31"/>
  <c r="E51" i="31" s="1"/>
  <c r="H51" i="31" s="1"/>
  <c r="D46" i="31"/>
  <c r="E46" i="31" s="1"/>
  <c r="H46" i="31" s="1"/>
  <c r="D34" i="31"/>
  <c r="E34" i="31" s="1"/>
  <c r="H34" i="31" s="1"/>
  <c r="D31" i="31"/>
  <c r="E31" i="31" s="1"/>
  <c r="H31" i="31" s="1"/>
  <c r="D45" i="31"/>
  <c r="E45" i="31" s="1"/>
  <c r="H45" i="31" s="1"/>
  <c r="D23" i="31"/>
  <c r="E23" i="31" s="1"/>
  <c r="H23" i="31" s="1"/>
  <c r="D68" i="31"/>
  <c r="E68" i="31" s="1"/>
  <c r="H68" i="31" s="1"/>
  <c r="D64" i="31"/>
  <c r="E64" i="31" s="1"/>
  <c r="H64" i="31" s="1"/>
  <c r="D43" i="31"/>
  <c r="E43" i="31" s="1"/>
  <c r="H43" i="31" s="1"/>
  <c r="D25" i="31"/>
  <c r="E25" i="31" s="1"/>
  <c r="H25" i="31" s="1"/>
  <c r="D61" i="31"/>
  <c r="E61" i="31" s="1"/>
  <c r="H61" i="31" s="1"/>
  <c r="L61" i="31" s="1"/>
  <c r="N61" i="31" s="1"/>
  <c r="D36" i="31"/>
  <c r="E36" i="31" s="1"/>
  <c r="H36" i="31" s="1"/>
  <c r="D67" i="31"/>
  <c r="E67" i="31" s="1"/>
  <c r="H67" i="31" s="1"/>
  <c r="D39" i="31"/>
  <c r="E39" i="31" s="1"/>
  <c r="H39" i="31" s="1"/>
  <c r="D47" i="31"/>
  <c r="E47" i="31" s="1"/>
  <c r="H47" i="31" s="1"/>
  <c r="D50" i="31"/>
  <c r="E50" i="31" s="1"/>
  <c r="H50" i="31" s="1"/>
  <c r="D28" i="31"/>
  <c r="E28" i="31" s="1"/>
  <c r="H28" i="31" s="1"/>
  <c r="D7" i="31"/>
  <c r="E7" i="31" s="1"/>
  <c r="H7" i="31" s="1"/>
  <c r="D29" i="31"/>
  <c r="E29" i="31" s="1"/>
  <c r="H29" i="31" s="1"/>
  <c r="D13" i="31"/>
  <c r="E13" i="31" s="1"/>
  <c r="H13" i="31" s="1"/>
  <c r="E21" i="46"/>
  <c r="J21" i="46"/>
  <c r="K21" i="46" s="1"/>
  <c r="E59" i="81"/>
  <c r="E64" i="80"/>
  <c r="H64" i="80" s="1"/>
  <c r="E12" i="76"/>
  <c r="H12" i="76" s="1"/>
  <c r="E34" i="76"/>
  <c r="H34" i="76" s="1"/>
  <c r="E63" i="76"/>
  <c r="H63" i="76" s="1"/>
  <c r="E66" i="80"/>
  <c r="H66" i="80" s="1"/>
  <c r="E33" i="76"/>
  <c r="H33" i="76" s="1"/>
  <c r="E61" i="76"/>
  <c r="H61" i="76" s="1"/>
  <c r="E31" i="80"/>
  <c r="H31" i="80" s="1"/>
  <c r="E50" i="76"/>
  <c r="H50" i="76" s="1"/>
  <c r="E11" i="76"/>
  <c r="H11" i="76" s="1"/>
  <c r="E64" i="76"/>
  <c r="H64" i="76" s="1"/>
  <c r="E16" i="76"/>
  <c r="H16" i="76" s="1"/>
  <c r="E16" i="80"/>
  <c r="H16" i="80" s="1"/>
  <c r="E23" i="80"/>
  <c r="H23" i="80" s="1"/>
  <c r="E12" i="80"/>
  <c r="H12" i="80" s="1"/>
  <c r="E43" i="80"/>
  <c r="H43" i="80" s="1"/>
  <c r="E60" i="76"/>
  <c r="H60" i="76" s="1"/>
  <c r="E45" i="80"/>
  <c r="H45" i="80" s="1"/>
  <c r="E17" i="46"/>
  <c r="H17" i="46" s="1"/>
  <c r="E12" i="46"/>
  <c r="H12" i="46" s="1"/>
  <c r="E13" i="46"/>
  <c r="H13" i="46" s="1"/>
  <c r="E15" i="46"/>
  <c r="H15" i="46" s="1"/>
  <c r="E14" i="46"/>
  <c r="H14" i="46" s="1"/>
  <c r="E11" i="46"/>
  <c r="H11" i="46" s="1"/>
  <c r="E10" i="46"/>
  <c r="E16" i="46"/>
  <c r="H16" i="46" s="1"/>
  <c r="E36" i="80"/>
  <c r="H36" i="80" s="1"/>
  <c r="E37" i="76"/>
  <c r="H37" i="76" s="1"/>
  <c r="E48" i="76"/>
  <c r="H48" i="76" s="1"/>
  <c r="E48" i="80"/>
  <c r="H48" i="80" s="1"/>
  <c r="E57" i="81"/>
  <c r="E39" i="80"/>
  <c r="H39" i="80" s="1"/>
  <c r="E35" i="80"/>
  <c r="H35" i="80" s="1"/>
  <c r="E56" i="80"/>
  <c r="H56" i="80" s="1"/>
  <c r="E47" i="76"/>
  <c r="H47" i="76" s="1"/>
  <c r="E22" i="76"/>
  <c r="H22" i="76" s="1"/>
  <c r="E71" i="80"/>
  <c r="H71" i="80" s="1"/>
  <c r="E19" i="80"/>
  <c r="H19" i="80" s="1"/>
  <c r="E11" i="80"/>
  <c r="H11" i="80" s="1"/>
  <c r="E45" i="76"/>
  <c r="H45" i="76" s="1"/>
  <c r="E34" i="80"/>
  <c r="H34" i="80" s="1"/>
  <c r="E22" i="80"/>
  <c r="H22" i="80" s="1"/>
  <c r="E31" i="76"/>
  <c r="H31" i="76" s="1"/>
  <c r="E70" i="76"/>
  <c r="H70" i="76" s="1"/>
  <c r="E9" i="76"/>
  <c r="H9" i="76" s="1"/>
  <c r="E9" i="80"/>
  <c r="H9" i="80" s="1"/>
  <c r="E23" i="76"/>
  <c r="H23" i="76" s="1"/>
  <c r="E43" i="76"/>
  <c r="H43" i="76" s="1"/>
  <c r="E57" i="76"/>
  <c r="H57" i="76" s="1"/>
  <c r="E60" i="80"/>
  <c r="H60" i="80" s="1"/>
  <c r="E36" i="76"/>
  <c r="H36" i="76" s="1"/>
  <c r="E37" i="80"/>
  <c r="H37" i="80" s="1"/>
  <c r="E15" i="80"/>
  <c r="H15" i="80" s="1"/>
  <c r="H33" i="46"/>
  <c r="E36" i="46"/>
  <c r="E26" i="67"/>
  <c r="F26" i="67" s="1"/>
  <c r="E60" i="67"/>
  <c r="F60" i="67" s="1"/>
  <c r="E51" i="116"/>
  <c r="H51" i="116" s="1"/>
  <c r="E54" i="120"/>
  <c r="H54" i="120" s="1"/>
  <c r="E8" i="118"/>
  <c r="H8" i="118" s="1"/>
  <c r="E74" i="119"/>
  <c r="H74" i="119" s="1"/>
  <c r="E70" i="118"/>
  <c r="H70" i="118" s="1"/>
  <c r="E54" i="114"/>
  <c r="H54" i="114" s="1"/>
  <c r="E8" i="119"/>
  <c r="H8" i="119" s="1"/>
  <c r="E40" i="67"/>
  <c r="F40" i="67" s="1"/>
  <c r="E54" i="113"/>
  <c r="H54" i="113" s="1"/>
  <c r="E8" i="117"/>
  <c r="H8" i="117" s="1"/>
  <c r="E8" i="120"/>
  <c r="H8" i="120" s="1"/>
  <c r="E8" i="115"/>
  <c r="H8" i="115" s="1"/>
  <c r="E39" i="67"/>
  <c r="F39" i="67" s="1"/>
  <c r="E74" i="118"/>
  <c r="H74" i="118" s="1"/>
  <c r="E74" i="117"/>
  <c r="H74" i="117" s="1"/>
  <c r="E74" i="113"/>
  <c r="H74" i="113" s="1"/>
  <c r="E74" i="115"/>
  <c r="H74" i="115" s="1"/>
  <c r="E51" i="115"/>
  <c r="H51" i="115" s="1"/>
  <c r="E74" i="116"/>
  <c r="H74" i="116" s="1"/>
  <c r="E74" i="120"/>
  <c r="H74" i="120" s="1"/>
  <c r="E26" i="119"/>
  <c r="H26" i="119" s="1"/>
  <c r="E74" i="114"/>
  <c r="H74" i="114" s="1"/>
  <c r="E54" i="117"/>
  <c r="H54" i="117" s="1"/>
  <c r="E8" i="113"/>
  <c r="H8" i="113" s="1"/>
  <c r="E8" i="116"/>
  <c r="H8" i="116" s="1"/>
  <c r="E54" i="118"/>
  <c r="H54" i="118" s="1"/>
  <c r="E8" i="114"/>
  <c r="H8" i="114" s="1"/>
  <c r="E26" i="118"/>
  <c r="H26" i="118" s="1"/>
  <c r="E51" i="117"/>
  <c r="H51" i="117" s="1"/>
  <c r="E26" i="114"/>
  <c r="H26" i="114" s="1"/>
  <c r="E51" i="118"/>
  <c r="H51" i="118" s="1"/>
  <c r="E26" i="116"/>
  <c r="H26" i="116" s="1"/>
  <c r="E51" i="119"/>
  <c r="H51" i="119" s="1"/>
  <c r="E26" i="117"/>
  <c r="H26" i="117" s="1"/>
  <c r="E26" i="120"/>
  <c r="H26" i="120" s="1"/>
  <c r="E51" i="114"/>
  <c r="H51" i="114" s="1"/>
  <c r="E51" i="120"/>
  <c r="H51" i="120" s="1"/>
  <c r="E26" i="113"/>
  <c r="H26" i="113" s="1"/>
  <c r="E26" i="115"/>
  <c r="H26" i="115" s="1"/>
  <c r="E51" i="113"/>
  <c r="H51" i="113" s="1"/>
  <c r="E54" i="115"/>
  <c r="H54" i="115" s="1"/>
  <c r="E54" i="119"/>
  <c r="H54" i="119" s="1"/>
  <c r="E70" i="120"/>
  <c r="H70" i="120" s="1"/>
  <c r="E54" i="116"/>
  <c r="H54" i="116" s="1"/>
  <c r="E70" i="116"/>
  <c r="H70" i="116" s="1"/>
  <c r="E70" i="113"/>
  <c r="H70" i="113" s="1"/>
  <c r="E70" i="117"/>
  <c r="H70" i="117" s="1"/>
  <c r="E70" i="115"/>
  <c r="H70" i="115" s="1"/>
  <c r="E70" i="119"/>
  <c r="H70" i="119" s="1"/>
  <c r="E70" i="114"/>
  <c r="H70" i="114" s="1"/>
  <c r="E60" i="119"/>
  <c r="H60" i="119" s="1"/>
  <c r="E60" i="115"/>
  <c r="H60" i="115" s="1"/>
  <c r="E60" i="118"/>
  <c r="H60" i="118" s="1"/>
  <c r="E60" i="116"/>
  <c r="H60" i="116" s="1"/>
  <c r="E60" i="120"/>
  <c r="H60" i="120" s="1"/>
  <c r="E60" i="113"/>
  <c r="H60" i="113" s="1"/>
  <c r="E60" i="117"/>
  <c r="H60" i="117" s="1"/>
  <c r="E60" i="114"/>
  <c r="H60" i="114" s="1"/>
  <c r="E67" i="120"/>
  <c r="H67" i="120" s="1"/>
  <c r="E67" i="119"/>
  <c r="H67" i="119" s="1"/>
  <c r="E67" i="118"/>
  <c r="H67" i="118" s="1"/>
  <c r="E67" i="117"/>
  <c r="H67" i="117" s="1"/>
  <c r="E67" i="116"/>
  <c r="H67" i="116" s="1"/>
  <c r="E67" i="115"/>
  <c r="H67" i="115" s="1"/>
  <c r="E67" i="114"/>
  <c r="H67" i="114" s="1"/>
  <c r="E67" i="113"/>
  <c r="H67" i="113" s="1"/>
  <c r="E71" i="120"/>
  <c r="H71" i="120" s="1"/>
  <c r="E71" i="119"/>
  <c r="H71" i="119" s="1"/>
  <c r="E71" i="118"/>
  <c r="H71" i="118" s="1"/>
  <c r="E71" i="117"/>
  <c r="H71" i="117" s="1"/>
  <c r="E71" i="116"/>
  <c r="H71" i="116" s="1"/>
  <c r="E71" i="115"/>
  <c r="H71" i="115" s="1"/>
  <c r="E71" i="114"/>
  <c r="H71" i="114" s="1"/>
  <c r="E71" i="113"/>
  <c r="H71" i="113" s="1"/>
  <c r="E48" i="120"/>
  <c r="H48" i="120" s="1"/>
  <c r="E48" i="119"/>
  <c r="H48" i="119" s="1"/>
  <c r="E48" i="118"/>
  <c r="H48" i="118" s="1"/>
  <c r="E48" i="116"/>
  <c r="H48" i="116" s="1"/>
  <c r="E48" i="115"/>
  <c r="H48" i="115" s="1"/>
  <c r="E48" i="117"/>
  <c r="H48" i="117" s="1"/>
  <c r="E48" i="114"/>
  <c r="H48" i="114" s="1"/>
  <c r="E48" i="113"/>
  <c r="H48" i="113" s="1"/>
  <c r="E69" i="120"/>
  <c r="H69" i="120" s="1"/>
  <c r="E69" i="119"/>
  <c r="H69" i="119" s="1"/>
  <c r="E69" i="118"/>
  <c r="H69" i="118" s="1"/>
  <c r="E69" i="117"/>
  <c r="H69" i="117" s="1"/>
  <c r="E69" i="116"/>
  <c r="H69" i="116" s="1"/>
  <c r="E69" i="115"/>
  <c r="H69" i="115" s="1"/>
  <c r="E69" i="114"/>
  <c r="H69" i="114" s="1"/>
  <c r="E69" i="113"/>
  <c r="H69" i="113" s="1"/>
  <c r="E44" i="120"/>
  <c r="H44" i="120" s="1"/>
  <c r="E44" i="119"/>
  <c r="H44" i="119" s="1"/>
  <c r="E44" i="118"/>
  <c r="H44" i="118" s="1"/>
  <c r="E44" i="116"/>
  <c r="H44" i="116" s="1"/>
  <c r="E44" i="115"/>
  <c r="H44" i="115" s="1"/>
  <c r="E44" i="117"/>
  <c r="H44" i="117" s="1"/>
  <c r="E44" i="114"/>
  <c r="H44" i="114" s="1"/>
  <c r="E44" i="113"/>
  <c r="H44" i="113" s="1"/>
  <c r="E12" i="118"/>
  <c r="H12" i="118" s="1"/>
  <c r="E12" i="120"/>
  <c r="H12" i="120" s="1"/>
  <c r="E12" i="119"/>
  <c r="H12" i="119" s="1"/>
  <c r="E12" i="116"/>
  <c r="H12" i="116" s="1"/>
  <c r="E12" i="117"/>
  <c r="H12" i="117" s="1"/>
  <c r="E12" i="115"/>
  <c r="H12" i="115" s="1"/>
  <c r="E12" i="114"/>
  <c r="H12" i="114" s="1"/>
  <c r="E12" i="113"/>
  <c r="H12" i="113" s="1"/>
  <c r="E57" i="120"/>
  <c r="H57" i="120" s="1"/>
  <c r="E57" i="119"/>
  <c r="H57" i="119" s="1"/>
  <c r="E57" i="118"/>
  <c r="H57" i="118" s="1"/>
  <c r="E57" i="117"/>
  <c r="H57" i="117" s="1"/>
  <c r="E57" i="116"/>
  <c r="H57" i="116" s="1"/>
  <c r="E57" i="114"/>
  <c r="H57" i="114" s="1"/>
  <c r="E57" i="115"/>
  <c r="H57" i="115" s="1"/>
  <c r="E57" i="113"/>
  <c r="H57" i="113" s="1"/>
  <c r="E29" i="120"/>
  <c r="H29" i="120" s="1"/>
  <c r="E29" i="118"/>
  <c r="H29" i="118" s="1"/>
  <c r="E29" i="119"/>
  <c r="H29" i="119" s="1"/>
  <c r="E29" i="117"/>
  <c r="H29" i="117" s="1"/>
  <c r="E29" i="116"/>
  <c r="H29" i="116" s="1"/>
  <c r="E29" i="115"/>
  <c r="H29" i="115" s="1"/>
  <c r="E29" i="114"/>
  <c r="H29" i="114" s="1"/>
  <c r="E29" i="113"/>
  <c r="H29" i="113" s="1"/>
  <c r="E32" i="120"/>
  <c r="H32" i="120" s="1"/>
  <c r="E32" i="118"/>
  <c r="H32" i="118" s="1"/>
  <c r="E32" i="119"/>
  <c r="H32" i="119" s="1"/>
  <c r="E32" i="115"/>
  <c r="H32" i="115" s="1"/>
  <c r="E32" i="117"/>
  <c r="H32" i="117" s="1"/>
  <c r="E32" i="116"/>
  <c r="H32" i="116" s="1"/>
  <c r="E32" i="114"/>
  <c r="H32" i="114" s="1"/>
  <c r="E32" i="113"/>
  <c r="H32" i="113" s="1"/>
  <c r="E61" i="120"/>
  <c r="H61" i="120" s="1"/>
  <c r="E61" i="119"/>
  <c r="H61" i="119" s="1"/>
  <c r="E61" i="118"/>
  <c r="H61" i="118" s="1"/>
  <c r="E61" i="117"/>
  <c r="H61" i="117" s="1"/>
  <c r="E61" i="116"/>
  <c r="H61" i="116" s="1"/>
  <c r="E61" i="115"/>
  <c r="H61" i="115" s="1"/>
  <c r="E61" i="114"/>
  <c r="H61" i="114" s="1"/>
  <c r="E61" i="113"/>
  <c r="H61" i="113" s="1"/>
  <c r="E31" i="120"/>
  <c r="H31" i="120" s="1"/>
  <c r="E31" i="118"/>
  <c r="H31" i="118" s="1"/>
  <c r="E31" i="119"/>
  <c r="H31" i="119" s="1"/>
  <c r="E31" i="117"/>
  <c r="H31" i="117" s="1"/>
  <c r="E31" i="116"/>
  <c r="H31" i="116" s="1"/>
  <c r="E31" i="115"/>
  <c r="H31" i="115" s="1"/>
  <c r="E31" i="114"/>
  <c r="H31" i="114" s="1"/>
  <c r="E31" i="113"/>
  <c r="H31" i="113" s="1"/>
  <c r="E53" i="120"/>
  <c r="H53" i="120" s="1"/>
  <c r="E53" i="119"/>
  <c r="H53" i="119" s="1"/>
  <c r="E53" i="118"/>
  <c r="H53" i="118" s="1"/>
  <c r="E53" i="116"/>
  <c r="H53" i="116" s="1"/>
  <c r="E53" i="114"/>
  <c r="H53" i="114" s="1"/>
  <c r="E53" i="117"/>
  <c r="H53" i="117" s="1"/>
  <c r="E53" i="115"/>
  <c r="H53" i="115" s="1"/>
  <c r="E53" i="113"/>
  <c r="H53" i="113" s="1"/>
  <c r="E27" i="120"/>
  <c r="H27" i="120" s="1"/>
  <c r="E27" i="118"/>
  <c r="H27" i="118" s="1"/>
  <c r="E27" i="119"/>
  <c r="H27" i="119" s="1"/>
  <c r="E27" i="117"/>
  <c r="H27" i="117" s="1"/>
  <c r="E27" i="116"/>
  <c r="H27" i="116" s="1"/>
  <c r="E27" i="115"/>
  <c r="H27" i="115" s="1"/>
  <c r="E27" i="114"/>
  <c r="H27" i="114" s="1"/>
  <c r="E27" i="113"/>
  <c r="H27" i="113" s="1"/>
  <c r="E22" i="120"/>
  <c r="H22" i="120" s="1"/>
  <c r="E22" i="118"/>
  <c r="H22" i="118" s="1"/>
  <c r="E22" i="119"/>
  <c r="H22" i="119" s="1"/>
  <c r="E22" i="116"/>
  <c r="H22" i="116" s="1"/>
  <c r="E22" i="117"/>
  <c r="H22" i="117" s="1"/>
  <c r="E22" i="115"/>
  <c r="H22" i="115" s="1"/>
  <c r="E22" i="114"/>
  <c r="H22" i="114" s="1"/>
  <c r="E22" i="113"/>
  <c r="H22" i="113" s="1"/>
  <c r="E23" i="120"/>
  <c r="H23" i="120" s="1"/>
  <c r="E23" i="118"/>
  <c r="H23" i="118" s="1"/>
  <c r="E23" i="119"/>
  <c r="H23" i="119" s="1"/>
  <c r="E23" i="116"/>
  <c r="H23" i="116" s="1"/>
  <c r="E23" i="115"/>
  <c r="H23" i="115" s="1"/>
  <c r="E23" i="117"/>
  <c r="H23" i="117" s="1"/>
  <c r="E23" i="114"/>
  <c r="H23" i="114" s="1"/>
  <c r="E23" i="113"/>
  <c r="H23" i="113" s="1"/>
  <c r="E42" i="120"/>
  <c r="H42" i="120" s="1"/>
  <c r="E42" i="119"/>
  <c r="H42" i="119" s="1"/>
  <c r="E42" i="118"/>
  <c r="H42" i="118" s="1"/>
  <c r="E42" i="117"/>
  <c r="H42" i="117" s="1"/>
  <c r="E42" i="115"/>
  <c r="H42" i="115" s="1"/>
  <c r="E42" i="114"/>
  <c r="H42" i="114" s="1"/>
  <c r="E42" i="116"/>
  <c r="H42" i="116" s="1"/>
  <c r="E42" i="113"/>
  <c r="H42" i="113" s="1"/>
  <c r="E30" i="120"/>
  <c r="H30" i="120" s="1"/>
  <c r="E30" i="118"/>
  <c r="H30" i="118" s="1"/>
  <c r="E30" i="119"/>
  <c r="H30" i="119" s="1"/>
  <c r="E30" i="115"/>
  <c r="H30" i="115" s="1"/>
  <c r="E30" i="117"/>
  <c r="H30" i="117" s="1"/>
  <c r="E30" i="116"/>
  <c r="H30" i="116" s="1"/>
  <c r="E30" i="114"/>
  <c r="H30" i="114" s="1"/>
  <c r="E30" i="113"/>
  <c r="H30" i="113" s="1"/>
  <c r="E10" i="118"/>
  <c r="H10" i="118" s="1"/>
  <c r="E10" i="120"/>
  <c r="H10" i="120" s="1"/>
  <c r="E10" i="119"/>
  <c r="H10" i="119" s="1"/>
  <c r="E10" i="116"/>
  <c r="H10" i="116" s="1"/>
  <c r="E10" i="114"/>
  <c r="H10" i="114" s="1"/>
  <c r="E10" i="117"/>
  <c r="H10" i="117" s="1"/>
  <c r="E10" i="115"/>
  <c r="H10" i="115" s="1"/>
  <c r="E10" i="113"/>
  <c r="H10" i="113" s="1"/>
  <c r="E19" i="118"/>
  <c r="H19" i="118" s="1"/>
  <c r="E19" i="120"/>
  <c r="H19" i="120" s="1"/>
  <c r="E19" i="119"/>
  <c r="H19" i="119" s="1"/>
  <c r="E19" i="116"/>
  <c r="H19" i="116" s="1"/>
  <c r="E19" i="115"/>
  <c r="H19" i="115" s="1"/>
  <c r="E19" i="117"/>
  <c r="H19" i="117" s="1"/>
  <c r="E19" i="114"/>
  <c r="H19" i="114" s="1"/>
  <c r="E19" i="113"/>
  <c r="H19" i="113" s="1"/>
  <c r="E56" i="120"/>
  <c r="H56" i="120" s="1"/>
  <c r="E56" i="119"/>
  <c r="H56" i="119" s="1"/>
  <c r="E56" i="118"/>
  <c r="H56" i="118" s="1"/>
  <c r="E56" i="117"/>
  <c r="H56" i="117" s="1"/>
  <c r="E56" i="116"/>
  <c r="H56" i="116" s="1"/>
  <c r="E56" i="115"/>
  <c r="H56" i="115" s="1"/>
  <c r="E56" i="114"/>
  <c r="H56" i="114" s="1"/>
  <c r="E56" i="113"/>
  <c r="H56" i="113" s="1"/>
  <c r="E16" i="120"/>
  <c r="H16" i="120" s="1"/>
  <c r="E61" i="81" s="1"/>
  <c r="E16" i="118"/>
  <c r="H16" i="118" s="1"/>
  <c r="E16" i="119"/>
  <c r="H16" i="119" s="1"/>
  <c r="E16" i="116"/>
  <c r="H16" i="116" s="1"/>
  <c r="E16" i="117"/>
  <c r="H16" i="117" s="1"/>
  <c r="E16" i="115"/>
  <c r="H16" i="115" s="1"/>
  <c r="E16" i="114"/>
  <c r="H16" i="114" s="1"/>
  <c r="E16" i="113"/>
  <c r="H16" i="113" s="1"/>
  <c r="E20" i="120"/>
  <c r="H20" i="120" s="1"/>
  <c r="E20" i="118"/>
  <c r="H20" i="118" s="1"/>
  <c r="E20" i="119"/>
  <c r="H20" i="119" s="1"/>
  <c r="E20" i="116"/>
  <c r="H20" i="116" s="1"/>
  <c r="E20" i="117"/>
  <c r="H20" i="117" s="1"/>
  <c r="E20" i="115"/>
  <c r="H20" i="115" s="1"/>
  <c r="E20" i="114"/>
  <c r="H20" i="114" s="1"/>
  <c r="E20" i="113"/>
  <c r="H20" i="113" s="1"/>
  <c r="E43" i="120"/>
  <c r="H43" i="120" s="1"/>
  <c r="E43" i="119"/>
  <c r="H43" i="119" s="1"/>
  <c r="E43" i="118"/>
  <c r="H43" i="118" s="1"/>
  <c r="E43" i="116"/>
  <c r="H43" i="116" s="1"/>
  <c r="E43" i="114"/>
  <c r="H43" i="114" s="1"/>
  <c r="E43" i="117"/>
  <c r="H43" i="117" s="1"/>
  <c r="E43" i="115"/>
  <c r="H43" i="115" s="1"/>
  <c r="E43" i="113"/>
  <c r="H43" i="113" s="1"/>
  <c r="E28" i="120"/>
  <c r="H28" i="120" s="1"/>
  <c r="E28" i="118"/>
  <c r="H28" i="118" s="1"/>
  <c r="E28" i="119"/>
  <c r="H28" i="119" s="1"/>
  <c r="E28" i="115"/>
  <c r="H28" i="115" s="1"/>
  <c r="E28" i="117"/>
  <c r="H28" i="117" s="1"/>
  <c r="E28" i="116"/>
  <c r="H28" i="116" s="1"/>
  <c r="E28" i="114"/>
  <c r="H28" i="114" s="1"/>
  <c r="E28" i="113"/>
  <c r="H28" i="113" s="1"/>
  <c r="E64" i="120"/>
  <c r="H64" i="120" s="1"/>
  <c r="E64" i="119"/>
  <c r="H64" i="119" s="1"/>
  <c r="E64" i="118"/>
  <c r="H64" i="118" s="1"/>
  <c r="E64" i="117"/>
  <c r="H64" i="117" s="1"/>
  <c r="E64" i="116"/>
  <c r="H64" i="116" s="1"/>
  <c r="E64" i="115"/>
  <c r="H64" i="115" s="1"/>
  <c r="E64" i="114"/>
  <c r="H64" i="114" s="1"/>
  <c r="E64" i="113"/>
  <c r="H64" i="113" s="1"/>
  <c r="E9" i="120"/>
  <c r="H9" i="120" s="1"/>
  <c r="E9" i="119"/>
  <c r="H9" i="119" s="1"/>
  <c r="E9" i="118"/>
  <c r="H9" i="118" s="1"/>
  <c r="E9" i="116"/>
  <c r="H9" i="116" s="1"/>
  <c r="E9" i="115"/>
  <c r="H9" i="115" s="1"/>
  <c r="E9" i="117"/>
  <c r="H9" i="117" s="1"/>
  <c r="E9" i="114"/>
  <c r="H9" i="114" s="1"/>
  <c r="E9" i="113"/>
  <c r="H9" i="113" s="1"/>
  <c r="E34" i="120"/>
  <c r="H34" i="120" s="1"/>
  <c r="E34" i="118"/>
  <c r="H34" i="118" s="1"/>
  <c r="E34" i="119"/>
  <c r="H34" i="119" s="1"/>
  <c r="E34" i="115"/>
  <c r="H34" i="115" s="1"/>
  <c r="E34" i="117"/>
  <c r="H34" i="117" s="1"/>
  <c r="E34" i="116"/>
  <c r="H34" i="116" s="1"/>
  <c r="E34" i="114"/>
  <c r="H34" i="114" s="1"/>
  <c r="E34" i="113"/>
  <c r="H34" i="113" s="1"/>
  <c r="E74" i="67"/>
  <c r="F74" i="67" s="1"/>
  <c r="E73" i="67"/>
  <c r="F73" i="67" s="1"/>
  <c r="E59" i="67"/>
  <c r="F59" i="67" s="1"/>
  <c r="E53" i="67"/>
  <c r="F53" i="67" s="1"/>
  <c r="E25" i="67"/>
  <c r="F25" i="67" s="1"/>
  <c r="E22" i="67"/>
  <c r="F22" i="67" s="1"/>
  <c r="E68" i="67"/>
  <c r="F68" i="67" s="1"/>
  <c r="E11" i="67"/>
  <c r="F11" i="67" s="1"/>
  <c r="E66" i="67"/>
  <c r="F66" i="67" s="1"/>
  <c r="E27" i="67"/>
  <c r="F27" i="67" s="1"/>
  <c r="E13" i="67"/>
  <c r="F13" i="67" s="1"/>
  <c r="E18" i="67"/>
  <c r="F18" i="67" s="1"/>
  <c r="E58" i="67"/>
  <c r="F58" i="67" s="1"/>
  <c r="E21" i="67"/>
  <c r="F21" i="67" s="1"/>
  <c r="E65" i="67"/>
  <c r="F65" i="67" s="1"/>
  <c r="E75" i="67"/>
  <c r="F75" i="67" s="1"/>
  <c r="E54" i="67"/>
  <c r="F54" i="67" s="1"/>
  <c r="E55" i="67"/>
  <c r="F55" i="67" s="1"/>
  <c r="E36" i="67"/>
  <c r="F36" i="67" s="1"/>
  <c r="E24" i="67"/>
  <c r="F24" i="67" s="1"/>
  <c r="E70" i="67"/>
  <c r="F70" i="67" s="1"/>
  <c r="E45" i="67"/>
  <c r="F45" i="67" s="1"/>
  <c r="E20" i="67"/>
  <c r="F20" i="67" s="1"/>
  <c r="E31" i="67"/>
  <c r="F31" i="67" s="1"/>
  <c r="E62" i="67"/>
  <c r="F62" i="67" s="1"/>
  <c r="E47" i="67"/>
  <c r="F47" i="67" s="1"/>
  <c r="E35" i="67"/>
  <c r="F35" i="67" s="1"/>
  <c r="E23" i="67"/>
  <c r="F23" i="67" s="1"/>
  <c r="G35" i="67" l="1"/>
  <c r="G62" i="67"/>
  <c r="G20" i="67"/>
  <c r="G70" i="67"/>
  <c r="G36" i="67"/>
  <c r="G54" i="67"/>
  <c r="G65" i="67"/>
  <c r="G58" i="67"/>
  <c r="G13" i="67"/>
  <c r="G66" i="67"/>
  <c r="G68" i="67"/>
  <c r="G25" i="67"/>
  <c r="G59" i="67"/>
  <c r="G74" i="67"/>
  <c r="G39" i="67"/>
  <c r="G26" i="67"/>
  <c r="G23" i="67"/>
  <c r="G47" i="67"/>
  <c r="G31" i="67"/>
  <c r="G45" i="67"/>
  <c r="G24" i="67"/>
  <c r="G55" i="67"/>
  <c r="G75" i="67"/>
  <c r="G21" i="67"/>
  <c r="G18" i="67"/>
  <c r="G27" i="67"/>
  <c r="G11" i="67"/>
  <c r="G22" i="67"/>
  <c r="G53" i="67"/>
  <c r="G73" i="67"/>
  <c r="G40" i="67"/>
  <c r="G60" i="67"/>
  <c r="H61" i="81"/>
  <c r="G61" i="81"/>
  <c r="E59" i="76"/>
  <c r="H59" i="76" s="1"/>
  <c r="E65" i="80"/>
  <c r="H65" i="80" s="1"/>
  <c r="E20" i="76"/>
  <c r="H20" i="76" s="1"/>
  <c r="E20" i="80"/>
  <c r="H20" i="80" s="1"/>
  <c r="E40" i="76"/>
  <c r="H40" i="76" s="1"/>
  <c r="E67" i="76"/>
  <c r="H67" i="76" s="1"/>
  <c r="E46" i="80"/>
  <c r="H46" i="80" s="1"/>
  <c r="E69" i="76"/>
  <c r="H69" i="76" s="1"/>
  <c r="G57" i="81"/>
  <c r="H57" i="81"/>
  <c r="G59" i="81"/>
  <c r="H59" i="81"/>
  <c r="E21" i="80"/>
  <c r="H21" i="80" s="1"/>
  <c r="E29" i="46"/>
  <c r="H29" i="46" s="1"/>
  <c r="J26" i="46"/>
  <c r="K26" i="46" s="1"/>
  <c r="E28" i="46"/>
  <c r="E26" i="46"/>
  <c r="H26" i="46" s="1"/>
  <c r="E54" i="76"/>
  <c r="H54" i="76" s="1"/>
  <c r="E67" i="80"/>
  <c r="H67" i="80" s="1"/>
  <c r="E46" i="76"/>
  <c r="H46" i="76" s="1"/>
  <c r="E65" i="76"/>
  <c r="H65" i="76" s="1"/>
  <c r="E8" i="76"/>
  <c r="H8" i="76" s="1"/>
  <c r="E42" i="80"/>
  <c r="H42" i="80" s="1"/>
  <c r="E41" i="76"/>
  <c r="H41" i="76" s="1"/>
  <c r="E59" i="80"/>
  <c r="H59" i="80" s="1"/>
  <c r="E10" i="76"/>
  <c r="H10" i="76" s="1"/>
  <c r="E14" i="76"/>
  <c r="H14" i="76" s="1"/>
  <c r="E54" i="80"/>
  <c r="H54" i="80" s="1"/>
  <c r="E27" i="80"/>
  <c r="H27" i="80" s="1"/>
  <c r="E30" i="76"/>
  <c r="H30" i="76" s="1"/>
  <c r="E8" i="80"/>
  <c r="H8" i="80" s="1"/>
  <c r="E55" i="80"/>
  <c r="H55" i="80" s="1"/>
  <c r="E42" i="76"/>
  <c r="H42" i="76" s="1"/>
  <c r="E69" i="80"/>
  <c r="H69" i="80" s="1"/>
  <c r="E17" i="76"/>
  <c r="H17" i="76" s="1"/>
  <c r="E29" i="80"/>
  <c r="H29" i="80" s="1"/>
  <c r="E26" i="80"/>
  <c r="H26" i="80" s="1"/>
  <c r="E51" i="76"/>
  <c r="H51" i="76" s="1"/>
  <c r="E25" i="80"/>
  <c r="H25" i="80" s="1"/>
  <c r="E62" i="80"/>
  <c r="H62" i="80" s="1"/>
  <c r="E41" i="80"/>
  <c r="H41" i="80" s="1"/>
  <c r="E40" i="80"/>
  <c r="H40" i="80" s="1"/>
  <c r="E28" i="80"/>
  <c r="H28" i="80" s="1"/>
  <c r="E58" i="76"/>
  <c r="H58" i="76" s="1"/>
  <c r="E32" i="80"/>
  <c r="H32" i="80" s="1"/>
  <c r="E49" i="80"/>
  <c r="H49" i="80" s="1"/>
  <c r="E52" i="80"/>
  <c r="H52" i="80" s="1"/>
  <c r="E72" i="80"/>
  <c r="H72" i="80" s="1"/>
  <c r="E6" i="80"/>
  <c r="H6" i="80" s="1"/>
  <c r="H36" i="46"/>
  <c r="L33" i="46"/>
  <c r="E10" i="80"/>
  <c r="H10" i="80" s="1"/>
  <c r="E27" i="76"/>
  <c r="H27" i="76" s="1"/>
  <c r="E25" i="76"/>
  <c r="H25" i="76" s="1"/>
  <c r="E51" i="80"/>
  <c r="H51" i="80" s="1"/>
  <c r="E68" i="80"/>
  <c r="H68" i="80" s="1"/>
  <c r="E24" i="80"/>
  <c r="H24" i="80" s="1"/>
  <c r="E24" i="76"/>
  <c r="H24" i="76" s="1"/>
  <c r="E18" i="46"/>
  <c r="H10" i="46"/>
  <c r="E24" i="46"/>
  <c r="H21" i="46"/>
  <c r="E14" i="80"/>
  <c r="H14" i="80" s="1"/>
  <c r="E30" i="80"/>
  <c r="H30" i="80" s="1"/>
  <c r="E21" i="76"/>
  <c r="H21" i="76" s="1"/>
  <c r="E17" i="80"/>
  <c r="H17" i="80" s="1"/>
  <c r="E18" i="80"/>
  <c r="H18" i="80" s="1"/>
  <c r="E32" i="76"/>
  <c r="H32" i="76" s="1"/>
  <c r="E72" i="76"/>
  <c r="H72" i="76" s="1"/>
  <c r="E55" i="76"/>
  <c r="H55" i="76" s="1"/>
  <c r="E29" i="76"/>
  <c r="H29" i="76" s="1"/>
  <c r="E26" i="76"/>
  <c r="H26" i="76" s="1"/>
  <c r="E18" i="76"/>
  <c r="H18" i="76" s="1"/>
  <c r="E62" i="76"/>
  <c r="H62" i="76" s="1"/>
  <c r="E7" i="80"/>
  <c r="H7" i="80" s="1"/>
  <c r="E7" i="76"/>
  <c r="H7" i="76" s="1"/>
  <c r="E28" i="76"/>
  <c r="H28" i="76" s="1"/>
  <c r="E58" i="80"/>
  <c r="H58" i="80" s="1"/>
  <c r="E68" i="76"/>
  <c r="H68" i="76" s="1"/>
  <c r="E49" i="76"/>
  <c r="H49" i="76" s="1"/>
  <c r="E52" i="76"/>
  <c r="H52" i="76" s="1"/>
  <c r="E6" i="76"/>
  <c r="H6" i="76" s="1"/>
  <c r="E7" i="46"/>
  <c r="H7" i="46" s="1"/>
  <c r="J7" i="46"/>
  <c r="K7" i="46" s="1"/>
  <c r="H12" i="31"/>
  <c r="E69" i="31"/>
  <c r="E70" i="31" s="1"/>
  <c r="E72" i="31" s="1"/>
  <c r="E63" i="67"/>
  <c r="F63" i="67" s="1"/>
  <c r="E8" i="67"/>
  <c r="F8" i="67" s="1"/>
  <c r="E42" i="67"/>
  <c r="F42" i="67" s="1"/>
  <c r="E49" i="67"/>
  <c r="F49" i="67" s="1"/>
  <c r="E28" i="67"/>
  <c r="F28" i="67" s="1"/>
  <c r="E30" i="67"/>
  <c r="F30" i="67" s="1"/>
  <c r="E46" i="67"/>
  <c r="F46" i="67" s="1"/>
  <c r="E33" i="67"/>
  <c r="F33" i="67" s="1"/>
  <c r="E17" i="67"/>
  <c r="F17" i="67" s="1"/>
  <c r="E51" i="67"/>
  <c r="F51" i="67" s="1"/>
  <c r="E52" i="67"/>
  <c r="F52" i="67" s="1"/>
  <c r="E50" i="67"/>
  <c r="F50" i="67" s="1"/>
  <c r="E64" i="67"/>
  <c r="F64" i="67" s="1"/>
  <c r="E72" i="67"/>
  <c r="F72" i="67" s="1"/>
  <c r="E43" i="67"/>
  <c r="F43" i="67" s="1"/>
  <c r="E9" i="67"/>
  <c r="F9" i="67" s="1"/>
  <c r="E34" i="67"/>
  <c r="F34" i="67" s="1"/>
  <c r="E41" i="67"/>
  <c r="F41" i="67" s="1"/>
  <c r="E37" i="67"/>
  <c r="F37" i="67" s="1"/>
  <c r="E15" i="118"/>
  <c r="H15" i="118" s="1"/>
  <c r="E15" i="120"/>
  <c r="H15" i="120" s="1"/>
  <c r="E15" i="119"/>
  <c r="H15" i="119" s="1"/>
  <c r="E15" i="116"/>
  <c r="H15" i="116" s="1"/>
  <c r="E15" i="115"/>
  <c r="H15" i="115" s="1"/>
  <c r="E15" i="117"/>
  <c r="H15" i="117" s="1"/>
  <c r="E15" i="114"/>
  <c r="H15" i="114" s="1"/>
  <c r="E15" i="113"/>
  <c r="H15" i="113" s="1"/>
  <c r="E14" i="67"/>
  <c r="F14" i="67" s="1"/>
  <c r="E44" i="67"/>
  <c r="F44" i="67" s="1"/>
  <c r="E67" i="67"/>
  <c r="F67" i="67" s="1"/>
  <c r="E56" i="67"/>
  <c r="F56" i="67" s="1"/>
  <c r="E48" i="67"/>
  <c r="F48" i="67" s="1"/>
  <c r="E57" i="67"/>
  <c r="F57" i="67" s="1"/>
  <c r="E12" i="67"/>
  <c r="F12" i="67" s="1"/>
  <c r="E71" i="67"/>
  <c r="F71" i="67" s="1"/>
  <c r="E19" i="67"/>
  <c r="F19" i="67" s="1"/>
  <c r="E32" i="67"/>
  <c r="F32" i="67" s="1"/>
  <c r="E29" i="67"/>
  <c r="F29" i="67" s="1"/>
  <c r="E61" i="67"/>
  <c r="F61" i="67" s="1"/>
  <c r="E69" i="67"/>
  <c r="F69" i="67" s="1"/>
  <c r="E10" i="67"/>
  <c r="F10" i="67" s="1"/>
  <c r="E16" i="67"/>
  <c r="F16" i="67" s="1"/>
  <c r="G10" i="67" l="1"/>
  <c r="G61" i="67"/>
  <c r="G32" i="67"/>
  <c r="G71" i="67"/>
  <c r="G57" i="67"/>
  <c r="G56" i="67"/>
  <c r="G44" i="67"/>
  <c r="G37" i="67"/>
  <c r="G34" i="67"/>
  <c r="G43" i="67"/>
  <c r="G64" i="67"/>
  <c r="G52" i="67"/>
  <c r="G17" i="67"/>
  <c r="G46" i="67"/>
  <c r="G28" i="67"/>
  <c r="G42" i="67"/>
  <c r="G63" i="67"/>
  <c r="G16" i="67"/>
  <c r="G69" i="67"/>
  <c r="G29" i="67"/>
  <c r="G19" i="67"/>
  <c r="G12" i="67"/>
  <c r="G48" i="67"/>
  <c r="G67" i="67"/>
  <c r="G14" i="67"/>
  <c r="G41" i="67"/>
  <c r="G9" i="67"/>
  <c r="G72" i="67"/>
  <c r="G50" i="67"/>
  <c r="G51" i="67"/>
  <c r="G33" i="67"/>
  <c r="G30" i="67"/>
  <c r="G49" i="67"/>
  <c r="G8" i="67"/>
  <c r="L7" i="46"/>
  <c r="H24" i="46"/>
  <c r="L21" i="46"/>
  <c r="L26" i="46"/>
  <c r="E13" i="80"/>
  <c r="H13" i="80" s="1"/>
  <c r="H69" i="31"/>
  <c r="H70" i="31" s="1"/>
  <c r="H28" i="46"/>
  <c r="E30" i="46"/>
  <c r="E31" i="46" s="1"/>
  <c r="H18" i="46"/>
  <c r="E13" i="76"/>
  <c r="H13" i="76" s="1"/>
  <c r="E19" i="46"/>
  <c r="E7" i="118"/>
  <c r="E7" i="120"/>
  <c r="E7" i="119"/>
  <c r="E7" i="116"/>
  <c r="E7" i="115"/>
  <c r="E7" i="114"/>
  <c r="E7" i="117"/>
  <c r="E7" i="113"/>
  <c r="E15" i="67"/>
  <c r="F15" i="67" s="1"/>
  <c r="G15" i="67" l="1"/>
  <c r="E38" i="46"/>
  <c r="H7" i="114"/>
  <c r="E77" i="114"/>
  <c r="H7" i="113"/>
  <c r="E76" i="113"/>
  <c r="E76" i="116"/>
  <c r="H7" i="116"/>
  <c r="E55" i="81"/>
  <c r="H72" i="31"/>
  <c r="H7" i="120"/>
  <c r="E76" i="120"/>
  <c r="H7" i="117"/>
  <c r="E76" i="117"/>
  <c r="E76" i="119"/>
  <c r="H7" i="119"/>
  <c r="E77" i="115"/>
  <c r="H7" i="115"/>
  <c r="H7" i="118"/>
  <c r="E76" i="118"/>
  <c r="E56" i="81"/>
  <c r="H19" i="46"/>
  <c r="H30" i="46"/>
  <c r="I74" i="80" l="1"/>
  <c r="E5" i="80"/>
  <c r="H76" i="118"/>
  <c r="H76" i="119"/>
  <c r="H31" i="46"/>
  <c r="E58" i="81"/>
  <c r="E54" i="81" s="1"/>
  <c r="H56" i="81"/>
  <c r="G56" i="81"/>
  <c r="H76" i="116"/>
  <c r="I74" i="76"/>
  <c r="E5" i="76"/>
  <c r="H76" i="117"/>
  <c r="H77" i="114"/>
  <c r="G55" i="81"/>
  <c r="H55" i="81"/>
  <c r="D8" i="5"/>
  <c r="D9" i="5"/>
  <c r="G9" i="5" s="1"/>
  <c r="H38" i="46"/>
  <c r="H77" i="115"/>
  <c r="H76" i="120"/>
  <c r="H76" i="113"/>
  <c r="E7" i="67"/>
  <c r="F7" i="67" s="1"/>
  <c r="G7" i="67" l="1"/>
  <c r="K9" i="5"/>
  <c r="G8" i="5"/>
  <c r="D10" i="5"/>
  <c r="E74" i="76"/>
  <c r="H5" i="76"/>
  <c r="E74" i="80"/>
  <c r="H5" i="80"/>
  <c r="G76" i="67"/>
  <c r="H107" i="84"/>
  <c r="H108" i="83"/>
  <c r="H54" i="81"/>
  <c r="E82" i="81"/>
  <c r="G54" i="81"/>
  <c r="H58" i="81"/>
  <c r="G58" i="81"/>
  <c r="E76" i="67"/>
  <c r="F76" i="67" s="1"/>
  <c r="H65" i="81" l="1"/>
  <c r="G65" i="81"/>
  <c r="G66" i="81"/>
  <c r="H66" i="81"/>
  <c r="E62" i="81"/>
  <c r="G62" i="81" s="1"/>
  <c r="M9" i="5"/>
  <c r="O9" i="5" s="1"/>
  <c r="P9" i="5" s="1"/>
  <c r="H67" i="81"/>
  <c r="G67" i="81"/>
  <c r="H74" i="80"/>
  <c r="H74" i="76"/>
  <c r="H53" i="81"/>
  <c r="G53" i="81"/>
  <c r="H68" i="81"/>
  <c r="G68" i="81"/>
  <c r="G10" i="5"/>
  <c r="K8" i="5"/>
  <c r="E51" i="81"/>
  <c r="H82" i="81"/>
  <c r="G82" i="81"/>
  <c r="H62" i="81" l="1"/>
  <c r="G52" i="81"/>
  <c r="H52" i="81"/>
  <c r="H86" i="81"/>
  <c r="G86" i="81"/>
  <c r="M8" i="5"/>
  <c r="K10" i="5"/>
  <c r="H51" i="81"/>
  <c r="G51" i="81"/>
  <c r="E60" i="81"/>
  <c r="E83" i="81"/>
  <c r="H83" i="81" s="1"/>
  <c r="G85" i="81"/>
  <c r="H85" i="81"/>
  <c r="G60" i="81" l="1"/>
  <c r="H60" i="81"/>
  <c r="M10" i="5"/>
  <c r="O8" i="5"/>
  <c r="P8" i="5" s="1"/>
  <c r="P10" i="5" l="1"/>
  <c r="O10" i="5"/>
  <c r="H80" i="81" l="1"/>
  <c r="G80" i="81"/>
  <c r="E72" i="81" l="1"/>
  <c r="H72" i="81" l="1"/>
  <c r="G72" i="81"/>
  <c r="J76" i="115" l="1"/>
  <c r="G83" i="81" l="1"/>
  <c r="J107" i="84" l="1"/>
  <c r="J108" i="83"/>
  <c r="I107" i="84"/>
  <c r="K107" i="84" s="1"/>
  <c r="N107" i="84" s="1"/>
  <c r="O107" i="84" s="1"/>
  <c r="I17" i="31" l="1"/>
  <c r="I13" i="31"/>
  <c r="I68" i="31"/>
  <c r="I62" i="114"/>
  <c r="I34" i="114"/>
  <c r="I47" i="116"/>
  <c r="I10" i="114"/>
  <c r="I7" i="116"/>
  <c r="I16" i="117"/>
  <c r="I53" i="119"/>
  <c r="I49" i="119"/>
  <c r="I45" i="119"/>
  <c r="I41" i="119"/>
  <c r="I37" i="119"/>
  <c r="I33" i="119"/>
  <c r="I29" i="119"/>
  <c r="I21" i="119"/>
  <c r="I17" i="119"/>
  <c r="I13" i="119"/>
  <c r="I9" i="119"/>
  <c r="J12" i="80"/>
  <c r="J8" i="80"/>
  <c r="J16" i="113"/>
  <c r="J36" i="113"/>
  <c r="J48" i="113"/>
  <c r="J68" i="113"/>
  <c r="J11" i="114"/>
  <c r="J39" i="114"/>
  <c r="J43" i="114"/>
  <c r="J55" i="114"/>
  <c r="J71" i="114"/>
  <c r="J75" i="114"/>
  <c r="I74" i="113"/>
  <c r="I72" i="113"/>
  <c r="I49" i="113"/>
  <c r="I27" i="113"/>
  <c r="I22" i="113"/>
  <c r="I15" i="113"/>
  <c r="I13" i="113"/>
  <c r="I54" i="115"/>
  <c r="I36" i="115"/>
  <c r="I33" i="115"/>
  <c r="I25" i="115"/>
  <c r="I17" i="115"/>
  <c r="I52" i="116"/>
  <c r="I71" i="118"/>
  <c r="I66" i="118"/>
  <c r="I65" i="118"/>
  <c r="I46" i="118"/>
  <c r="I18" i="118"/>
  <c r="I72" i="119"/>
  <c r="I68" i="119"/>
  <c r="I61" i="119"/>
  <c r="I56" i="119"/>
  <c r="I50" i="119"/>
  <c r="I46" i="119"/>
  <c r="I42" i="119"/>
  <c r="I38" i="119"/>
  <c r="I34" i="119"/>
  <c r="I26" i="119"/>
  <c r="I22" i="119"/>
  <c r="I18" i="119"/>
  <c r="I14" i="119"/>
  <c r="I10" i="119"/>
  <c r="J21" i="76"/>
  <c r="J19" i="76"/>
  <c r="J13" i="76"/>
  <c r="J69" i="80"/>
  <c r="J58" i="80"/>
  <c r="J54" i="80"/>
  <c r="J48" i="80"/>
  <c r="J37" i="80"/>
  <c r="J10" i="113"/>
  <c r="J14" i="113"/>
  <c r="J18" i="113"/>
  <c r="J22" i="113"/>
  <c r="J26" i="113"/>
  <c r="J30" i="113"/>
  <c r="J34" i="113"/>
  <c r="J38" i="113"/>
  <c r="J42" i="113"/>
  <c r="J46" i="113"/>
  <c r="J50" i="113"/>
  <c r="J54" i="113"/>
  <c r="J58" i="113"/>
  <c r="J66" i="113"/>
  <c r="J70" i="113"/>
  <c r="J74" i="113"/>
  <c r="J9" i="114"/>
  <c r="J17" i="114"/>
  <c r="J21" i="114"/>
  <c r="J25" i="114"/>
  <c r="J29" i="114"/>
  <c r="J33" i="114"/>
  <c r="J37" i="114"/>
  <c r="J41" i="114"/>
  <c r="J45" i="114"/>
  <c r="J49" i="114"/>
  <c r="J53" i="114"/>
  <c r="J57" i="114"/>
  <c r="J61" i="114"/>
  <c r="J65" i="114"/>
  <c r="J69" i="114"/>
  <c r="J73" i="114"/>
  <c r="J7" i="115"/>
  <c r="J11" i="115"/>
  <c r="J15" i="115"/>
  <c r="J19" i="115"/>
  <c r="J23" i="115"/>
  <c r="J27" i="115"/>
  <c r="J31" i="115"/>
  <c r="J35" i="115"/>
  <c r="J39" i="115"/>
  <c r="J43" i="115"/>
  <c r="J47" i="115"/>
  <c r="J51" i="115"/>
  <c r="J55" i="115"/>
  <c r="J67" i="115"/>
  <c r="J71" i="115"/>
  <c r="J75" i="115"/>
  <c r="J11" i="116"/>
  <c r="J15" i="116"/>
  <c r="J19" i="116"/>
  <c r="J23" i="116"/>
  <c r="J31" i="116"/>
  <c r="J35" i="116"/>
  <c r="J39" i="116"/>
  <c r="J43" i="116"/>
  <c r="J47" i="116"/>
  <c r="J55" i="116"/>
  <c r="J59" i="116"/>
  <c r="J63" i="116"/>
  <c r="J67" i="116"/>
  <c r="J75" i="116"/>
  <c r="J10" i="117"/>
  <c r="J14" i="117"/>
  <c r="J22" i="117"/>
  <c r="J26" i="117"/>
  <c r="J30" i="117"/>
  <c r="J38" i="117"/>
  <c r="J42" i="117"/>
  <c r="J46" i="117"/>
  <c r="J50" i="117"/>
  <c r="J54" i="117"/>
  <c r="J58" i="117"/>
  <c r="J62" i="117"/>
  <c r="J66" i="117"/>
  <c r="J70" i="117"/>
  <c r="J74" i="117"/>
  <c r="J9" i="118"/>
  <c r="J17" i="118"/>
  <c r="J21" i="118"/>
  <c r="J25" i="118"/>
  <c r="J29" i="118"/>
  <c r="J33" i="118"/>
  <c r="J37" i="118"/>
  <c r="J41" i="118"/>
  <c r="J45" i="118"/>
  <c r="J49" i="118"/>
  <c r="J53" i="118"/>
  <c r="J57" i="118"/>
  <c r="J65" i="118"/>
  <c r="J69" i="118"/>
  <c r="J73" i="118"/>
  <c r="K8" i="76"/>
  <c r="K24" i="76"/>
  <c r="K32" i="76"/>
  <c r="K40" i="76"/>
  <c r="K48" i="76"/>
  <c r="K64" i="76"/>
  <c r="K72" i="76"/>
  <c r="K19" i="80"/>
  <c r="K27" i="80"/>
  <c r="K35" i="80"/>
  <c r="K51" i="80"/>
  <c r="K67" i="80"/>
  <c r="I66" i="113"/>
  <c r="I36" i="114"/>
  <c r="I27" i="116"/>
  <c r="I54" i="117"/>
  <c r="K54" i="117" s="1"/>
  <c r="L54" i="117" s="1"/>
  <c r="I64" i="119"/>
  <c r="I52" i="119"/>
  <c r="I48" i="119"/>
  <c r="I44" i="119"/>
  <c r="I40" i="119"/>
  <c r="I36" i="119"/>
  <c r="I32" i="119"/>
  <c r="I28" i="119"/>
  <c r="I24" i="119"/>
  <c r="I16" i="119"/>
  <c r="I12" i="119"/>
  <c r="I8" i="119"/>
  <c r="J35" i="76"/>
  <c r="J66" i="80"/>
  <c r="J14" i="116"/>
  <c r="J30" i="116"/>
  <c r="J46" i="116"/>
  <c r="J62" i="116"/>
  <c r="J8" i="118"/>
  <c r="J24" i="118"/>
  <c r="J28" i="118"/>
  <c r="J44" i="118"/>
  <c r="J56" i="118"/>
  <c r="J60" i="118"/>
  <c r="J11" i="119"/>
  <c r="J15" i="119"/>
  <c r="J23" i="119"/>
  <c r="J27" i="119"/>
  <c r="J31" i="119"/>
  <c r="J35" i="119"/>
  <c r="J39" i="119"/>
  <c r="J43" i="119"/>
  <c r="J47" i="119"/>
  <c r="J51" i="119"/>
  <c r="J55" i="119"/>
  <c r="J59" i="119"/>
  <c r="J63" i="119"/>
  <c r="J67" i="119"/>
  <c r="J71" i="119"/>
  <c r="J75" i="119"/>
  <c r="J10" i="120"/>
  <c r="J14" i="120"/>
  <c r="J18" i="120"/>
  <c r="J22" i="120"/>
  <c r="J26" i="120"/>
  <c r="J30" i="120"/>
  <c r="J34" i="120"/>
  <c r="J38" i="120"/>
  <c r="J42" i="120"/>
  <c r="J46" i="120"/>
  <c r="J50" i="120"/>
  <c r="J54" i="120"/>
  <c r="J58" i="120"/>
  <c r="J62" i="120"/>
  <c r="J66" i="120"/>
  <c r="J70" i="120"/>
  <c r="J74" i="120"/>
  <c r="K15" i="76"/>
  <c r="K31" i="76"/>
  <c r="K39" i="76"/>
  <c r="K47" i="76"/>
  <c r="K63" i="76"/>
  <c r="I31" i="31"/>
  <c r="I73" i="113"/>
  <c r="I65" i="113"/>
  <c r="I51" i="113"/>
  <c r="I17" i="113"/>
  <c r="I66" i="115"/>
  <c r="I65" i="115"/>
  <c r="I63" i="115"/>
  <c r="I18" i="115"/>
  <c r="I53" i="116"/>
  <c r="I51" i="116"/>
  <c r="I60" i="117"/>
  <c r="I59" i="117"/>
  <c r="I68" i="118"/>
  <c r="I37" i="118"/>
  <c r="I75" i="119"/>
  <c r="K75" i="119" s="1"/>
  <c r="L75" i="119" s="1"/>
  <c r="M75" i="119" s="1"/>
  <c r="N75" i="119" s="1"/>
  <c r="P75" i="119" s="1"/>
  <c r="I71" i="119"/>
  <c r="K71" i="119" s="1"/>
  <c r="L71" i="119" s="1"/>
  <c r="M71" i="119" s="1"/>
  <c r="N71" i="119" s="1"/>
  <c r="P71" i="119" s="1"/>
  <c r="I67" i="119"/>
  <c r="I65" i="119"/>
  <c r="J30" i="76"/>
  <c r="I53" i="31"/>
  <c r="I44" i="31"/>
  <c r="I32" i="31"/>
  <c r="I23" i="31"/>
  <c r="I20" i="31"/>
  <c r="I62" i="113"/>
  <c r="I38" i="113"/>
  <c r="I36" i="113"/>
  <c r="K36" i="113" s="1"/>
  <c r="L36" i="113" s="1"/>
  <c r="I30" i="113"/>
  <c r="I23" i="113"/>
  <c r="I7" i="113"/>
  <c r="I72" i="114"/>
  <c r="I70" i="114"/>
  <c r="I64" i="114"/>
  <c r="I53" i="114"/>
  <c r="I35" i="114"/>
  <c r="I27" i="114"/>
  <c r="I16" i="114"/>
  <c r="I60" i="115"/>
  <c r="I23" i="115"/>
  <c r="K23" i="115" s="1"/>
  <c r="L23" i="115" s="1"/>
  <c r="I68" i="116"/>
  <c r="I45" i="116"/>
  <c r="I25" i="116"/>
  <c r="I50" i="117"/>
  <c r="I30" i="117"/>
  <c r="I29" i="117"/>
  <c r="I45" i="118"/>
  <c r="I8" i="118"/>
  <c r="K8" i="118" s="1"/>
  <c r="L8" i="118" s="1"/>
  <c r="I73" i="119"/>
  <c r="I69" i="119"/>
  <c r="I57" i="119"/>
  <c r="I75" i="120"/>
  <c r="I71" i="120"/>
  <c r="I63" i="120"/>
  <c r="I59" i="120"/>
  <c r="I55" i="120"/>
  <c r="I51" i="120"/>
  <c r="I47" i="120"/>
  <c r="I43" i="120"/>
  <c r="I39" i="120"/>
  <c r="I31" i="120"/>
  <c r="I27" i="120"/>
  <c r="I23" i="120"/>
  <c r="I19" i="120"/>
  <c r="I15" i="120"/>
  <c r="I11" i="120"/>
  <c r="I7" i="120"/>
  <c r="J73" i="76"/>
  <c r="J72" i="76"/>
  <c r="L72" i="76" s="1"/>
  <c r="M72" i="76" s="1"/>
  <c r="J40" i="76"/>
  <c r="L40" i="76" s="1"/>
  <c r="M40" i="76" s="1"/>
  <c r="J6" i="76"/>
  <c r="J5" i="76"/>
  <c r="J73" i="80"/>
  <c r="J53" i="80"/>
  <c r="J50" i="80"/>
  <c r="J34" i="80"/>
  <c r="J5" i="80"/>
  <c r="J65" i="80"/>
  <c r="J20" i="113"/>
  <c r="J32" i="113"/>
  <c r="J52" i="113"/>
  <c r="J64" i="113"/>
  <c r="J23" i="114"/>
  <c r="J27" i="114"/>
  <c r="J59" i="114"/>
  <c r="J57" i="115"/>
  <c r="J65" i="115"/>
  <c r="J12" i="117"/>
  <c r="J48" i="117"/>
  <c r="J10" i="119"/>
  <c r="J14" i="119"/>
  <c r="J18" i="119"/>
  <c r="J22" i="119"/>
  <c r="J26" i="119"/>
  <c r="J30" i="119"/>
  <c r="J34" i="119"/>
  <c r="J38" i="119"/>
  <c r="J42" i="119"/>
  <c r="J46" i="119"/>
  <c r="J50" i="119"/>
  <c r="J54" i="119"/>
  <c r="J58" i="119"/>
  <c r="J62" i="119"/>
  <c r="J66" i="119"/>
  <c r="J74" i="119"/>
  <c r="J9" i="120"/>
  <c r="J13" i="120"/>
  <c r="J17" i="120"/>
  <c r="J21" i="120"/>
  <c r="J25" i="120"/>
  <c r="J29" i="120"/>
  <c r="J37" i="120"/>
  <c r="J41" i="120"/>
  <c r="J45" i="120"/>
  <c r="J49" i="120"/>
  <c r="J53" i="120"/>
  <c r="J57" i="120"/>
  <c r="J61" i="120"/>
  <c r="J65" i="120"/>
  <c r="J69" i="120"/>
  <c r="J32" i="80"/>
  <c r="K20" i="76"/>
  <c r="K28" i="76"/>
  <c r="K36" i="76"/>
  <c r="K44" i="76"/>
  <c r="K52" i="76"/>
  <c r="K60" i="76"/>
  <c r="K7" i="80"/>
  <c r="K15" i="80"/>
  <c r="K23" i="80"/>
  <c r="K31" i="80"/>
  <c r="K47" i="80"/>
  <c r="K55" i="80"/>
  <c r="K68" i="80"/>
  <c r="I75" i="113"/>
  <c r="I50" i="113"/>
  <c r="I45" i="113"/>
  <c r="I39" i="113"/>
  <c r="I31" i="113"/>
  <c r="I20" i="113"/>
  <c r="K20" i="113" s="1"/>
  <c r="L20" i="113" s="1"/>
  <c r="I75" i="114"/>
  <c r="I50" i="114"/>
  <c r="I44" i="114"/>
  <c r="I37" i="114"/>
  <c r="I29" i="114"/>
  <c r="I20" i="114"/>
  <c r="I72" i="115"/>
  <c r="I44" i="115"/>
  <c r="I39" i="115"/>
  <c r="I29" i="115"/>
  <c r="I22" i="115"/>
  <c r="I9" i="115"/>
  <c r="I73" i="116"/>
  <c r="I71" i="116"/>
  <c r="I65" i="116"/>
  <c r="I60" i="116"/>
  <c r="I54" i="116"/>
  <c r="I46" i="116"/>
  <c r="I26" i="116"/>
  <c r="I74" i="117"/>
  <c r="K74" i="117" s="1"/>
  <c r="L74" i="117" s="1"/>
  <c r="I69" i="117"/>
  <c r="I68" i="117"/>
  <c r="I67" i="117"/>
  <c r="I62" i="117"/>
  <c r="K62" i="117" s="1"/>
  <c r="L62" i="117" s="1"/>
  <c r="I61" i="117"/>
  <c r="I53" i="117"/>
  <c r="I46" i="117"/>
  <c r="I42" i="117"/>
  <c r="K42" i="117" s="1"/>
  <c r="L42" i="117" s="1"/>
  <c r="I17" i="117"/>
  <c r="I74" i="118"/>
  <c r="I50" i="118"/>
  <c r="I49" i="118"/>
  <c r="K49" i="118" s="1"/>
  <c r="L49" i="118" s="1"/>
  <c r="I39" i="118"/>
  <c r="I29" i="118"/>
  <c r="I20" i="118"/>
  <c r="I63" i="119"/>
  <c r="I58" i="119"/>
  <c r="I55" i="119"/>
  <c r="K55" i="119" s="1"/>
  <c r="L55" i="119" s="1"/>
  <c r="M55" i="119" s="1"/>
  <c r="N55" i="119" s="1"/>
  <c r="P55" i="119" s="1"/>
  <c r="I74" i="120"/>
  <c r="I70" i="120"/>
  <c r="K70" i="120" s="1"/>
  <c r="L70" i="120" s="1"/>
  <c r="M70" i="120" s="1"/>
  <c r="N70" i="120" s="1"/>
  <c r="P70" i="120" s="1"/>
  <c r="I66" i="120"/>
  <c r="K66" i="120" s="1"/>
  <c r="L66" i="120" s="1"/>
  <c r="M66" i="120" s="1"/>
  <c r="N66" i="120" s="1"/>
  <c r="P66" i="120" s="1"/>
  <c r="I62" i="120"/>
  <c r="I58" i="120"/>
  <c r="I54" i="120"/>
  <c r="K54" i="120" s="1"/>
  <c r="L54" i="120" s="1"/>
  <c r="M54" i="120" s="1"/>
  <c r="N54" i="120" s="1"/>
  <c r="P54" i="120" s="1"/>
  <c r="I50" i="120"/>
  <c r="K50" i="120" s="1"/>
  <c r="L50" i="120" s="1"/>
  <c r="M50" i="120" s="1"/>
  <c r="N50" i="120" s="1"/>
  <c r="P50" i="120" s="1"/>
  <c r="I46" i="120"/>
  <c r="I42" i="120"/>
  <c r="I38" i="120"/>
  <c r="K38" i="120" s="1"/>
  <c r="L38" i="120" s="1"/>
  <c r="M38" i="120" s="1"/>
  <c r="N38" i="120" s="1"/>
  <c r="P38" i="120" s="1"/>
  <c r="I34" i="120"/>
  <c r="K34" i="120" s="1"/>
  <c r="L34" i="120" s="1"/>
  <c r="M34" i="120" s="1"/>
  <c r="N34" i="120" s="1"/>
  <c r="P34" i="120" s="1"/>
  <c r="I30" i="120"/>
  <c r="I26" i="120"/>
  <c r="I22" i="120"/>
  <c r="K22" i="120" s="1"/>
  <c r="L22" i="120" s="1"/>
  <c r="M22" i="120" s="1"/>
  <c r="N22" i="120" s="1"/>
  <c r="P22" i="120" s="1"/>
  <c r="I18" i="120"/>
  <c r="K18" i="120" s="1"/>
  <c r="L18" i="120" s="1"/>
  <c r="M18" i="120" s="1"/>
  <c r="N18" i="120" s="1"/>
  <c r="P18" i="120" s="1"/>
  <c r="I14" i="120"/>
  <c r="I10" i="120"/>
  <c r="J67" i="76"/>
  <c r="J61" i="76"/>
  <c r="J53" i="76"/>
  <c r="J50" i="76"/>
  <c r="J48" i="76"/>
  <c r="L48" i="76" s="1"/>
  <c r="M48" i="76" s="1"/>
  <c r="J42" i="76"/>
  <c r="J34" i="76"/>
  <c r="J20" i="76"/>
  <c r="J24" i="80"/>
  <c r="J19" i="80"/>
  <c r="J8" i="113"/>
  <c r="J12" i="113"/>
  <c r="J24" i="113"/>
  <c r="J28" i="113"/>
  <c r="J40" i="113"/>
  <c r="J44" i="113"/>
  <c r="J56" i="113"/>
  <c r="J60" i="113"/>
  <c r="J72" i="113"/>
  <c r="J15" i="114"/>
  <c r="J19" i="114"/>
  <c r="J31" i="114"/>
  <c r="J35" i="114"/>
  <c r="J51" i="114"/>
  <c r="J63" i="114"/>
  <c r="J67" i="114"/>
  <c r="J49" i="115"/>
  <c r="J54" i="115"/>
  <c r="J62" i="115"/>
  <c r="J66" i="115"/>
  <c r="J70" i="115"/>
  <c r="J74" i="115"/>
  <c r="J74" i="116"/>
  <c r="J16" i="118"/>
  <c r="J20" i="118"/>
  <c r="J32" i="118"/>
  <c r="J36" i="118"/>
  <c r="J48" i="118"/>
  <c r="J52" i="118"/>
  <c r="J64" i="118"/>
  <c r="J68" i="118"/>
  <c r="K11" i="76"/>
  <c r="K19" i="76"/>
  <c r="K27" i="76"/>
  <c r="K35" i="76"/>
  <c r="K43" i="76"/>
  <c r="K51" i="76"/>
  <c r="K59" i="76"/>
  <c r="K67" i="76"/>
  <c r="K62" i="80"/>
  <c r="K66" i="80"/>
  <c r="K70" i="80"/>
  <c r="I28" i="114"/>
  <c r="I42" i="115"/>
  <c r="I76" i="115"/>
  <c r="K76" i="115" s="1"/>
  <c r="L76" i="115" s="1"/>
  <c r="M76" i="115" s="1"/>
  <c r="N76" i="115" s="1"/>
  <c r="P76" i="115" s="1"/>
  <c r="I16" i="115"/>
  <c r="I55" i="116"/>
  <c r="I29" i="116"/>
  <c r="J43" i="76"/>
  <c r="J56" i="80"/>
  <c r="I12" i="114"/>
  <c r="I26" i="115"/>
  <c r="I39" i="116"/>
  <c r="K39" i="116" s="1"/>
  <c r="L39" i="116" s="1"/>
  <c r="I13" i="116"/>
  <c r="J65" i="76"/>
  <c r="J68" i="80"/>
  <c r="I66" i="31"/>
  <c r="I62" i="31"/>
  <c r="I57" i="31"/>
  <c r="I71" i="113"/>
  <c r="I70" i="113"/>
  <c r="I55" i="113"/>
  <c r="I46" i="113"/>
  <c r="I43" i="113"/>
  <c r="I29" i="113"/>
  <c r="I8" i="113"/>
  <c r="I69" i="114"/>
  <c r="I67" i="114"/>
  <c r="K67" i="114" s="1"/>
  <c r="L67" i="114" s="1"/>
  <c r="I43" i="114"/>
  <c r="I22" i="114"/>
  <c r="I74" i="115"/>
  <c r="I57" i="115"/>
  <c r="I31" i="115"/>
  <c r="I10" i="115"/>
  <c r="I70" i="116"/>
  <c r="I69" i="116"/>
  <c r="I61" i="116"/>
  <c r="I58" i="116"/>
  <c r="I44" i="116"/>
  <c r="I23" i="116"/>
  <c r="I16" i="116"/>
  <c r="I70" i="117"/>
  <c r="I65" i="117"/>
  <c r="I51" i="117"/>
  <c r="I23" i="117"/>
  <c r="I13" i="117"/>
  <c r="I8" i="117"/>
  <c r="I75" i="118"/>
  <c r="I69" i="118"/>
  <c r="K69" i="118" s="1"/>
  <c r="L69" i="118" s="1"/>
  <c r="I61" i="118"/>
  <c r="I51" i="118"/>
  <c r="I38" i="118"/>
  <c r="I24" i="118"/>
  <c r="I23" i="118"/>
  <c r="I62" i="119"/>
  <c r="K62" i="119" s="1"/>
  <c r="L62" i="119" s="1"/>
  <c r="M62" i="119" s="1"/>
  <c r="N62" i="119" s="1"/>
  <c r="P62" i="119" s="1"/>
  <c r="I72" i="120"/>
  <c r="I68" i="120"/>
  <c r="I64" i="120"/>
  <c r="I60" i="120"/>
  <c r="I56" i="120"/>
  <c r="I52" i="120"/>
  <c r="I48" i="120"/>
  <c r="I44" i="120"/>
  <c r="I40" i="120"/>
  <c r="I36" i="120"/>
  <c r="I32" i="120"/>
  <c r="I28" i="120"/>
  <c r="I24" i="120"/>
  <c r="I20" i="120"/>
  <c r="I16" i="120"/>
  <c r="I12" i="120"/>
  <c r="I8" i="120"/>
  <c r="J58" i="76"/>
  <c r="J56" i="76"/>
  <c r="J51" i="76"/>
  <c r="J49" i="76"/>
  <c r="J46" i="76"/>
  <c r="J32" i="76"/>
  <c r="L32" i="76" s="1"/>
  <c r="M32" i="76" s="1"/>
  <c r="J29" i="76"/>
  <c r="J23" i="76"/>
  <c r="J36" i="80"/>
  <c r="J22" i="80"/>
  <c r="I14" i="113"/>
  <c r="K14" i="113" s="1"/>
  <c r="L14" i="113" s="1"/>
  <c r="I76" i="114"/>
  <c r="I64" i="115"/>
  <c r="J13" i="119"/>
  <c r="J21" i="119"/>
  <c r="J29" i="119"/>
  <c r="J37" i="119"/>
  <c r="J45" i="119"/>
  <c r="J53" i="119"/>
  <c r="J61" i="119"/>
  <c r="I41" i="113"/>
  <c r="I35" i="113"/>
  <c r="I25" i="113"/>
  <c r="I19" i="113"/>
  <c r="I9" i="113"/>
  <c r="I71" i="114"/>
  <c r="I65" i="114"/>
  <c r="I55" i="114"/>
  <c r="I49" i="114"/>
  <c r="I39" i="114"/>
  <c r="I33" i="114"/>
  <c r="K33" i="114" s="1"/>
  <c r="L33" i="114" s="1"/>
  <c r="I17" i="114"/>
  <c r="I7" i="114"/>
  <c r="I69" i="115"/>
  <c r="I53" i="115"/>
  <c r="I37" i="115"/>
  <c r="I35" i="115"/>
  <c r="K35" i="115" s="1"/>
  <c r="L35" i="115" s="1"/>
  <c r="I21" i="115"/>
  <c r="I72" i="116"/>
  <c r="I66" i="116"/>
  <c r="I56" i="116"/>
  <c r="I50" i="116"/>
  <c r="I40" i="116"/>
  <c r="I34" i="116"/>
  <c r="I24" i="116"/>
  <c r="I18" i="116"/>
  <c r="I73" i="117"/>
  <c r="I57" i="117"/>
  <c r="I47" i="117"/>
  <c r="I41" i="117"/>
  <c r="I31" i="117"/>
  <c r="I25" i="117"/>
  <c r="I15" i="117"/>
  <c r="I9" i="117"/>
  <c r="I73" i="118"/>
  <c r="K73" i="118" s="1"/>
  <c r="L73" i="118" s="1"/>
  <c r="I67" i="118"/>
  <c r="I57" i="118"/>
  <c r="I53" i="118"/>
  <c r="I21" i="118"/>
  <c r="K21" i="118" s="1"/>
  <c r="L21" i="118" s="1"/>
  <c r="I15" i="118"/>
  <c r="J70" i="76"/>
  <c r="J63" i="76"/>
  <c r="J60" i="76"/>
  <c r="L60" i="76" s="1"/>
  <c r="M60" i="76" s="1"/>
  <c r="J54" i="76"/>
  <c r="J47" i="76"/>
  <c r="J44" i="76"/>
  <c r="J38" i="76"/>
  <c r="J25" i="76"/>
  <c r="J7" i="76"/>
  <c r="J60" i="80"/>
  <c r="J44" i="80"/>
  <c r="J11" i="80"/>
  <c r="J73" i="115"/>
  <c r="J9" i="116"/>
  <c r="J13" i="116"/>
  <c r="J17" i="116"/>
  <c r="J21" i="116"/>
  <c r="J25" i="116"/>
  <c r="J29" i="116"/>
  <c r="J33" i="116"/>
  <c r="J37" i="116"/>
  <c r="J41" i="116"/>
  <c r="J45" i="116"/>
  <c r="J49" i="116"/>
  <c r="J53" i="116"/>
  <c r="J57" i="116"/>
  <c r="J61" i="116"/>
  <c r="J65" i="116"/>
  <c r="J69" i="116"/>
  <c r="J73" i="116"/>
  <c r="J20" i="117"/>
  <c r="J36" i="117"/>
  <c r="J44" i="117"/>
  <c r="J52" i="117"/>
  <c r="J60" i="117"/>
  <c r="J68" i="117"/>
  <c r="J11" i="118"/>
  <c r="J15" i="118"/>
  <c r="J19" i="118"/>
  <c r="J23" i="118"/>
  <c r="J27" i="118"/>
  <c r="J31" i="118"/>
  <c r="J35" i="118"/>
  <c r="J39" i="118"/>
  <c r="J43" i="118"/>
  <c r="J47" i="118"/>
  <c r="J51" i="118"/>
  <c r="J55" i="118"/>
  <c r="J59" i="118"/>
  <c r="J63" i="118"/>
  <c r="J67" i="118"/>
  <c r="J75" i="118"/>
  <c r="K6" i="76"/>
  <c r="K10" i="76"/>
  <c r="K14" i="76"/>
  <c r="K18" i="76"/>
  <c r="K22" i="76"/>
  <c r="K26" i="76"/>
  <c r="K34" i="76"/>
  <c r="K38" i="76"/>
  <c r="K42" i="76"/>
  <c r="K46" i="76"/>
  <c r="K50" i="76"/>
  <c r="K54" i="76"/>
  <c r="K62" i="76"/>
  <c r="K66" i="76"/>
  <c r="K70" i="76"/>
  <c r="K9" i="80"/>
  <c r="K13" i="80"/>
  <c r="K17" i="80"/>
  <c r="K21" i="80"/>
  <c r="K25" i="80"/>
  <c r="K29" i="80"/>
  <c r="K33" i="80"/>
  <c r="K37" i="80"/>
  <c r="K41" i="80"/>
  <c r="K45" i="80"/>
  <c r="K49" i="80"/>
  <c r="K53" i="80"/>
  <c r="K57" i="80"/>
  <c r="J6" i="80"/>
  <c r="J44" i="115"/>
  <c r="J48" i="115"/>
  <c r="J10" i="116"/>
  <c r="J18" i="116"/>
  <c r="J26" i="116"/>
  <c r="J42" i="116"/>
  <c r="J50" i="116"/>
  <c r="J58" i="116"/>
  <c r="J66" i="116"/>
  <c r="J9" i="117"/>
  <c r="J24" i="76"/>
  <c r="J18" i="76"/>
  <c r="L18" i="76" s="1"/>
  <c r="M18" i="76" s="1"/>
  <c r="J8" i="76"/>
  <c r="L8" i="76" s="1"/>
  <c r="M8" i="76" s="1"/>
  <c r="J39" i="80"/>
  <c r="J23" i="80"/>
  <c r="J17" i="80"/>
  <c r="J16" i="80"/>
  <c r="J59" i="115"/>
  <c r="J63" i="115"/>
  <c r="J68" i="115"/>
  <c r="J72" i="115"/>
  <c r="J21" i="117"/>
  <c r="J25" i="117"/>
  <c r="J29" i="117"/>
  <c r="J33" i="117"/>
  <c r="J37" i="117"/>
  <c r="J41" i="117"/>
  <c r="J45" i="117"/>
  <c r="J49" i="117"/>
  <c r="J53" i="117"/>
  <c r="J57" i="117"/>
  <c r="J61" i="117"/>
  <c r="J69" i="117"/>
  <c r="J73" i="117"/>
  <c r="J8" i="119"/>
  <c r="J12" i="119"/>
  <c r="J16" i="119"/>
  <c r="J20" i="119"/>
  <c r="J24" i="119"/>
  <c r="J28" i="119"/>
  <c r="J32" i="119"/>
  <c r="J36" i="119"/>
  <c r="J40" i="119"/>
  <c r="J44" i="119"/>
  <c r="J48" i="119"/>
  <c r="J52" i="119"/>
  <c r="J56" i="119"/>
  <c r="J60" i="119"/>
  <c r="J68" i="119"/>
  <c r="J72" i="119"/>
  <c r="J11" i="120"/>
  <c r="J15" i="120"/>
  <c r="J19" i="120"/>
  <c r="J23" i="120"/>
  <c r="J27" i="120"/>
  <c r="J31" i="120"/>
  <c r="J35" i="120"/>
  <c r="J39" i="120"/>
  <c r="J43" i="120"/>
  <c r="J47" i="120"/>
  <c r="J51" i="120"/>
  <c r="J55" i="120"/>
  <c r="J59" i="120"/>
  <c r="J63" i="120"/>
  <c r="J67" i="120"/>
  <c r="J71" i="120"/>
  <c r="J75" i="120"/>
  <c r="K6" i="80"/>
  <c r="K10" i="80"/>
  <c r="K14" i="80"/>
  <c r="K18" i="80"/>
  <c r="K22" i="80"/>
  <c r="K26" i="80"/>
  <c r="K30" i="80"/>
  <c r="K34" i="80"/>
  <c r="K38" i="80"/>
  <c r="K42" i="80"/>
  <c r="K46" i="80"/>
  <c r="K50" i="80"/>
  <c r="K54" i="80"/>
  <c r="K58" i="80"/>
  <c r="J42" i="115"/>
  <c r="J8" i="120"/>
  <c r="J12" i="120"/>
  <c r="J16" i="120"/>
  <c r="J20" i="120"/>
  <c r="J28" i="120"/>
  <c r="J32" i="120"/>
  <c r="J36" i="120"/>
  <c r="J44" i="120"/>
  <c r="J48" i="120"/>
  <c r="J52" i="120"/>
  <c r="J56" i="120"/>
  <c r="J60" i="120"/>
  <c r="J64" i="120"/>
  <c r="J68" i="120"/>
  <c r="J72" i="120"/>
  <c r="J19" i="33"/>
  <c r="J51" i="33"/>
  <c r="J67" i="33"/>
  <c r="J75" i="33"/>
  <c r="J39" i="31"/>
  <c r="J41" i="31"/>
  <c r="J43" i="31"/>
  <c r="J45" i="31"/>
  <c r="J47" i="31"/>
  <c r="J49" i="31"/>
  <c r="J51" i="31"/>
  <c r="J55" i="31"/>
  <c r="J57" i="31"/>
  <c r="J59" i="31"/>
  <c r="J62" i="31"/>
  <c r="J64" i="31"/>
  <c r="J66" i="31"/>
  <c r="J68" i="31"/>
  <c r="J16" i="46"/>
  <c r="J11" i="46"/>
  <c r="J23" i="46"/>
  <c r="J14" i="46"/>
  <c r="J14" i="31"/>
  <c r="J16" i="31"/>
  <c r="J18" i="31"/>
  <c r="J20" i="31"/>
  <c r="J22" i="31"/>
  <c r="J24" i="31"/>
  <c r="J28" i="46"/>
  <c r="J15" i="46"/>
  <c r="J12" i="46"/>
  <c r="J13" i="46"/>
  <c r="J10" i="46"/>
  <c r="J13" i="31"/>
  <c r="J15" i="31"/>
  <c r="J17" i="31"/>
  <c r="J19" i="31"/>
  <c r="J21" i="31"/>
  <c r="J23" i="31"/>
  <c r="J25" i="31"/>
  <c r="J27" i="31"/>
  <c r="J29" i="31"/>
  <c r="J31" i="31"/>
  <c r="J33" i="31"/>
  <c r="J35" i="31"/>
  <c r="J37" i="31"/>
  <c r="J53" i="31"/>
  <c r="J14" i="33"/>
  <c r="J28" i="33"/>
  <c r="J62" i="33"/>
  <c r="J26" i="31"/>
  <c r="J28" i="31"/>
  <c r="J30" i="31"/>
  <c r="J32" i="31"/>
  <c r="J34" i="31"/>
  <c r="J36" i="31"/>
  <c r="J38" i="31"/>
  <c r="J40" i="31"/>
  <c r="J42" i="31"/>
  <c r="J44" i="31"/>
  <c r="J46" i="31"/>
  <c r="J48" i="31"/>
  <c r="J50" i="31"/>
  <c r="J52" i="31"/>
  <c r="J54" i="31"/>
  <c r="J56" i="31"/>
  <c r="J58" i="31"/>
  <c r="J60" i="31"/>
  <c r="J63" i="31"/>
  <c r="J65" i="31"/>
  <c r="J67" i="31"/>
  <c r="J17" i="46"/>
  <c r="I70" i="67"/>
  <c r="K70" i="67" s="1"/>
  <c r="L70" i="67" s="1"/>
  <c r="N70" i="67" s="1"/>
  <c r="AH70" i="67" s="1"/>
  <c r="I68" i="67"/>
  <c r="K68" i="67" s="1"/>
  <c r="L68" i="67" s="1"/>
  <c r="N68" i="67" s="1"/>
  <c r="AH68" i="67" s="1"/>
  <c r="I62" i="67"/>
  <c r="K62" i="67" s="1"/>
  <c r="L62" i="67" s="1"/>
  <c r="N62" i="67" s="1"/>
  <c r="AH62" i="67" s="1"/>
  <c r="I60" i="67"/>
  <c r="K60" i="67" s="1"/>
  <c r="L60" i="67" s="1"/>
  <c r="N60" i="67" s="1"/>
  <c r="AH60" i="67" s="1"/>
  <c r="I54" i="67"/>
  <c r="K54" i="67" s="1"/>
  <c r="L54" i="67" s="1"/>
  <c r="N54" i="67" s="1"/>
  <c r="AH54" i="67" s="1"/>
  <c r="I52" i="67"/>
  <c r="K52" i="67" s="1"/>
  <c r="L52" i="67" s="1"/>
  <c r="N52" i="67" s="1"/>
  <c r="AH52" i="67" s="1"/>
  <c r="I46" i="67"/>
  <c r="K46" i="67" s="1"/>
  <c r="L46" i="67" s="1"/>
  <c r="N46" i="67" s="1"/>
  <c r="AH46" i="67" s="1"/>
  <c r="I44" i="67"/>
  <c r="K44" i="67" s="1"/>
  <c r="L44" i="67" s="1"/>
  <c r="N44" i="67" s="1"/>
  <c r="AH44" i="67" s="1"/>
  <c r="I38" i="67"/>
  <c r="K38" i="67" s="1"/>
  <c r="L38" i="67" s="1"/>
  <c r="N38" i="67" s="1"/>
  <c r="AH38" i="67" s="1"/>
  <c r="I36" i="67"/>
  <c r="K36" i="67" s="1"/>
  <c r="L36" i="67" s="1"/>
  <c r="N36" i="67" s="1"/>
  <c r="AH36" i="67" s="1"/>
  <c r="I30" i="67"/>
  <c r="K30" i="67" s="1"/>
  <c r="L30" i="67" s="1"/>
  <c r="N30" i="67" s="1"/>
  <c r="AH30" i="67" s="1"/>
  <c r="I28" i="67"/>
  <c r="K28" i="67" s="1"/>
  <c r="L28" i="67" s="1"/>
  <c r="N28" i="67" s="1"/>
  <c r="AH28" i="67" s="1"/>
  <c r="I22" i="67"/>
  <c r="K22" i="67" s="1"/>
  <c r="L22" i="67" s="1"/>
  <c r="N22" i="67" s="1"/>
  <c r="AH22" i="67" s="1"/>
  <c r="I20" i="67"/>
  <c r="K20" i="67" s="1"/>
  <c r="L20" i="67" s="1"/>
  <c r="N20" i="67" s="1"/>
  <c r="AH20" i="67" s="1"/>
  <c r="I14" i="67"/>
  <c r="K14" i="67" s="1"/>
  <c r="L14" i="67" s="1"/>
  <c r="N14" i="67" s="1"/>
  <c r="AH14" i="67" s="1"/>
  <c r="I12" i="67"/>
  <c r="K12" i="67" s="1"/>
  <c r="L12" i="67" s="1"/>
  <c r="N12" i="67" s="1"/>
  <c r="AH12" i="67" s="1"/>
  <c r="J44" i="114"/>
  <c r="J35" i="33"/>
  <c r="J9" i="113"/>
  <c r="J11" i="113"/>
  <c r="J13" i="113"/>
  <c r="J15" i="113"/>
  <c r="J17" i="113"/>
  <c r="J19" i="113"/>
  <c r="J21" i="113"/>
  <c r="J23" i="113"/>
  <c r="J25" i="113"/>
  <c r="J27" i="113"/>
  <c r="J29" i="113"/>
  <c r="J31" i="113"/>
  <c r="J33" i="113"/>
  <c r="J35" i="113"/>
  <c r="J37" i="113"/>
  <c r="J39" i="113"/>
  <c r="J41" i="113"/>
  <c r="J43" i="113"/>
  <c r="J45" i="113"/>
  <c r="J47" i="113"/>
  <c r="J49" i="113"/>
  <c r="J51" i="113"/>
  <c r="J53" i="113"/>
  <c r="J55" i="113"/>
  <c r="J57" i="113"/>
  <c r="J59" i="113"/>
  <c r="J61" i="113"/>
  <c r="J63" i="113"/>
  <c r="J65" i="113"/>
  <c r="J67" i="113"/>
  <c r="J69" i="113"/>
  <c r="J71" i="113"/>
  <c r="J73" i="113"/>
  <c r="J75" i="113"/>
  <c r="J13" i="114"/>
  <c r="J28" i="114"/>
  <c r="J30" i="114"/>
  <c r="J32" i="114"/>
  <c r="J34" i="114"/>
  <c r="J36" i="114"/>
  <c r="J38" i="114"/>
  <c r="J40" i="114"/>
  <c r="J42" i="114"/>
  <c r="J46" i="114"/>
  <c r="J48" i="114"/>
  <c r="J50" i="114"/>
  <c r="J52" i="114"/>
  <c r="J54" i="114"/>
  <c r="J56" i="114"/>
  <c r="J58" i="114"/>
  <c r="J60" i="114"/>
  <c r="J62" i="114"/>
  <c r="J64" i="114"/>
  <c r="J66" i="114"/>
  <c r="J68" i="114"/>
  <c r="J70" i="114"/>
  <c r="J8" i="115"/>
  <c r="J16" i="115"/>
  <c r="J24" i="115"/>
  <c r="J32" i="115"/>
  <c r="J40" i="115"/>
  <c r="J56" i="115"/>
  <c r="J64" i="115"/>
  <c r="J62" i="113"/>
  <c r="J8" i="114"/>
  <c r="J10" i="114"/>
  <c r="J12" i="114"/>
  <c r="J14" i="114"/>
  <c r="J16" i="114"/>
  <c r="J18" i="114"/>
  <c r="J20" i="114"/>
  <c r="J22" i="114"/>
  <c r="J24" i="114"/>
  <c r="J26" i="114"/>
  <c r="J47" i="114"/>
  <c r="J74" i="114"/>
  <c r="J12" i="115"/>
  <c r="J20" i="115"/>
  <c r="J28" i="115"/>
  <c r="J36" i="115"/>
  <c r="J52" i="115"/>
  <c r="J60" i="115"/>
  <c r="J12" i="116"/>
  <c r="J16" i="116"/>
  <c r="J20" i="116"/>
  <c r="J22" i="116"/>
  <c r="J24" i="116"/>
  <c r="J28" i="116"/>
  <c r="J32" i="116"/>
  <c r="J34" i="116"/>
  <c r="J36" i="116"/>
  <c r="J38" i="116"/>
  <c r="J40" i="116"/>
  <c r="J44" i="116"/>
  <c r="J48" i="116"/>
  <c r="J52" i="116"/>
  <c r="J54" i="116"/>
  <c r="J56" i="116"/>
  <c r="J60" i="116"/>
  <c r="J64" i="116"/>
  <c r="J68" i="116"/>
  <c r="J70" i="116"/>
  <c r="J72" i="116"/>
  <c r="J8" i="117"/>
  <c r="J16" i="117"/>
  <c r="J18" i="117"/>
  <c r="J24" i="117"/>
  <c r="J28" i="117"/>
  <c r="J32" i="117"/>
  <c r="J34" i="117"/>
  <c r="J40" i="117"/>
  <c r="J56" i="117"/>
  <c r="J64" i="117"/>
  <c r="J72" i="117"/>
  <c r="J13" i="118"/>
  <c r="J61" i="118"/>
  <c r="J71" i="118"/>
  <c r="J9" i="119"/>
  <c r="J17" i="119"/>
  <c r="J19" i="119"/>
  <c r="J25" i="119"/>
  <c r="J33" i="119"/>
  <c r="J41" i="119"/>
  <c r="J49" i="119"/>
  <c r="J57" i="119"/>
  <c r="J65" i="119"/>
  <c r="J69" i="119"/>
  <c r="J73" i="119"/>
  <c r="J24" i="120"/>
  <c r="J40" i="120"/>
  <c r="K12" i="76"/>
  <c r="K16" i="76"/>
  <c r="K30" i="76"/>
  <c r="K56" i="76"/>
  <c r="K58" i="76"/>
  <c r="K65" i="76"/>
  <c r="K69" i="76"/>
  <c r="K71" i="76"/>
  <c r="K73" i="76"/>
  <c r="K8" i="80"/>
  <c r="K12" i="80"/>
  <c r="K16" i="80"/>
  <c r="K20" i="80"/>
  <c r="K24" i="80"/>
  <c r="K28" i="80"/>
  <c r="K32" i="80"/>
  <c r="K36" i="80"/>
  <c r="K40" i="80"/>
  <c r="K44" i="80"/>
  <c r="K48" i="80"/>
  <c r="K52" i="80"/>
  <c r="J9" i="115"/>
  <c r="J69" i="115"/>
  <c r="J27" i="116"/>
  <c r="J51" i="116"/>
  <c r="J71" i="116"/>
  <c r="J11" i="117"/>
  <c r="J13" i="117"/>
  <c r="J15" i="117"/>
  <c r="J17" i="117"/>
  <c r="J19" i="117"/>
  <c r="J23" i="117"/>
  <c r="J27" i="117"/>
  <c r="J31" i="117"/>
  <c r="J35" i="117"/>
  <c r="J39" i="117"/>
  <c r="J43" i="117"/>
  <c r="J47" i="117"/>
  <c r="J51" i="117"/>
  <c r="J55" i="117"/>
  <c r="J59" i="117"/>
  <c r="J63" i="117"/>
  <c r="J65" i="117"/>
  <c r="J67" i="117"/>
  <c r="J71" i="117"/>
  <c r="J75" i="117"/>
  <c r="J10" i="118"/>
  <c r="J12" i="118"/>
  <c r="J14" i="118"/>
  <c r="J18" i="118"/>
  <c r="J22" i="118"/>
  <c r="J26" i="118"/>
  <c r="J30" i="118"/>
  <c r="J34" i="118"/>
  <c r="J38" i="118"/>
  <c r="J40" i="118"/>
  <c r="J42" i="118"/>
  <c r="J46" i="118"/>
  <c r="J50" i="118"/>
  <c r="J54" i="118"/>
  <c r="J58" i="118"/>
  <c r="J62" i="118"/>
  <c r="J66" i="118"/>
  <c r="J70" i="118"/>
  <c r="J72" i="118"/>
  <c r="J74" i="118"/>
  <c r="J64" i="119"/>
  <c r="J70" i="119"/>
  <c r="J33" i="120"/>
  <c r="J73" i="120"/>
  <c r="K7" i="76"/>
  <c r="K9" i="76"/>
  <c r="K13" i="76"/>
  <c r="K17" i="76"/>
  <c r="K21" i="76"/>
  <c r="K23" i="76"/>
  <c r="K25" i="76"/>
  <c r="K29" i="76"/>
  <c r="K33" i="76"/>
  <c r="K37" i="76"/>
  <c r="K41" i="76"/>
  <c r="K45" i="76"/>
  <c r="K49" i="76"/>
  <c r="K53" i="76"/>
  <c r="K55" i="76"/>
  <c r="K57" i="76"/>
  <c r="K61" i="76"/>
  <c r="K68" i="76"/>
  <c r="K11" i="80"/>
  <c r="K39" i="80"/>
  <c r="K43" i="80"/>
  <c r="J72" i="114"/>
  <c r="J76" i="114"/>
  <c r="J10" i="115"/>
  <c r="J14" i="115"/>
  <c r="J18" i="115"/>
  <c r="J22" i="115"/>
  <c r="J26" i="115"/>
  <c r="J30" i="115"/>
  <c r="J34" i="115"/>
  <c r="J38" i="115"/>
  <c r="J46" i="115"/>
  <c r="J50" i="115"/>
  <c r="J58" i="115"/>
  <c r="K61" i="80"/>
  <c r="K69" i="80"/>
  <c r="K59" i="80"/>
  <c r="K65" i="80"/>
  <c r="K73" i="80"/>
  <c r="K56" i="80"/>
  <c r="K60" i="80"/>
  <c r="K63" i="80"/>
  <c r="K64" i="80"/>
  <c r="K72" i="80"/>
  <c r="I33" i="118"/>
  <c r="K33" i="118" s="1"/>
  <c r="L33" i="118" s="1"/>
  <c r="I67" i="113"/>
  <c r="K67" i="113" s="1"/>
  <c r="L67" i="113" s="1"/>
  <c r="I63" i="113"/>
  <c r="I59" i="113"/>
  <c r="I47" i="113"/>
  <c r="I73" i="114"/>
  <c r="I45" i="114"/>
  <c r="K45" i="114" s="1"/>
  <c r="L45" i="114" s="1"/>
  <c r="I41" i="114"/>
  <c r="I21" i="114"/>
  <c r="K21" i="114" s="1"/>
  <c r="L21" i="114" s="1"/>
  <c r="I13" i="114"/>
  <c r="I73" i="115"/>
  <c r="K73" i="115" s="1"/>
  <c r="L73" i="115" s="1"/>
  <c r="I61" i="115"/>
  <c r="I49" i="115"/>
  <c r="K49" i="115" s="1"/>
  <c r="L49" i="115" s="1"/>
  <c r="I41" i="115"/>
  <c r="I74" i="116"/>
  <c r="K74" i="116" s="1"/>
  <c r="L74" i="116" s="1"/>
  <c r="I38" i="116"/>
  <c r="K38" i="116" s="1"/>
  <c r="L38" i="116" s="1"/>
  <c r="I30" i="116"/>
  <c r="I22" i="116"/>
  <c r="K22" i="116" s="1"/>
  <c r="L22" i="116" s="1"/>
  <c r="I45" i="117"/>
  <c r="I37" i="117"/>
  <c r="I21" i="117"/>
  <c r="I55" i="118"/>
  <c r="K55" i="118" s="1"/>
  <c r="L55" i="118" s="1"/>
  <c r="I13" i="118"/>
  <c r="J66" i="76"/>
  <c r="J22" i="76"/>
  <c r="L22" i="76" s="1"/>
  <c r="M22" i="76" s="1"/>
  <c r="I37" i="113"/>
  <c r="I51" i="114"/>
  <c r="K51" i="114" s="1"/>
  <c r="L51" i="114" s="1"/>
  <c r="I31" i="114"/>
  <c r="K31" i="114" s="1"/>
  <c r="L31" i="114" s="1"/>
  <c r="I47" i="115"/>
  <c r="I7" i="115"/>
  <c r="I36" i="116"/>
  <c r="K36" i="116" s="1"/>
  <c r="L36" i="116" s="1"/>
  <c r="I28" i="116"/>
  <c r="I20" i="116"/>
  <c r="I8" i="116"/>
  <c r="I75" i="117"/>
  <c r="K75" i="117" s="1"/>
  <c r="L75" i="117" s="1"/>
  <c r="I43" i="118"/>
  <c r="J16" i="76"/>
  <c r="L16" i="76" s="1"/>
  <c r="M16" i="76" s="1"/>
  <c r="J61" i="80"/>
  <c r="J57" i="80"/>
  <c r="J45" i="80"/>
  <c r="J41" i="80"/>
  <c r="J33" i="80"/>
  <c r="L33" i="80" s="1"/>
  <c r="M33" i="80" s="1"/>
  <c r="J29" i="80"/>
  <c r="L29" i="80" s="1"/>
  <c r="M29" i="80" s="1"/>
  <c r="J21" i="80"/>
  <c r="J13" i="80"/>
  <c r="L13" i="80" s="1"/>
  <c r="M13" i="80" s="1"/>
  <c r="J27" i="80"/>
  <c r="L27" i="80" s="1"/>
  <c r="M27" i="80" s="1"/>
  <c r="I58" i="113"/>
  <c r="K58" i="113" s="1"/>
  <c r="L58" i="113" s="1"/>
  <c r="I42" i="113"/>
  <c r="I52" i="114"/>
  <c r="I32" i="114"/>
  <c r="K32" i="114" s="1"/>
  <c r="L32" i="114" s="1"/>
  <c r="I24" i="114"/>
  <c r="I40" i="115"/>
  <c r="I32" i="115"/>
  <c r="K32" i="115" s="1"/>
  <c r="L32" i="115" s="1"/>
  <c r="I24" i="115"/>
  <c r="I12" i="115"/>
  <c r="K12" i="115" s="1"/>
  <c r="L12" i="115" s="1"/>
  <c r="I8" i="115"/>
  <c r="I57" i="116"/>
  <c r="I49" i="116"/>
  <c r="K49" i="116" s="1"/>
  <c r="L49" i="116" s="1"/>
  <c r="I64" i="117"/>
  <c r="K64" i="117" s="1"/>
  <c r="L64" i="117" s="1"/>
  <c r="I44" i="117"/>
  <c r="I36" i="117"/>
  <c r="K36" i="117" s="1"/>
  <c r="L36" i="117" s="1"/>
  <c r="I20" i="117"/>
  <c r="I68" i="113"/>
  <c r="I52" i="113"/>
  <c r="K52" i="113" s="1"/>
  <c r="L52" i="113" s="1"/>
  <c r="I48" i="113"/>
  <c r="I32" i="113"/>
  <c r="I12" i="113"/>
  <c r="K12" i="113" s="1"/>
  <c r="L12" i="113" s="1"/>
  <c r="I46" i="114"/>
  <c r="K46" i="114" s="1"/>
  <c r="L46" i="114" s="1"/>
  <c r="I30" i="114"/>
  <c r="K30" i="114" s="1"/>
  <c r="L30" i="114" s="1"/>
  <c r="I14" i="114"/>
  <c r="I62" i="115"/>
  <c r="K62" i="115" s="1"/>
  <c r="L62" i="115" s="1"/>
  <c r="I30" i="115"/>
  <c r="I59" i="116"/>
  <c r="K59" i="116" s="1"/>
  <c r="L59" i="116" s="1"/>
  <c r="I15" i="116"/>
  <c r="I66" i="117"/>
  <c r="I58" i="117"/>
  <c r="I38" i="117"/>
  <c r="K38" i="117" s="1"/>
  <c r="L38" i="117" s="1"/>
  <c r="I10" i="117"/>
  <c r="K10" i="117" s="1"/>
  <c r="L10" i="117" s="1"/>
  <c r="I62" i="118"/>
  <c r="K62" i="118" s="1"/>
  <c r="L62" i="118" s="1"/>
  <c r="I42" i="118"/>
  <c r="I34" i="118"/>
  <c r="K34" i="118" s="1"/>
  <c r="L34" i="118" s="1"/>
  <c r="I26" i="118"/>
  <c r="K26" i="118" s="1"/>
  <c r="L26" i="118" s="1"/>
  <c r="I22" i="118"/>
  <c r="K22" i="118" s="1"/>
  <c r="L22" i="118" s="1"/>
  <c r="I14" i="118"/>
  <c r="I47" i="119"/>
  <c r="I43" i="119"/>
  <c r="I39" i="119"/>
  <c r="K39" i="119" s="1"/>
  <c r="L39" i="119" s="1"/>
  <c r="M39" i="119" s="1"/>
  <c r="N39" i="119" s="1"/>
  <c r="P39" i="119" s="1"/>
  <c r="I35" i="119"/>
  <c r="I31" i="119"/>
  <c r="I30" i="119"/>
  <c r="K30" i="119" s="1"/>
  <c r="L30" i="119" s="1"/>
  <c r="M30" i="119" s="1"/>
  <c r="N30" i="119" s="1"/>
  <c r="P30" i="119" s="1"/>
  <c r="I27" i="119"/>
  <c r="K27" i="119" s="1"/>
  <c r="L27" i="119" s="1"/>
  <c r="M27" i="119" s="1"/>
  <c r="N27" i="119" s="1"/>
  <c r="P27" i="119" s="1"/>
  <c r="I25" i="119"/>
  <c r="I23" i="119"/>
  <c r="K23" i="119" s="1"/>
  <c r="L23" i="119" s="1"/>
  <c r="M23" i="119" s="1"/>
  <c r="N23" i="119" s="1"/>
  <c r="P23" i="119" s="1"/>
  <c r="I20" i="119"/>
  <c r="I19" i="119"/>
  <c r="I15" i="119"/>
  <c r="I11" i="119"/>
  <c r="I7" i="119"/>
  <c r="I73" i="120"/>
  <c r="I69" i="120"/>
  <c r="I67" i="120"/>
  <c r="I65" i="120"/>
  <c r="I61" i="120"/>
  <c r="I57" i="120"/>
  <c r="K57" i="120" s="1"/>
  <c r="L57" i="120" s="1"/>
  <c r="M57" i="120" s="1"/>
  <c r="N57" i="120" s="1"/>
  <c r="P57" i="120" s="1"/>
  <c r="I53" i="120"/>
  <c r="I49" i="120"/>
  <c r="K49" i="120" s="1"/>
  <c r="L49" i="120" s="1"/>
  <c r="M49" i="120" s="1"/>
  <c r="N49" i="120" s="1"/>
  <c r="P49" i="120" s="1"/>
  <c r="I45" i="120"/>
  <c r="I41" i="120"/>
  <c r="K41" i="120" s="1"/>
  <c r="L41" i="120" s="1"/>
  <c r="M41" i="120" s="1"/>
  <c r="N41" i="120" s="1"/>
  <c r="P41" i="120" s="1"/>
  <c r="I37" i="120"/>
  <c r="I35" i="120"/>
  <c r="I33" i="120"/>
  <c r="I29" i="120"/>
  <c r="I25" i="120"/>
  <c r="K25" i="120" s="1"/>
  <c r="L25" i="120" s="1"/>
  <c r="M25" i="120" s="1"/>
  <c r="N25" i="120" s="1"/>
  <c r="P25" i="120" s="1"/>
  <c r="I21" i="120"/>
  <c r="K21" i="120" s="1"/>
  <c r="L21" i="120" s="1"/>
  <c r="M21" i="120" s="1"/>
  <c r="N21" i="120" s="1"/>
  <c r="P21" i="120" s="1"/>
  <c r="I17" i="120"/>
  <c r="I13" i="120"/>
  <c r="I9" i="120"/>
  <c r="K9" i="120" s="1"/>
  <c r="L9" i="120" s="1"/>
  <c r="M9" i="120" s="1"/>
  <c r="N9" i="120" s="1"/>
  <c r="P9" i="120" s="1"/>
  <c r="J45" i="76"/>
  <c r="L45" i="76" s="1"/>
  <c r="M45" i="76" s="1"/>
  <c r="J41" i="76"/>
  <c r="L41" i="76" s="1"/>
  <c r="M41" i="76" s="1"/>
  <c r="J17" i="76"/>
  <c r="L17" i="76" s="1"/>
  <c r="M17" i="76" s="1"/>
  <c r="I64" i="118"/>
  <c r="I40" i="118"/>
  <c r="K40" i="118" s="1"/>
  <c r="L40" i="118" s="1"/>
  <c r="I28" i="118"/>
  <c r="K28" i="118" s="1"/>
  <c r="L28" i="118" s="1"/>
  <c r="I16" i="118"/>
  <c r="K16" i="118" s="1"/>
  <c r="L16" i="118" s="1"/>
  <c r="I12" i="118"/>
  <c r="I74" i="119"/>
  <c r="K74" i="119" s="1"/>
  <c r="L74" i="119" s="1"/>
  <c r="M74" i="119" s="1"/>
  <c r="N74" i="119" s="1"/>
  <c r="P74" i="119" s="1"/>
  <c r="I70" i="119"/>
  <c r="I66" i="119"/>
  <c r="I60" i="119"/>
  <c r="K60" i="119" s="1"/>
  <c r="L60" i="119" s="1"/>
  <c r="M60" i="119" s="1"/>
  <c r="N60" i="119" s="1"/>
  <c r="P60" i="119" s="1"/>
  <c r="I59" i="119"/>
  <c r="I54" i="119"/>
  <c r="I51" i="119"/>
  <c r="J71" i="76"/>
  <c r="J55" i="76"/>
  <c r="J15" i="76"/>
  <c r="J11" i="76"/>
  <c r="L11" i="76" s="1"/>
  <c r="M11" i="76" s="1"/>
  <c r="J70" i="80"/>
  <c r="J62" i="80"/>
  <c r="L62" i="80" s="1"/>
  <c r="M62" i="80" s="1"/>
  <c r="J42" i="80"/>
  <c r="J38" i="80"/>
  <c r="J30" i="80"/>
  <c r="J14" i="80"/>
  <c r="L38" i="80" l="1"/>
  <c r="M38" i="80" s="1"/>
  <c r="K8" i="115"/>
  <c r="L8" i="115" s="1"/>
  <c r="M8" i="115" s="1"/>
  <c r="N8" i="115" s="1"/>
  <c r="P8" i="115" s="1"/>
  <c r="L45" i="80"/>
  <c r="M45" i="80" s="1"/>
  <c r="L23" i="80"/>
  <c r="M23" i="80" s="1"/>
  <c r="T25" i="33" s="1"/>
  <c r="K53" i="118"/>
  <c r="L53" i="118" s="1"/>
  <c r="K23" i="116"/>
  <c r="L23" i="116" s="1"/>
  <c r="P23" i="33" s="1"/>
  <c r="K8" i="113"/>
  <c r="L8" i="113" s="1"/>
  <c r="L19" i="80"/>
  <c r="M19" i="80" s="1"/>
  <c r="T21" i="33" s="1"/>
  <c r="L20" i="76"/>
  <c r="M20" i="76" s="1"/>
  <c r="K38" i="113"/>
  <c r="L38" i="113" s="1"/>
  <c r="M38" i="33" s="1"/>
  <c r="K37" i="118"/>
  <c r="L37" i="118" s="1"/>
  <c r="K44" i="117"/>
  <c r="L44" i="117" s="1"/>
  <c r="Q44" i="33" s="1"/>
  <c r="K70" i="117"/>
  <c r="L70" i="117" s="1"/>
  <c r="L56" i="80"/>
  <c r="M56" i="80" s="1"/>
  <c r="T58" i="33" s="1"/>
  <c r="L50" i="80"/>
  <c r="M50" i="80" s="1"/>
  <c r="K75" i="120"/>
  <c r="L75" i="120" s="1"/>
  <c r="M75" i="120" s="1"/>
  <c r="N75" i="120" s="1"/>
  <c r="P75" i="120" s="1"/>
  <c r="R75" i="120" s="1"/>
  <c r="K43" i="120"/>
  <c r="L43" i="120" s="1"/>
  <c r="M43" i="120" s="1"/>
  <c r="N43" i="120" s="1"/>
  <c r="P43" i="120" s="1"/>
  <c r="K59" i="120"/>
  <c r="L59" i="120" s="1"/>
  <c r="M59" i="120" s="1"/>
  <c r="N59" i="120" s="1"/>
  <c r="P59" i="120" s="1"/>
  <c r="R59" i="120" s="1"/>
  <c r="K59" i="119"/>
  <c r="L59" i="119" s="1"/>
  <c r="M59" i="119" s="1"/>
  <c r="N59" i="119" s="1"/>
  <c r="P59" i="119" s="1"/>
  <c r="K25" i="119"/>
  <c r="L25" i="119" s="1"/>
  <c r="M25" i="119" s="1"/>
  <c r="N25" i="119" s="1"/>
  <c r="P25" i="119" s="1"/>
  <c r="R25" i="119" s="1"/>
  <c r="K43" i="119"/>
  <c r="L43" i="119" s="1"/>
  <c r="M43" i="119" s="1"/>
  <c r="N43" i="119" s="1"/>
  <c r="P43" i="119" s="1"/>
  <c r="K58" i="119"/>
  <c r="L58" i="119" s="1"/>
  <c r="M58" i="119" s="1"/>
  <c r="N58" i="119" s="1"/>
  <c r="P58" i="119" s="1"/>
  <c r="R58" i="119" s="1"/>
  <c r="K64" i="119"/>
  <c r="L64" i="119" s="1"/>
  <c r="M64" i="119" s="1"/>
  <c r="N64" i="119" s="1"/>
  <c r="P64" i="119" s="1"/>
  <c r="K23" i="118"/>
  <c r="L23" i="118" s="1"/>
  <c r="R23" i="33" s="1"/>
  <c r="K41" i="117"/>
  <c r="L41" i="117" s="1"/>
  <c r="K16" i="117"/>
  <c r="L16" i="117" s="1"/>
  <c r="Q16" i="33" s="1"/>
  <c r="K70" i="116"/>
  <c r="L70" i="116" s="1"/>
  <c r="K47" i="116"/>
  <c r="L47" i="116" s="1"/>
  <c r="P47" i="33" s="1"/>
  <c r="K52" i="116"/>
  <c r="L52" i="116" s="1"/>
  <c r="K10" i="115"/>
  <c r="L10" i="115" s="1"/>
  <c r="O10" i="33" s="1"/>
  <c r="K72" i="114"/>
  <c r="L72" i="114" s="1"/>
  <c r="K51" i="113"/>
  <c r="L51" i="113" s="1"/>
  <c r="M51" i="33" s="1"/>
  <c r="K72" i="113"/>
  <c r="L72" i="113" s="1"/>
  <c r="K41" i="114"/>
  <c r="L41" i="114" s="1"/>
  <c r="M41" i="114" s="1"/>
  <c r="N41" i="114" s="1"/>
  <c r="P41" i="114" s="1"/>
  <c r="K75" i="114"/>
  <c r="L75" i="114" s="1"/>
  <c r="N75" i="33" s="1"/>
  <c r="K24" i="114"/>
  <c r="L24" i="114" s="1"/>
  <c r="N24" i="33" s="1"/>
  <c r="K36" i="114"/>
  <c r="L36" i="114" s="1"/>
  <c r="N36" i="33" s="1"/>
  <c r="K73" i="114"/>
  <c r="L73" i="114" s="1"/>
  <c r="N73" i="33" s="1"/>
  <c r="K39" i="114"/>
  <c r="L39" i="114" s="1"/>
  <c r="N39" i="33" s="1"/>
  <c r="K47" i="113"/>
  <c r="L47" i="113" s="1"/>
  <c r="M47" i="113" s="1"/>
  <c r="N47" i="113" s="1"/>
  <c r="P47" i="113" s="1"/>
  <c r="K65" i="113"/>
  <c r="L65" i="113" s="1"/>
  <c r="K22" i="113"/>
  <c r="L22" i="113" s="1"/>
  <c r="M22" i="33" s="1"/>
  <c r="K62" i="31"/>
  <c r="L62" i="31" s="1"/>
  <c r="N62" i="31" s="1"/>
  <c r="K72" i="116"/>
  <c r="L72" i="116" s="1"/>
  <c r="P72" i="33" s="1"/>
  <c r="L67" i="76"/>
  <c r="M67" i="76" s="1"/>
  <c r="S69" i="33" s="1"/>
  <c r="K52" i="119"/>
  <c r="L52" i="119" s="1"/>
  <c r="M52" i="119" s="1"/>
  <c r="N52" i="119" s="1"/>
  <c r="P52" i="119" s="1"/>
  <c r="R52" i="119" s="1"/>
  <c r="L14" i="80"/>
  <c r="M14" i="80" s="1"/>
  <c r="T16" i="33" s="1"/>
  <c r="L55" i="76"/>
  <c r="M55" i="76" s="1"/>
  <c r="N55" i="76" s="1"/>
  <c r="O55" i="76" s="1"/>
  <c r="Q55" i="76" s="1"/>
  <c r="K20" i="119"/>
  <c r="L20" i="119" s="1"/>
  <c r="M20" i="119" s="1"/>
  <c r="N20" i="119" s="1"/>
  <c r="P20" i="119" s="1"/>
  <c r="K32" i="113"/>
  <c r="L32" i="113" s="1"/>
  <c r="M32" i="113" s="1"/>
  <c r="N32" i="113" s="1"/>
  <c r="P32" i="113" s="1"/>
  <c r="L16" i="80"/>
  <c r="M16" i="80" s="1"/>
  <c r="T18" i="33" s="1"/>
  <c r="K16" i="115"/>
  <c r="L16" i="115" s="1"/>
  <c r="O16" i="33" s="1"/>
  <c r="L35" i="76"/>
  <c r="M35" i="76" s="1"/>
  <c r="N35" i="76" s="1"/>
  <c r="O35" i="76" s="1"/>
  <c r="Q35" i="76" s="1"/>
  <c r="K34" i="114"/>
  <c r="L34" i="114" s="1"/>
  <c r="M34" i="114" s="1"/>
  <c r="N34" i="114" s="1"/>
  <c r="P34" i="114" s="1"/>
  <c r="L30" i="80"/>
  <c r="M30" i="80" s="1"/>
  <c r="T32" i="33" s="1"/>
  <c r="L71" i="76"/>
  <c r="M71" i="76" s="1"/>
  <c r="S73" i="33" s="1"/>
  <c r="K12" i="118"/>
  <c r="L12" i="118" s="1"/>
  <c r="M12" i="118" s="1"/>
  <c r="N12" i="118" s="1"/>
  <c r="P12" i="118" s="1"/>
  <c r="K37" i="120"/>
  <c r="L37" i="120" s="1"/>
  <c r="M37" i="120" s="1"/>
  <c r="N37" i="120" s="1"/>
  <c r="P37" i="120" s="1"/>
  <c r="R37" i="120" s="1"/>
  <c r="K53" i="120"/>
  <c r="L53" i="120" s="1"/>
  <c r="M53" i="120" s="1"/>
  <c r="N53" i="120" s="1"/>
  <c r="P53" i="120" s="1"/>
  <c r="R53" i="120" s="1"/>
  <c r="K11" i="119"/>
  <c r="L11" i="119" s="1"/>
  <c r="M11" i="119" s="1"/>
  <c r="N11" i="119" s="1"/>
  <c r="P11" i="119" s="1"/>
  <c r="R11" i="119" s="1"/>
  <c r="K48" i="113"/>
  <c r="L48" i="113" s="1"/>
  <c r="M48" i="33" s="1"/>
  <c r="K21" i="117"/>
  <c r="L21" i="117" s="1"/>
  <c r="M21" i="117" s="1"/>
  <c r="N21" i="117" s="1"/>
  <c r="P21" i="117" s="1"/>
  <c r="U21" i="117" s="1"/>
  <c r="L47" i="76"/>
  <c r="M47" i="76" s="1"/>
  <c r="S49" i="33" s="1"/>
  <c r="L70" i="76"/>
  <c r="M70" i="76" s="1"/>
  <c r="S72" i="33" s="1"/>
  <c r="K57" i="118"/>
  <c r="L57" i="118" s="1"/>
  <c r="R57" i="33" s="1"/>
  <c r="K15" i="117"/>
  <c r="L15" i="117" s="1"/>
  <c r="M15" i="117" s="1"/>
  <c r="N15" i="117" s="1"/>
  <c r="P15" i="117" s="1"/>
  <c r="U15" i="117" s="1"/>
  <c r="K24" i="116"/>
  <c r="L24" i="116" s="1"/>
  <c r="M24" i="116" s="1"/>
  <c r="N24" i="116" s="1"/>
  <c r="P24" i="116" s="1"/>
  <c r="K49" i="114"/>
  <c r="L49" i="114" s="1"/>
  <c r="N49" i="33" s="1"/>
  <c r="K9" i="113"/>
  <c r="L9" i="113" s="1"/>
  <c r="M9" i="113" s="1"/>
  <c r="N9" i="113" s="1"/>
  <c r="P9" i="113" s="1"/>
  <c r="K64" i="115"/>
  <c r="L64" i="115" s="1"/>
  <c r="M64" i="115" s="1"/>
  <c r="N64" i="115" s="1"/>
  <c r="P64" i="115" s="1"/>
  <c r="K20" i="120"/>
  <c r="L20" i="120" s="1"/>
  <c r="M20" i="120" s="1"/>
  <c r="N20" i="120" s="1"/>
  <c r="P20" i="120" s="1"/>
  <c r="R20" i="120" s="1"/>
  <c r="K36" i="120"/>
  <c r="L36" i="120" s="1"/>
  <c r="M36" i="120" s="1"/>
  <c r="N36" i="120" s="1"/>
  <c r="P36" i="120" s="1"/>
  <c r="K52" i="120"/>
  <c r="L52" i="120" s="1"/>
  <c r="M52" i="120" s="1"/>
  <c r="N52" i="120" s="1"/>
  <c r="P52" i="120" s="1"/>
  <c r="K68" i="120"/>
  <c r="L68" i="120" s="1"/>
  <c r="M68" i="120" s="1"/>
  <c r="N68" i="120" s="1"/>
  <c r="P68" i="120" s="1"/>
  <c r="R68" i="120" s="1"/>
  <c r="K16" i="116"/>
  <c r="L16" i="116" s="1"/>
  <c r="M16" i="116" s="1"/>
  <c r="N16" i="116" s="1"/>
  <c r="P16" i="116" s="1"/>
  <c r="K43" i="114"/>
  <c r="L43" i="114" s="1"/>
  <c r="N43" i="33" s="1"/>
  <c r="L43" i="76"/>
  <c r="M43" i="76" s="1"/>
  <c r="N43" i="76" s="1"/>
  <c r="O43" i="76" s="1"/>
  <c r="Q43" i="76" s="1"/>
  <c r="K14" i="120"/>
  <c r="L14" i="120" s="1"/>
  <c r="M14" i="120" s="1"/>
  <c r="N14" i="120" s="1"/>
  <c r="P14" i="120" s="1"/>
  <c r="R14" i="120" s="1"/>
  <c r="K30" i="120"/>
  <c r="L30" i="120" s="1"/>
  <c r="M30" i="120" s="1"/>
  <c r="N30" i="120" s="1"/>
  <c r="P30" i="120" s="1"/>
  <c r="R30" i="120" s="1"/>
  <c r="K46" i="120"/>
  <c r="L46" i="120" s="1"/>
  <c r="M46" i="120" s="1"/>
  <c r="N46" i="120" s="1"/>
  <c r="P46" i="120" s="1"/>
  <c r="K62" i="120"/>
  <c r="L62" i="120" s="1"/>
  <c r="M62" i="120" s="1"/>
  <c r="N62" i="120" s="1"/>
  <c r="P62" i="120" s="1"/>
  <c r="K46" i="116"/>
  <c r="L46" i="116" s="1"/>
  <c r="M46" i="116" s="1"/>
  <c r="N46" i="116" s="1"/>
  <c r="P46" i="116" s="1"/>
  <c r="K39" i="113"/>
  <c r="L39" i="113" s="1"/>
  <c r="M39" i="33" s="1"/>
  <c r="L65" i="80"/>
  <c r="M65" i="80" s="1"/>
  <c r="T67" i="33" s="1"/>
  <c r="K11" i="120"/>
  <c r="L11" i="120" s="1"/>
  <c r="M11" i="120" s="1"/>
  <c r="N11" i="120" s="1"/>
  <c r="P11" i="120" s="1"/>
  <c r="K27" i="120"/>
  <c r="L27" i="120" s="1"/>
  <c r="M27" i="120" s="1"/>
  <c r="N27" i="120" s="1"/>
  <c r="P27" i="120" s="1"/>
  <c r="R27" i="120" s="1"/>
  <c r="K16" i="114"/>
  <c r="L16" i="114" s="1"/>
  <c r="N16" i="33" s="1"/>
  <c r="K23" i="113"/>
  <c r="L23" i="113" s="1"/>
  <c r="M23" i="113" s="1"/>
  <c r="N23" i="113" s="1"/>
  <c r="P23" i="113" s="1"/>
  <c r="K62" i="113"/>
  <c r="L62" i="113" s="1"/>
  <c r="M62" i="113" s="1"/>
  <c r="N62" i="113" s="1"/>
  <c r="P62" i="113" s="1"/>
  <c r="K44" i="31"/>
  <c r="L44" i="31" s="1"/>
  <c r="N44" i="31" s="1"/>
  <c r="K66" i="115"/>
  <c r="L66" i="115" s="1"/>
  <c r="O66" i="33" s="1"/>
  <c r="L69" i="80"/>
  <c r="M69" i="80" s="1"/>
  <c r="T71" i="33" s="1"/>
  <c r="K46" i="119"/>
  <c r="L46" i="119" s="1"/>
  <c r="M46" i="119" s="1"/>
  <c r="N46" i="119" s="1"/>
  <c r="P46" i="119" s="1"/>
  <c r="R46" i="119" s="1"/>
  <c r="K68" i="119"/>
  <c r="L68" i="119" s="1"/>
  <c r="M68" i="119" s="1"/>
  <c r="N68" i="119" s="1"/>
  <c r="P68" i="119" s="1"/>
  <c r="K65" i="118"/>
  <c r="L65" i="118" s="1"/>
  <c r="R65" i="33" s="1"/>
  <c r="K29" i="119"/>
  <c r="L29" i="119" s="1"/>
  <c r="M29" i="119" s="1"/>
  <c r="N29" i="119" s="1"/>
  <c r="P29" i="119" s="1"/>
  <c r="K62" i="114"/>
  <c r="L62" i="114" s="1"/>
  <c r="K60" i="116"/>
  <c r="L60" i="116" s="1"/>
  <c r="P60" i="33" s="1"/>
  <c r="K36" i="119"/>
  <c r="L36" i="119" s="1"/>
  <c r="M36" i="119" s="1"/>
  <c r="N36" i="119" s="1"/>
  <c r="P36" i="119" s="1"/>
  <c r="K15" i="116"/>
  <c r="L15" i="116" s="1"/>
  <c r="M15" i="116" s="1"/>
  <c r="N15" i="116" s="1"/>
  <c r="P15" i="116" s="1"/>
  <c r="K24" i="115"/>
  <c r="L24" i="115" s="1"/>
  <c r="M24" i="115" s="1"/>
  <c r="N24" i="115" s="1"/>
  <c r="P24" i="115" s="1"/>
  <c r="L61" i="80"/>
  <c r="M61" i="80" s="1"/>
  <c r="T63" i="33" s="1"/>
  <c r="K44" i="114"/>
  <c r="L44" i="114" s="1"/>
  <c r="M44" i="114" s="1"/>
  <c r="N44" i="114" s="1"/>
  <c r="P44" i="114" s="1"/>
  <c r="K60" i="115"/>
  <c r="L60" i="115" s="1"/>
  <c r="O60" i="33" s="1"/>
  <c r="K66" i="113"/>
  <c r="L66" i="113" s="1"/>
  <c r="M66" i="33" s="1"/>
  <c r="K41" i="119"/>
  <c r="L41" i="119" s="1"/>
  <c r="M41" i="119" s="1"/>
  <c r="N41" i="119" s="1"/>
  <c r="P41" i="119" s="1"/>
  <c r="R41" i="119" s="1"/>
  <c r="K69" i="120"/>
  <c r="L69" i="120" s="1"/>
  <c r="M69" i="120" s="1"/>
  <c r="N69" i="120" s="1"/>
  <c r="P69" i="120" s="1"/>
  <c r="R69" i="120" s="1"/>
  <c r="K15" i="119"/>
  <c r="L15" i="119" s="1"/>
  <c r="M15" i="119" s="1"/>
  <c r="N15" i="119" s="1"/>
  <c r="P15" i="119" s="1"/>
  <c r="K35" i="119"/>
  <c r="L35" i="119" s="1"/>
  <c r="M35" i="119" s="1"/>
  <c r="N35" i="119" s="1"/>
  <c r="P35" i="119" s="1"/>
  <c r="K42" i="118"/>
  <c r="L42" i="118" s="1"/>
  <c r="R42" i="33" s="1"/>
  <c r="K58" i="117"/>
  <c r="L58" i="117" s="1"/>
  <c r="M58" i="117" s="1"/>
  <c r="N58" i="117" s="1"/>
  <c r="P58" i="117" s="1"/>
  <c r="U58" i="117" s="1"/>
  <c r="K42" i="113"/>
  <c r="L42" i="113" s="1"/>
  <c r="M42" i="113" s="1"/>
  <c r="N42" i="113" s="1"/>
  <c r="P42" i="113" s="1"/>
  <c r="L66" i="76"/>
  <c r="M66" i="76" s="1"/>
  <c r="S68" i="33" s="1"/>
  <c r="K37" i="117"/>
  <c r="L37" i="117" s="1"/>
  <c r="Q37" i="33" s="1"/>
  <c r="K59" i="113"/>
  <c r="L59" i="113" s="1"/>
  <c r="M59" i="33" s="1"/>
  <c r="K25" i="117"/>
  <c r="L25" i="117" s="1"/>
  <c r="M25" i="117" s="1"/>
  <c r="N25" i="117" s="1"/>
  <c r="P25" i="117" s="1"/>
  <c r="U25" i="117" s="1"/>
  <c r="K19" i="113"/>
  <c r="L19" i="113" s="1"/>
  <c r="M19" i="113" s="1"/>
  <c r="N19" i="113" s="1"/>
  <c r="P19" i="113" s="1"/>
  <c r="L23" i="76"/>
  <c r="M23" i="76" s="1"/>
  <c r="S25" i="33" s="1"/>
  <c r="K8" i="120"/>
  <c r="L8" i="120" s="1"/>
  <c r="M8" i="120" s="1"/>
  <c r="N8" i="120" s="1"/>
  <c r="P8" i="120" s="1"/>
  <c r="K40" i="120"/>
  <c r="L40" i="120" s="1"/>
  <c r="M40" i="120" s="1"/>
  <c r="N40" i="120" s="1"/>
  <c r="P40" i="120" s="1"/>
  <c r="K56" i="120"/>
  <c r="L56" i="120" s="1"/>
  <c r="M56" i="120" s="1"/>
  <c r="N56" i="120" s="1"/>
  <c r="P56" i="120" s="1"/>
  <c r="K72" i="120"/>
  <c r="L72" i="120" s="1"/>
  <c r="M72" i="120" s="1"/>
  <c r="N72" i="120" s="1"/>
  <c r="P72" i="120" s="1"/>
  <c r="K71" i="113"/>
  <c r="L71" i="113" s="1"/>
  <c r="M71" i="113" s="1"/>
  <c r="N71" i="113" s="1"/>
  <c r="P71" i="113" s="1"/>
  <c r="L42" i="76"/>
  <c r="M42" i="76" s="1"/>
  <c r="N42" i="76" s="1"/>
  <c r="O42" i="76" s="1"/>
  <c r="Q42" i="76" s="1"/>
  <c r="K61" i="117"/>
  <c r="L61" i="117" s="1"/>
  <c r="M61" i="117" s="1"/>
  <c r="N61" i="117" s="1"/>
  <c r="P61" i="117" s="1"/>
  <c r="U61" i="117" s="1"/>
  <c r="K69" i="117"/>
  <c r="L69" i="117" s="1"/>
  <c r="Q69" i="33" s="1"/>
  <c r="K39" i="115"/>
  <c r="L39" i="115" s="1"/>
  <c r="O39" i="33" s="1"/>
  <c r="K29" i="114"/>
  <c r="L29" i="114" s="1"/>
  <c r="N29" i="33" s="1"/>
  <c r="L73" i="80"/>
  <c r="M73" i="80" s="1"/>
  <c r="N73" i="80" s="1"/>
  <c r="O73" i="80" s="1"/>
  <c r="Q73" i="80" s="1"/>
  <c r="K70" i="114"/>
  <c r="L70" i="114" s="1"/>
  <c r="N70" i="33" s="1"/>
  <c r="K20" i="31"/>
  <c r="L20" i="31" s="1"/>
  <c r="N20" i="31" s="1"/>
  <c r="K18" i="115"/>
  <c r="L18" i="115" s="1"/>
  <c r="M18" i="115" s="1"/>
  <c r="N18" i="115" s="1"/>
  <c r="P18" i="115" s="1"/>
  <c r="K27" i="116"/>
  <c r="L27" i="116" s="1"/>
  <c r="P27" i="33" s="1"/>
  <c r="K14" i="119"/>
  <c r="L14" i="119" s="1"/>
  <c r="M14" i="119" s="1"/>
  <c r="N14" i="119" s="1"/>
  <c r="P14" i="119" s="1"/>
  <c r="R14" i="119" s="1"/>
  <c r="K68" i="31"/>
  <c r="L68" i="31" s="1"/>
  <c r="N68" i="31" s="1"/>
  <c r="R55" i="119"/>
  <c r="R43" i="120"/>
  <c r="M51" i="113"/>
  <c r="N51" i="113" s="1"/>
  <c r="P51" i="113" s="1"/>
  <c r="M54" i="117"/>
  <c r="N54" i="117" s="1"/>
  <c r="P54" i="117" s="1"/>
  <c r="U54" i="117" s="1"/>
  <c r="Q54" i="33"/>
  <c r="M36" i="114"/>
  <c r="N36" i="114" s="1"/>
  <c r="P36" i="114" s="1"/>
  <c r="N69" i="80"/>
  <c r="O69" i="80" s="1"/>
  <c r="Q69" i="80" s="1"/>
  <c r="M52" i="116"/>
  <c r="N52" i="116" s="1"/>
  <c r="P52" i="116" s="1"/>
  <c r="P52" i="33"/>
  <c r="I21" i="113"/>
  <c r="K21" i="113" s="1"/>
  <c r="L21" i="113" s="1"/>
  <c r="M47" i="116"/>
  <c r="N47" i="116" s="1"/>
  <c r="P47" i="116" s="1"/>
  <c r="T40" i="33"/>
  <c r="N38" i="80"/>
  <c r="O38" i="80" s="1"/>
  <c r="Q38" i="80" s="1"/>
  <c r="R60" i="119"/>
  <c r="K64" i="118"/>
  <c r="L64" i="118" s="1"/>
  <c r="R21" i="120"/>
  <c r="R49" i="120"/>
  <c r="R30" i="119"/>
  <c r="R26" i="33"/>
  <c r="M26" i="118"/>
  <c r="N26" i="118" s="1"/>
  <c r="P26" i="118" s="1"/>
  <c r="N30" i="33"/>
  <c r="M30" i="114"/>
  <c r="N30" i="114" s="1"/>
  <c r="P30" i="114" s="1"/>
  <c r="O8" i="33"/>
  <c r="T35" i="33"/>
  <c r="N33" i="80"/>
  <c r="O33" i="80" s="1"/>
  <c r="Q33" i="80" s="1"/>
  <c r="N31" i="33"/>
  <c r="M31" i="114"/>
  <c r="N31" i="114" s="1"/>
  <c r="P31" i="114" s="1"/>
  <c r="R55" i="33"/>
  <c r="M55" i="118"/>
  <c r="N55" i="118" s="1"/>
  <c r="P55" i="118" s="1"/>
  <c r="O49" i="33"/>
  <c r="M49" i="115"/>
  <c r="N49" i="115" s="1"/>
  <c r="P49" i="115" s="1"/>
  <c r="M45" i="114"/>
  <c r="N45" i="114" s="1"/>
  <c r="P45" i="114" s="1"/>
  <c r="N45" i="33"/>
  <c r="P22" i="67"/>
  <c r="P38" i="67"/>
  <c r="P54" i="67"/>
  <c r="P62" i="67"/>
  <c r="J70" i="33"/>
  <c r="J54" i="33"/>
  <c r="J38" i="33"/>
  <c r="J22" i="33"/>
  <c r="J59" i="33"/>
  <c r="J43" i="33"/>
  <c r="L39" i="80"/>
  <c r="M39" i="80" s="1"/>
  <c r="N32" i="76"/>
  <c r="O32" i="76" s="1"/>
  <c r="Q32" i="76" s="1"/>
  <c r="S34" i="33"/>
  <c r="L56" i="76"/>
  <c r="M56" i="76" s="1"/>
  <c r="K61" i="116"/>
  <c r="L61" i="116" s="1"/>
  <c r="M8" i="33"/>
  <c r="M8" i="113"/>
  <c r="N8" i="113" s="1"/>
  <c r="P8" i="113" s="1"/>
  <c r="K12" i="114"/>
  <c r="L12" i="114" s="1"/>
  <c r="K28" i="114"/>
  <c r="L28" i="114" s="1"/>
  <c r="S22" i="33"/>
  <c r="N20" i="76"/>
  <c r="O20" i="76" s="1"/>
  <c r="Q20" i="76" s="1"/>
  <c r="M69" i="117"/>
  <c r="N69" i="117" s="1"/>
  <c r="P69" i="117" s="1"/>
  <c r="U69" i="117" s="1"/>
  <c r="K71" i="116"/>
  <c r="L71" i="116" s="1"/>
  <c r="J49" i="80"/>
  <c r="L49" i="80" s="1"/>
  <c r="M49" i="80" s="1"/>
  <c r="K68" i="116"/>
  <c r="L68" i="116" s="1"/>
  <c r="R75" i="119"/>
  <c r="L54" i="80"/>
  <c r="M54" i="80" s="1"/>
  <c r="I51" i="115"/>
  <c r="K51" i="115" s="1"/>
  <c r="L51" i="115" s="1"/>
  <c r="K9" i="119"/>
  <c r="L9" i="119" s="1"/>
  <c r="M9" i="119" s="1"/>
  <c r="N9" i="119" s="1"/>
  <c r="P9" i="119" s="1"/>
  <c r="N14" i="80"/>
  <c r="O14" i="80" s="1"/>
  <c r="Q14" i="80" s="1"/>
  <c r="K70" i="119"/>
  <c r="L70" i="119" s="1"/>
  <c r="M70" i="119" s="1"/>
  <c r="N70" i="119" s="1"/>
  <c r="P70" i="119" s="1"/>
  <c r="R9" i="120"/>
  <c r="R27" i="119"/>
  <c r="R62" i="33"/>
  <c r="M62" i="118"/>
  <c r="N62" i="118" s="1"/>
  <c r="P62" i="118" s="1"/>
  <c r="N46" i="33"/>
  <c r="M46" i="114"/>
  <c r="N46" i="114" s="1"/>
  <c r="P46" i="114" s="1"/>
  <c r="M44" i="117"/>
  <c r="N44" i="117" s="1"/>
  <c r="P44" i="117" s="1"/>
  <c r="U44" i="117" s="1"/>
  <c r="N32" i="33"/>
  <c r="M32" i="114"/>
  <c r="N32" i="114" s="1"/>
  <c r="P32" i="114" s="1"/>
  <c r="M58" i="113"/>
  <c r="N58" i="113" s="1"/>
  <c r="P58" i="113" s="1"/>
  <c r="M58" i="33"/>
  <c r="L41" i="80"/>
  <c r="M41" i="80" s="1"/>
  <c r="S24" i="33"/>
  <c r="N22" i="76"/>
  <c r="O22" i="76" s="1"/>
  <c r="Q22" i="76" s="1"/>
  <c r="P22" i="33"/>
  <c r="M22" i="116"/>
  <c r="N22" i="116" s="1"/>
  <c r="P22" i="116" s="1"/>
  <c r="K13" i="114"/>
  <c r="L13" i="114" s="1"/>
  <c r="M67" i="33"/>
  <c r="M67" i="113"/>
  <c r="N67" i="113" s="1"/>
  <c r="P67" i="113" s="1"/>
  <c r="J60" i="33"/>
  <c r="J44" i="33"/>
  <c r="J12" i="33"/>
  <c r="J65" i="33"/>
  <c r="J49" i="33"/>
  <c r="S20" i="33"/>
  <c r="N18" i="76"/>
  <c r="O18" i="76" s="1"/>
  <c r="Q18" i="76" s="1"/>
  <c r="L63" i="76"/>
  <c r="M63" i="76" s="1"/>
  <c r="R73" i="33"/>
  <c r="M73" i="118"/>
  <c r="N73" i="118" s="1"/>
  <c r="P73" i="118" s="1"/>
  <c r="M41" i="117"/>
  <c r="N41" i="117" s="1"/>
  <c r="P41" i="117" s="1"/>
  <c r="U41" i="117" s="1"/>
  <c r="Q41" i="33"/>
  <c r="K34" i="116"/>
  <c r="L34" i="116" s="1"/>
  <c r="K69" i="115"/>
  <c r="L69" i="115" s="1"/>
  <c r="M14" i="113"/>
  <c r="N14" i="113" s="1"/>
  <c r="P14" i="113" s="1"/>
  <c r="M14" i="33"/>
  <c r="L22" i="80"/>
  <c r="M22" i="80" s="1"/>
  <c r="R56" i="120"/>
  <c r="M69" i="118"/>
  <c r="N69" i="118" s="1"/>
  <c r="P69" i="118" s="1"/>
  <c r="R69" i="33"/>
  <c r="M10" i="115"/>
  <c r="N10" i="115" s="1"/>
  <c r="P10" i="115" s="1"/>
  <c r="K22" i="114"/>
  <c r="L22" i="114" s="1"/>
  <c r="M67" i="114"/>
  <c r="N67" i="114" s="1"/>
  <c r="P67" i="114" s="1"/>
  <c r="N67" i="33"/>
  <c r="L68" i="80"/>
  <c r="M68" i="80" s="1"/>
  <c r="S50" i="33"/>
  <c r="N48" i="76"/>
  <c r="O48" i="76" s="1"/>
  <c r="Q48" i="76" s="1"/>
  <c r="R18" i="120"/>
  <c r="R50" i="120"/>
  <c r="M62" i="117"/>
  <c r="N62" i="117" s="1"/>
  <c r="P62" i="117" s="1"/>
  <c r="U62" i="117" s="1"/>
  <c r="Q62" i="33"/>
  <c r="K73" i="116"/>
  <c r="L73" i="116" s="1"/>
  <c r="K45" i="113"/>
  <c r="L45" i="113" s="1"/>
  <c r="K15" i="120"/>
  <c r="L15" i="120" s="1"/>
  <c r="M15" i="120" s="1"/>
  <c r="N15" i="120" s="1"/>
  <c r="P15" i="120" s="1"/>
  <c r="K31" i="120"/>
  <c r="L31" i="120" s="1"/>
  <c r="M31" i="120" s="1"/>
  <c r="N31" i="120" s="1"/>
  <c r="P31" i="120" s="1"/>
  <c r="K63" i="120"/>
  <c r="L63" i="120" s="1"/>
  <c r="M63" i="120" s="1"/>
  <c r="N63" i="120" s="1"/>
  <c r="P63" i="120" s="1"/>
  <c r="R8" i="33"/>
  <c r="M8" i="118"/>
  <c r="N8" i="118" s="1"/>
  <c r="P8" i="118" s="1"/>
  <c r="K25" i="116"/>
  <c r="L25" i="116" s="1"/>
  <c r="K27" i="114"/>
  <c r="L27" i="114" s="1"/>
  <c r="K65" i="119"/>
  <c r="L65" i="119" s="1"/>
  <c r="M65" i="119" s="1"/>
  <c r="N65" i="119" s="1"/>
  <c r="P65" i="119" s="1"/>
  <c r="M65" i="33"/>
  <c r="M65" i="113"/>
  <c r="N65" i="113" s="1"/>
  <c r="P65" i="113" s="1"/>
  <c r="K8" i="119"/>
  <c r="L8" i="119" s="1"/>
  <c r="M8" i="119" s="1"/>
  <c r="N8" i="119" s="1"/>
  <c r="P8" i="119" s="1"/>
  <c r="K40" i="119"/>
  <c r="L40" i="119" s="1"/>
  <c r="M40" i="119" s="1"/>
  <c r="N40" i="119" s="1"/>
  <c r="P40" i="119" s="1"/>
  <c r="M27" i="116"/>
  <c r="N27" i="116" s="1"/>
  <c r="P27" i="116" s="1"/>
  <c r="L58" i="80"/>
  <c r="M58" i="80" s="1"/>
  <c r="K18" i="119"/>
  <c r="L18" i="119" s="1"/>
  <c r="M18" i="119" s="1"/>
  <c r="N18" i="119" s="1"/>
  <c r="P18" i="119" s="1"/>
  <c r="K50" i="119"/>
  <c r="L50" i="119" s="1"/>
  <c r="M50" i="119" s="1"/>
  <c r="N50" i="119" s="1"/>
  <c r="P50" i="119" s="1"/>
  <c r="K66" i="118"/>
  <c r="L66" i="118" s="1"/>
  <c r="K54" i="115"/>
  <c r="L54" i="115" s="1"/>
  <c r="L8" i="80"/>
  <c r="M8" i="80" s="1"/>
  <c r="K13" i="119"/>
  <c r="L13" i="119" s="1"/>
  <c r="M13" i="119" s="1"/>
  <c r="N13" i="119" s="1"/>
  <c r="P13" i="119" s="1"/>
  <c r="K45" i="119"/>
  <c r="L45" i="119" s="1"/>
  <c r="M45" i="119" s="1"/>
  <c r="N45" i="119" s="1"/>
  <c r="P45" i="119" s="1"/>
  <c r="N34" i="33"/>
  <c r="L70" i="80"/>
  <c r="M70" i="80" s="1"/>
  <c r="L15" i="76"/>
  <c r="M15" i="76" s="1"/>
  <c r="R59" i="119"/>
  <c r="R74" i="119"/>
  <c r="R12" i="33"/>
  <c r="M40" i="118"/>
  <c r="N40" i="118" s="1"/>
  <c r="P40" i="118" s="1"/>
  <c r="R40" i="33"/>
  <c r="S19" i="33"/>
  <c r="N17" i="76"/>
  <c r="O17" i="76" s="1"/>
  <c r="Q17" i="76" s="1"/>
  <c r="K13" i="120"/>
  <c r="L13" i="120" s="1"/>
  <c r="M13" i="120" s="1"/>
  <c r="N13" i="120" s="1"/>
  <c r="P13" i="120" s="1"/>
  <c r="K35" i="120"/>
  <c r="L35" i="120" s="1"/>
  <c r="M35" i="120" s="1"/>
  <c r="N35" i="120" s="1"/>
  <c r="P35" i="120" s="1"/>
  <c r="K45" i="120"/>
  <c r="L45" i="120" s="1"/>
  <c r="M45" i="120" s="1"/>
  <c r="N45" i="120" s="1"/>
  <c r="P45" i="120" s="1"/>
  <c r="R57" i="120"/>
  <c r="I76" i="119"/>
  <c r="R39" i="119"/>
  <c r="K47" i="119"/>
  <c r="L47" i="119" s="1"/>
  <c r="M47" i="119" s="1"/>
  <c r="N47" i="119" s="1"/>
  <c r="P47" i="119" s="1"/>
  <c r="M22" i="118"/>
  <c r="N22" i="118" s="1"/>
  <c r="P22" i="118" s="1"/>
  <c r="R22" i="33"/>
  <c r="R34" i="33"/>
  <c r="M34" i="118"/>
  <c r="N34" i="118" s="1"/>
  <c r="P34" i="118" s="1"/>
  <c r="K30" i="115"/>
  <c r="L30" i="115" s="1"/>
  <c r="K68" i="113"/>
  <c r="L68" i="113" s="1"/>
  <c r="K57" i="116"/>
  <c r="L57" i="116" s="1"/>
  <c r="K52" i="114"/>
  <c r="L52" i="114" s="1"/>
  <c r="L21" i="80"/>
  <c r="M21" i="80" s="1"/>
  <c r="T47" i="33"/>
  <c r="N45" i="80"/>
  <c r="O45" i="80" s="1"/>
  <c r="Q45" i="80" s="1"/>
  <c r="K43" i="118"/>
  <c r="L43" i="118" s="1"/>
  <c r="K20" i="116"/>
  <c r="L20" i="116" s="1"/>
  <c r="K7" i="115"/>
  <c r="J14" i="76"/>
  <c r="L14" i="76" s="1"/>
  <c r="M14" i="76" s="1"/>
  <c r="J26" i="76"/>
  <c r="L26" i="76" s="1"/>
  <c r="M26" i="76" s="1"/>
  <c r="K13" i="118"/>
  <c r="L13" i="118" s="1"/>
  <c r="I14" i="116"/>
  <c r="K14" i="116" s="1"/>
  <c r="L14" i="116" s="1"/>
  <c r="P38" i="33"/>
  <c r="M38" i="116"/>
  <c r="N38" i="116" s="1"/>
  <c r="P38" i="116" s="1"/>
  <c r="P12" i="67"/>
  <c r="P20" i="67"/>
  <c r="P28" i="67"/>
  <c r="P36" i="67"/>
  <c r="P44" i="67"/>
  <c r="P52" i="67"/>
  <c r="P60" i="67"/>
  <c r="P68" i="67"/>
  <c r="J74" i="33"/>
  <c r="J66" i="33"/>
  <c r="J58" i="33"/>
  <c r="J50" i="33"/>
  <c r="J34" i="33"/>
  <c r="J26" i="33"/>
  <c r="J18" i="33"/>
  <c r="J10" i="33"/>
  <c r="J18" i="46"/>
  <c r="J71" i="33"/>
  <c r="J63" i="33"/>
  <c r="J55" i="33"/>
  <c r="J47" i="33"/>
  <c r="J39" i="33"/>
  <c r="J31" i="33"/>
  <c r="J23" i="33"/>
  <c r="J15" i="33"/>
  <c r="L24" i="76"/>
  <c r="M24" i="76" s="1"/>
  <c r="L7" i="76"/>
  <c r="M7" i="76" s="1"/>
  <c r="L38" i="76"/>
  <c r="M38" i="76" s="1"/>
  <c r="R21" i="33"/>
  <c r="M21" i="118"/>
  <c r="N21" i="118" s="1"/>
  <c r="P21" i="118" s="1"/>
  <c r="K47" i="117"/>
  <c r="L47" i="117" s="1"/>
  <c r="K57" i="117"/>
  <c r="L57" i="117" s="1"/>
  <c r="K40" i="116"/>
  <c r="L40" i="116" s="1"/>
  <c r="K50" i="116"/>
  <c r="L50" i="116" s="1"/>
  <c r="K55" i="114"/>
  <c r="L55" i="114" s="1"/>
  <c r="K65" i="114"/>
  <c r="L65" i="114" s="1"/>
  <c r="K25" i="113"/>
  <c r="L25" i="113" s="1"/>
  <c r="K35" i="113"/>
  <c r="L35" i="113" s="1"/>
  <c r="S57" i="33"/>
  <c r="M16" i="118"/>
  <c r="N16" i="118" s="1"/>
  <c r="P16" i="118" s="1"/>
  <c r="R16" i="33"/>
  <c r="N41" i="76"/>
  <c r="O41" i="76" s="1"/>
  <c r="Q41" i="76" s="1"/>
  <c r="S43" i="33"/>
  <c r="R41" i="120"/>
  <c r="K65" i="120"/>
  <c r="L65" i="120" s="1"/>
  <c r="M65" i="120" s="1"/>
  <c r="N65" i="120" s="1"/>
  <c r="P65" i="120" s="1"/>
  <c r="R43" i="119"/>
  <c r="M38" i="117"/>
  <c r="N38" i="117" s="1"/>
  <c r="P38" i="117" s="1"/>
  <c r="U38" i="117" s="1"/>
  <c r="Q38" i="33"/>
  <c r="M52" i="33"/>
  <c r="M52" i="113"/>
  <c r="N52" i="113" s="1"/>
  <c r="P52" i="113" s="1"/>
  <c r="M36" i="117"/>
  <c r="N36" i="117" s="1"/>
  <c r="P36" i="117" s="1"/>
  <c r="U36" i="117" s="1"/>
  <c r="Q36" i="33"/>
  <c r="M32" i="115"/>
  <c r="N32" i="115" s="1"/>
  <c r="P32" i="115" s="1"/>
  <c r="O32" i="33"/>
  <c r="P36" i="33"/>
  <c r="M36" i="116"/>
  <c r="N36" i="116" s="1"/>
  <c r="P36" i="116" s="1"/>
  <c r="N21" i="33"/>
  <c r="M21" i="114"/>
  <c r="N21" i="114" s="1"/>
  <c r="P21" i="114" s="1"/>
  <c r="P14" i="67"/>
  <c r="P30" i="67"/>
  <c r="P46" i="67"/>
  <c r="P70" i="67"/>
  <c r="J46" i="33"/>
  <c r="J30" i="33"/>
  <c r="J27" i="33"/>
  <c r="J11" i="33"/>
  <c r="N23" i="80"/>
  <c r="O23" i="80" s="1"/>
  <c r="Q23" i="80" s="1"/>
  <c r="L44" i="80"/>
  <c r="M44" i="80" s="1"/>
  <c r="S62" i="33"/>
  <c r="N60" i="76"/>
  <c r="O60" i="76" s="1"/>
  <c r="Q60" i="76" s="1"/>
  <c r="R53" i="33"/>
  <c r="M53" i="118"/>
  <c r="N53" i="118" s="1"/>
  <c r="P53" i="118" s="1"/>
  <c r="Q15" i="33"/>
  <c r="K18" i="116"/>
  <c r="L18" i="116" s="1"/>
  <c r="M33" i="114"/>
  <c r="N33" i="114" s="1"/>
  <c r="P33" i="114" s="1"/>
  <c r="N33" i="33"/>
  <c r="K13" i="117"/>
  <c r="L13" i="117" s="1"/>
  <c r="P70" i="33"/>
  <c r="M70" i="116"/>
  <c r="N70" i="116" s="1"/>
  <c r="P70" i="116" s="1"/>
  <c r="K29" i="113"/>
  <c r="L29" i="113" s="1"/>
  <c r="K55" i="116"/>
  <c r="L55" i="116" s="1"/>
  <c r="Q61" i="33"/>
  <c r="K20" i="114"/>
  <c r="L20" i="114" s="1"/>
  <c r="I7" i="118"/>
  <c r="K50" i="117"/>
  <c r="L50" i="117" s="1"/>
  <c r="M36" i="33"/>
  <c r="M36" i="113"/>
  <c r="N36" i="113" s="1"/>
  <c r="P36" i="113" s="1"/>
  <c r="K53" i="31"/>
  <c r="L53" i="31" s="1"/>
  <c r="N53" i="31" s="1"/>
  <c r="L30" i="76"/>
  <c r="M30" i="76" s="1"/>
  <c r="K60" i="117"/>
  <c r="L60" i="117" s="1"/>
  <c r="K36" i="115"/>
  <c r="L36" i="115" s="1"/>
  <c r="M16" i="117"/>
  <c r="N16" i="117" s="1"/>
  <c r="P16" i="117" s="1"/>
  <c r="U16" i="117" s="1"/>
  <c r="R25" i="120"/>
  <c r="K33" i="120"/>
  <c r="L33" i="120" s="1"/>
  <c r="M33" i="120" s="1"/>
  <c r="N33" i="120" s="1"/>
  <c r="P33" i="120" s="1"/>
  <c r="K67" i="120"/>
  <c r="L67" i="120" s="1"/>
  <c r="M67" i="120" s="1"/>
  <c r="N67" i="120" s="1"/>
  <c r="P67" i="120" s="1"/>
  <c r="K19" i="119"/>
  <c r="L19" i="119" s="1"/>
  <c r="M19" i="119" s="1"/>
  <c r="N19" i="119" s="1"/>
  <c r="P19" i="119" s="1"/>
  <c r="K14" i="118"/>
  <c r="L14" i="118" s="1"/>
  <c r="P59" i="33"/>
  <c r="M59" i="116"/>
  <c r="N59" i="116" s="1"/>
  <c r="P59" i="116" s="1"/>
  <c r="M12" i="33"/>
  <c r="M12" i="113"/>
  <c r="N12" i="113" s="1"/>
  <c r="P12" i="113" s="1"/>
  <c r="K40" i="115"/>
  <c r="L40" i="115" s="1"/>
  <c r="T29" i="33"/>
  <c r="N27" i="80"/>
  <c r="O27" i="80" s="1"/>
  <c r="Q27" i="80" s="1"/>
  <c r="S18" i="33"/>
  <c r="N16" i="76"/>
  <c r="O16" i="76" s="1"/>
  <c r="Q16" i="76" s="1"/>
  <c r="N51" i="33"/>
  <c r="M51" i="114"/>
  <c r="N51" i="114" s="1"/>
  <c r="P51" i="114" s="1"/>
  <c r="J68" i="33"/>
  <c r="J36" i="33"/>
  <c r="J20" i="33"/>
  <c r="J57" i="33"/>
  <c r="J9" i="33"/>
  <c r="N8" i="76"/>
  <c r="O8" i="76" s="1"/>
  <c r="Q8" i="76" s="1"/>
  <c r="S10" i="33"/>
  <c r="L25" i="76"/>
  <c r="M25" i="76" s="1"/>
  <c r="K31" i="117"/>
  <c r="L31" i="117" s="1"/>
  <c r="M35" i="115"/>
  <c r="N35" i="115" s="1"/>
  <c r="P35" i="115" s="1"/>
  <c r="O35" i="33"/>
  <c r="M39" i="114"/>
  <c r="N39" i="114" s="1"/>
  <c r="P39" i="114" s="1"/>
  <c r="N23" i="76"/>
  <c r="O23" i="76" s="1"/>
  <c r="Q23" i="76" s="1"/>
  <c r="L46" i="76"/>
  <c r="M46" i="76" s="1"/>
  <c r="K24" i="120"/>
  <c r="L24" i="120" s="1"/>
  <c r="M24" i="120" s="1"/>
  <c r="N24" i="120" s="1"/>
  <c r="P24" i="120" s="1"/>
  <c r="K38" i="118"/>
  <c r="L38" i="118" s="1"/>
  <c r="K8" i="117"/>
  <c r="L8" i="117" s="1"/>
  <c r="K65" i="117"/>
  <c r="L65" i="117" s="1"/>
  <c r="K31" i="115"/>
  <c r="L31" i="115" s="1"/>
  <c r="K13" i="116"/>
  <c r="L13" i="116" s="1"/>
  <c r="N56" i="80"/>
  <c r="O56" i="80" s="1"/>
  <c r="Q56" i="80" s="1"/>
  <c r="N67" i="76"/>
  <c r="O67" i="76" s="1"/>
  <c r="Q67" i="76" s="1"/>
  <c r="R34" i="120"/>
  <c r="R66" i="120"/>
  <c r="Q42" i="33"/>
  <c r="M42" i="117"/>
  <c r="N42" i="117" s="1"/>
  <c r="P42" i="117" s="1"/>
  <c r="U42" i="117" s="1"/>
  <c r="Q74" i="33"/>
  <c r="M74" i="117"/>
  <c r="N74" i="117" s="1"/>
  <c r="P74" i="117" s="1"/>
  <c r="U74" i="117" s="1"/>
  <c r="M20" i="113"/>
  <c r="N20" i="113" s="1"/>
  <c r="P20" i="113" s="1"/>
  <c r="M20" i="33"/>
  <c r="N65" i="80"/>
  <c r="O65" i="80" s="1"/>
  <c r="Q65" i="80" s="1"/>
  <c r="T52" i="33"/>
  <c r="N50" i="80"/>
  <c r="O50" i="80" s="1"/>
  <c r="Q50" i="80" s="1"/>
  <c r="N72" i="76"/>
  <c r="O72" i="76" s="1"/>
  <c r="Q72" i="76" s="1"/>
  <c r="S74" i="33"/>
  <c r="K47" i="120"/>
  <c r="L47" i="120" s="1"/>
  <c r="M47" i="120" s="1"/>
  <c r="N47" i="120" s="1"/>
  <c r="P47" i="120" s="1"/>
  <c r="K57" i="119"/>
  <c r="L57" i="119" s="1"/>
  <c r="M57" i="119" s="1"/>
  <c r="N57" i="119" s="1"/>
  <c r="P57" i="119" s="1"/>
  <c r="K29" i="117"/>
  <c r="L29" i="117" s="1"/>
  <c r="O23" i="33"/>
  <c r="M23" i="115"/>
  <c r="N23" i="115" s="1"/>
  <c r="P23" i="115" s="1"/>
  <c r="M72" i="114"/>
  <c r="N72" i="114" s="1"/>
  <c r="P72" i="114" s="1"/>
  <c r="N72" i="33"/>
  <c r="K31" i="31"/>
  <c r="L31" i="31" s="1"/>
  <c r="N31" i="31" s="1"/>
  <c r="K24" i="119"/>
  <c r="L24" i="119" s="1"/>
  <c r="M24" i="119" s="1"/>
  <c r="N24" i="119" s="1"/>
  <c r="P24" i="119" s="1"/>
  <c r="R64" i="119"/>
  <c r="L19" i="76"/>
  <c r="M19" i="76" s="1"/>
  <c r="K34" i="119"/>
  <c r="L34" i="119" s="1"/>
  <c r="M34" i="119" s="1"/>
  <c r="N34" i="119" s="1"/>
  <c r="P34" i="119" s="1"/>
  <c r="K72" i="119"/>
  <c r="L72" i="119" s="1"/>
  <c r="M72" i="119" s="1"/>
  <c r="N72" i="119" s="1"/>
  <c r="P72" i="119" s="1"/>
  <c r="K13" i="113"/>
  <c r="L13" i="113" s="1"/>
  <c r="M72" i="33"/>
  <c r="M72" i="113"/>
  <c r="N72" i="113" s="1"/>
  <c r="P72" i="113" s="1"/>
  <c r="K13" i="31"/>
  <c r="L13" i="31" s="1"/>
  <c r="N13" i="31" s="1"/>
  <c r="N30" i="80"/>
  <c r="O30" i="80" s="1"/>
  <c r="Q30" i="80" s="1"/>
  <c r="L42" i="80"/>
  <c r="M42" i="80" s="1"/>
  <c r="N62" i="80"/>
  <c r="O62" i="80" s="1"/>
  <c r="Q62" i="80" s="1"/>
  <c r="T64" i="33"/>
  <c r="N11" i="76"/>
  <c r="O11" i="76" s="1"/>
  <c r="Q11" i="76" s="1"/>
  <c r="S13" i="33"/>
  <c r="K51" i="119"/>
  <c r="L51" i="119" s="1"/>
  <c r="M51" i="119" s="1"/>
  <c r="N51" i="119" s="1"/>
  <c r="P51" i="119" s="1"/>
  <c r="K54" i="119"/>
  <c r="L54" i="119" s="1"/>
  <c r="M54" i="119" s="1"/>
  <c r="N54" i="119" s="1"/>
  <c r="P54" i="119" s="1"/>
  <c r="K66" i="119"/>
  <c r="L66" i="119" s="1"/>
  <c r="M66" i="119" s="1"/>
  <c r="N66" i="119" s="1"/>
  <c r="P66" i="119" s="1"/>
  <c r="R28" i="33"/>
  <c r="M28" i="118"/>
  <c r="N28" i="118" s="1"/>
  <c r="P28" i="118" s="1"/>
  <c r="N45" i="76"/>
  <c r="O45" i="76" s="1"/>
  <c r="Q45" i="76" s="1"/>
  <c r="S47" i="33"/>
  <c r="K17" i="120"/>
  <c r="L17" i="120" s="1"/>
  <c r="M17" i="120" s="1"/>
  <c r="N17" i="120" s="1"/>
  <c r="P17" i="120" s="1"/>
  <c r="K29" i="120"/>
  <c r="L29" i="120" s="1"/>
  <c r="M29" i="120" s="1"/>
  <c r="N29" i="120" s="1"/>
  <c r="P29" i="120" s="1"/>
  <c r="K61" i="120"/>
  <c r="L61" i="120" s="1"/>
  <c r="M61" i="120" s="1"/>
  <c r="N61" i="120" s="1"/>
  <c r="P61" i="120" s="1"/>
  <c r="K73" i="120"/>
  <c r="L73" i="120" s="1"/>
  <c r="M73" i="120" s="1"/>
  <c r="N73" i="120" s="1"/>
  <c r="P73" i="120" s="1"/>
  <c r="R23" i="119"/>
  <c r="K31" i="119"/>
  <c r="L31" i="119" s="1"/>
  <c r="M31" i="119" s="1"/>
  <c r="N31" i="119" s="1"/>
  <c r="P31" i="119" s="1"/>
  <c r="M10" i="117"/>
  <c r="N10" i="117" s="1"/>
  <c r="P10" i="117" s="1"/>
  <c r="U10" i="117" s="1"/>
  <c r="Q10" i="33"/>
  <c r="K66" i="117"/>
  <c r="L66" i="117" s="1"/>
  <c r="M62" i="115"/>
  <c r="N62" i="115" s="1"/>
  <c r="P62" i="115" s="1"/>
  <c r="O62" i="33"/>
  <c r="K14" i="114"/>
  <c r="L14" i="114" s="1"/>
  <c r="K20" i="117"/>
  <c r="L20" i="117" s="1"/>
  <c r="M64" i="117"/>
  <c r="N64" i="117" s="1"/>
  <c r="P64" i="117" s="1"/>
  <c r="U64" i="117" s="1"/>
  <c r="Q64" i="33"/>
  <c r="P49" i="33"/>
  <c r="M49" i="116"/>
  <c r="N49" i="116" s="1"/>
  <c r="P49" i="116" s="1"/>
  <c r="M12" i="115"/>
  <c r="N12" i="115" s="1"/>
  <c r="P12" i="115" s="1"/>
  <c r="O12" i="33"/>
  <c r="T15" i="33"/>
  <c r="N13" i="80"/>
  <c r="O13" i="80" s="1"/>
  <c r="Q13" i="80" s="1"/>
  <c r="T31" i="33"/>
  <c r="N29" i="80"/>
  <c r="O29" i="80" s="1"/>
  <c r="Q29" i="80" s="1"/>
  <c r="L57" i="80"/>
  <c r="M57" i="80" s="1"/>
  <c r="Q75" i="33"/>
  <c r="M75" i="117"/>
  <c r="N75" i="117" s="1"/>
  <c r="P75" i="117" s="1"/>
  <c r="U75" i="117" s="1"/>
  <c r="K28" i="116"/>
  <c r="L28" i="116" s="1"/>
  <c r="K47" i="115"/>
  <c r="L47" i="115" s="1"/>
  <c r="K37" i="113"/>
  <c r="L37" i="113" s="1"/>
  <c r="J62" i="76"/>
  <c r="L62" i="76" s="1"/>
  <c r="M62" i="76" s="1"/>
  <c r="Q21" i="33"/>
  <c r="K45" i="117"/>
  <c r="L45" i="117" s="1"/>
  <c r="K30" i="116"/>
  <c r="L30" i="116" s="1"/>
  <c r="M74" i="116"/>
  <c r="N74" i="116" s="1"/>
  <c r="P74" i="116" s="1"/>
  <c r="P74" i="33"/>
  <c r="M73" i="115"/>
  <c r="N73" i="115" s="1"/>
  <c r="P73" i="115" s="1"/>
  <c r="O73" i="33"/>
  <c r="K63" i="113"/>
  <c r="L63" i="113" s="1"/>
  <c r="R33" i="33"/>
  <c r="M33" i="118"/>
  <c r="N33" i="118" s="1"/>
  <c r="P33" i="118" s="1"/>
  <c r="J72" i="33"/>
  <c r="J64" i="33"/>
  <c r="J56" i="33"/>
  <c r="J48" i="33"/>
  <c r="J40" i="33"/>
  <c r="J32" i="33"/>
  <c r="J24" i="33"/>
  <c r="J16" i="33"/>
  <c r="J69" i="33"/>
  <c r="J53" i="33"/>
  <c r="L17" i="80"/>
  <c r="M17" i="80" s="1"/>
  <c r="L6" i="80"/>
  <c r="M6" i="80" s="1"/>
  <c r="L11" i="80"/>
  <c r="M11" i="80" s="1"/>
  <c r="L60" i="80"/>
  <c r="M60" i="80" s="1"/>
  <c r="L44" i="76"/>
  <c r="M44" i="76" s="1"/>
  <c r="L54" i="76"/>
  <c r="M54" i="76" s="1"/>
  <c r="K15" i="118"/>
  <c r="L15" i="118" s="1"/>
  <c r="K76" i="114"/>
  <c r="L76" i="114" s="1"/>
  <c r="M76" i="114" s="1"/>
  <c r="N76" i="114" s="1"/>
  <c r="P76" i="114" s="1"/>
  <c r="AI76" i="114" s="1"/>
  <c r="L36" i="80"/>
  <c r="M36" i="80" s="1"/>
  <c r="L49" i="76"/>
  <c r="M49" i="76" s="1"/>
  <c r="L58" i="76"/>
  <c r="M58" i="76" s="1"/>
  <c r="K12" i="120"/>
  <c r="L12" i="120" s="1"/>
  <c r="M12" i="120" s="1"/>
  <c r="N12" i="120" s="1"/>
  <c r="P12" i="120" s="1"/>
  <c r="K28" i="120"/>
  <c r="L28" i="120" s="1"/>
  <c r="M28" i="120" s="1"/>
  <c r="N28" i="120" s="1"/>
  <c r="P28" i="120" s="1"/>
  <c r="K44" i="120"/>
  <c r="L44" i="120" s="1"/>
  <c r="M44" i="120" s="1"/>
  <c r="N44" i="120" s="1"/>
  <c r="P44" i="120" s="1"/>
  <c r="K60" i="120"/>
  <c r="L60" i="120" s="1"/>
  <c r="M60" i="120" s="1"/>
  <c r="N60" i="120" s="1"/>
  <c r="P60" i="120" s="1"/>
  <c r="R62" i="119"/>
  <c r="K24" i="118"/>
  <c r="L24" i="118" s="1"/>
  <c r="K23" i="117"/>
  <c r="L23" i="117" s="1"/>
  <c r="M70" i="117"/>
  <c r="N70" i="117" s="1"/>
  <c r="P70" i="117" s="1"/>
  <c r="U70" i="117" s="1"/>
  <c r="Q70" i="33"/>
  <c r="M23" i="116"/>
  <c r="N23" i="116" s="1"/>
  <c r="P23" i="116" s="1"/>
  <c r="K44" i="116"/>
  <c r="L44" i="116" s="1"/>
  <c r="K74" i="115"/>
  <c r="L74" i="115" s="1"/>
  <c r="K43" i="113"/>
  <c r="L43" i="113" s="1"/>
  <c r="K57" i="31"/>
  <c r="L57" i="31" s="1"/>
  <c r="N57" i="31" s="1"/>
  <c r="K66" i="31"/>
  <c r="L66" i="31" s="1"/>
  <c r="N66" i="31" s="1"/>
  <c r="L65" i="76"/>
  <c r="M65" i="76" s="1"/>
  <c r="P39" i="33"/>
  <c r="M39" i="116"/>
  <c r="N39" i="116" s="1"/>
  <c r="P39" i="116" s="1"/>
  <c r="R76" i="115"/>
  <c r="AI76" i="115"/>
  <c r="L50" i="76"/>
  <c r="M50" i="76" s="1"/>
  <c r="L61" i="76"/>
  <c r="M61" i="76" s="1"/>
  <c r="R22" i="120"/>
  <c r="R38" i="120"/>
  <c r="R54" i="120"/>
  <c r="R70" i="120"/>
  <c r="K63" i="119"/>
  <c r="L63" i="119" s="1"/>
  <c r="M63" i="119" s="1"/>
  <c r="N63" i="119" s="1"/>
  <c r="P63" i="119" s="1"/>
  <c r="K20" i="118"/>
  <c r="L20" i="118" s="1"/>
  <c r="M49" i="118"/>
  <c r="N49" i="118" s="1"/>
  <c r="P49" i="118" s="1"/>
  <c r="R49" i="33"/>
  <c r="K74" i="118"/>
  <c r="L74" i="118" s="1"/>
  <c r="K46" i="117"/>
  <c r="L46" i="117" s="1"/>
  <c r="K67" i="117"/>
  <c r="L67" i="117" s="1"/>
  <c r="K26" i="116"/>
  <c r="L26" i="116" s="1"/>
  <c r="K65" i="116"/>
  <c r="L65" i="116" s="1"/>
  <c r="K9" i="115"/>
  <c r="L9" i="115" s="1"/>
  <c r="K22" i="115"/>
  <c r="L22" i="115" s="1"/>
  <c r="K37" i="114"/>
  <c r="L37" i="114" s="1"/>
  <c r="K50" i="114"/>
  <c r="L50" i="114" s="1"/>
  <c r="L32" i="80"/>
  <c r="M32" i="80" s="1"/>
  <c r="L34" i="80"/>
  <c r="M34" i="80" s="1"/>
  <c r="L6" i="76"/>
  <c r="M6" i="76" s="1"/>
  <c r="L73" i="76"/>
  <c r="M73" i="76" s="1"/>
  <c r="K19" i="120"/>
  <c r="L19" i="120" s="1"/>
  <c r="M19" i="120" s="1"/>
  <c r="N19" i="120" s="1"/>
  <c r="P19" i="120" s="1"/>
  <c r="K51" i="120"/>
  <c r="L51" i="120" s="1"/>
  <c r="M51" i="120" s="1"/>
  <c r="N51" i="120" s="1"/>
  <c r="P51" i="120" s="1"/>
  <c r="K69" i="119"/>
  <c r="L69" i="119" s="1"/>
  <c r="M69" i="119" s="1"/>
  <c r="N69" i="119" s="1"/>
  <c r="P69" i="119" s="1"/>
  <c r="K30" i="117"/>
  <c r="L30" i="117" s="1"/>
  <c r="K35" i="114"/>
  <c r="L35" i="114" s="1"/>
  <c r="K64" i="114"/>
  <c r="L64" i="114" s="1"/>
  <c r="K30" i="113"/>
  <c r="L30" i="113" s="1"/>
  <c r="K23" i="31"/>
  <c r="L23" i="31" s="1"/>
  <c r="N23" i="31" s="1"/>
  <c r="K32" i="31"/>
  <c r="L32" i="31" s="1"/>
  <c r="N32" i="31" s="1"/>
  <c r="K67" i="119"/>
  <c r="L67" i="119" s="1"/>
  <c r="M67" i="119" s="1"/>
  <c r="N67" i="119" s="1"/>
  <c r="P67" i="119" s="1"/>
  <c r="M37" i="118"/>
  <c r="N37" i="118" s="1"/>
  <c r="P37" i="118" s="1"/>
  <c r="R37" i="33"/>
  <c r="K51" i="116"/>
  <c r="L51" i="116" s="1"/>
  <c r="K63" i="115"/>
  <c r="L63" i="115" s="1"/>
  <c r="K73" i="113"/>
  <c r="L73" i="113" s="1"/>
  <c r="K12" i="119"/>
  <c r="L12" i="119" s="1"/>
  <c r="M12" i="119" s="1"/>
  <c r="N12" i="119" s="1"/>
  <c r="P12" i="119" s="1"/>
  <c r="K28" i="119"/>
  <c r="L28" i="119" s="1"/>
  <c r="M28" i="119" s="1"/>
  <c r="N28" i="119" s="1"/>
  <c r="P28" i="119" s="1"/>
  <c r="K44" i="119"/>
  <c r="L44" i="119" s="1"/>
  <c r="M44" i="119" s="1"/>
  <c r="N44" i="119" s="1"/>
  <c r="P44" i="119" s="1"/>
  <c r="L37" i="80"/>
  <c r="M37" i="80" s="1"/>
  <c r="L21" i="76"/>
  <c r="M21" i="76" s="1"/>
  <c r="K22" i="119"/>
  <c r="L22" i="119" s="1"/>
  <c r="M22" i="119" s="1"/>
  <c r="N22" i="119" s="1"/>
  <c r="P22" i="119" s="1"/>
  <c r="K38" i="119"/>
  <c r="L38" i="119" s="1"/>
  <c r="M38" i="119" s="1"/>
  <c r="N38" i="119" s="1"/>
  <c r="P38" i="119" s="1"/>
  <c r="K56" i="119"/>
  <c r="L56" i="119" s="1"/>
  <c r="M56" i="119" s="1"/>
  <c r="N56" i="119" s="1"/>
  <c r="P56" i="119" s="1"/>
  <c r="K15" i="113"/>
  <c r="L15" i="113" s="1"/>
  <c r="K27" i="113"/>
  <c r="L27" i="113" s="1"/>
  <c r="K74" i="113"/>
  <c r="L74" i="113" s="1"/>
  <c r="K17" i="119"/>
  <c r="L17" i="119" s="1"/>
  <c r="M17" i="119" s="1"/>
  <c r="N17" i="119" s="1"/>
  <c r="P17" i="119" s="1"/>
  <c r="K33" i="119"/>
  <c r="L33" i="119" s="1"/>
  <c r="M33" i="119" s="1"/>
  <c r="N33" i="119" s="1"/>
  <c r="P33" i="119" s="1"/>
  <c r="K49" i="119"/>
  <c r="L49" i="119" s="1"/>
  <c r="M49" i="119" s="1"/>
  <c r="N49" i="119" s="1"/>
  <c r="P49" i="119" s="1"/>
  <c r="K67" i="118"/>
  <c r="L67" i="118" s="1"/>
  <c r="K9" i="117"/>
  <c r="L9" i="117" s="1"/>
  <c r="K73" i="117"/>
  <c r="L73" i="117" s="1"/>
  <c r="K56" i="116"/>
  <c r="L56" i="116" s="1"/>
  <c r="K66" i="116"/>
  <c r="L66" i="116" s="1"/>
  <c r="I67" i="115"/>
  <c r="K67" i="115" s="1"/>
  <c r="L67" i="115" s="1"/>
  <c r="K17" i="114"/>
  <c r="L17" i="114" s="1"/>
  <c r="K71" i="114"/>
  <c r="L71" i="114" s="1"/>
  <c r="K41" i="113"/>
  <c r="L41" i="113" s="1"/>
  <c r="L29" i="76"/>
  <c r="M29" i="76" s="1"/>
  <c r="L51" i="76"/>
  <c r="M51" i="76" s="1"/>
  <c r="K16" i="120"/>
  <c r="L16" i="120" s="1"/>
  <c r="M16" i="120" s="1"/>
  <c r="N16" i="120" s="1"/>
  <c r="P16" i="120" s="1"/>
  <c r="K32" i="120"/>
  <c r="L32" i="120" s="1"/>
  <c r="M32" i="120" s="1"/>
  <c r="N32" i="120" s="1"/>
  <c r="P32" i="120" s="1"/>
  <c r="K48" i="120"/>
  <c r="L48" i="120" s="1"/>
  <c r="M48" i="120" s="1"/>
  <c r="N48" i="120" s="1"/>
  <c r="P48" i="120" s="1"/>
  <c r="K64" i="120"/>
  <c r="L64" i="120" s="1"/>
  <c r="M64" i="120" s="1"/>
  <c r="N64" i="120" s="1"/>
  <c r="P64" i="120" s="1"/>
  <c r="K51" i="118"/>
  <c r="L51" i="118" s="1"/>
  <c r="K61" i="118"/>
  <c r="L61" i="118" s="1"/>
  <c r="K75" i="118"/>
  <c r="L75" i="118" s="1"/>
  <c r="K51" i="117"/>
  <c r="L51" i="117" s="1"/>
  <c r="K58" i="116"/>
  <c r="L58" i="116" s="1"/>
  <c r="K69" i="116"/>
  <c r="L69" i="116" s="1"/>
  <c r="K57" i="115"/>
  <c r="L57" i="115" s="1"/>
  <c r="K69" i="114"/>
  <c r="L69" i="114" s="1"/>
  <c r="K46" i="113"/>
  <c r="L46" i="113" s="1"/>
  <c r="K55" i="113"/>
  <c r="L55" i="113" s="1"/>
  <c r="K70" i="113"/>
  <c r="L70" i="113" s="1"/>
  <c r="K26" i="115"/>
  <c r="L26" i="115" s="1"/>
  <c r="K29" i="116"/>
  <c r="L29" i="116" s="1"/>
  <c r="K42" i="115"/>
  <c r="L42" i="115" s="1"/>
  <c r="L24" i="80"/>
  <c r="M24" i="80" s="1"/>
  <c r="L34" i="76"/>
  <c r="M34" i="76" s="1"/>
  <c r="L53" i="76"/>
  <c r="M53" i="76" s="1"/>
  <c r="K10" i="120"/>
  <c r="L10" i="120" s="1"/>
  <c r="M10" i="120" s="1"/>
  <c r="N10" i="120" s="1"/>
  <c r="P10" i="120" s="1"/>
  <c r="K26" i="120"/>
  <c r="L26" i="120" s="1"/>
  <c r="M26" i="120" s="1"/>
  <c r="N26" i="120" s="1"/>
  <c r="P26" i="120" s="1"/>
  <c r="K42" i="120"/>
  <c r="L42" i="120" s="1"/>
  <c r="M42" i="120" s="1"/>
  <c r="N42" i="120" s="1"/>
  <c r="P42" i="120" s="1"/>
  <c r="K58" i="120"/>
  <c r="L58" i="120" s="1"/>
  <c r="M58" i="120" s="1"/>
  <c r="N58" i="120" s="1"/>
  <c r="P58" i="120" s="1"/>
  <c r="K74" i="120"/>
  <c r="L74" i="120" s="1"/>
  <c r="M74" i="120" s="1"/>
  <c r="N74" i="120" s="1"/>
  <c r="P74" i="120" s="1"/>
  <c r="K29" i="118"/>
  <c r="L29" i="118" s="1"/>
  <c r="K39" i="118"/>
  <c r="L39" i="118" s="1"/>
  <c r="K50" i="118"/>
  <c r="L50" i="118" s="1"/>
  <c r="K17" i="117"/>
  <c r="L17" i="117" s="1"/>
  <c r="K53" i="117"/>
  <c r="L53" i="117" s="1"/>
  <c r="K68" i="117"/>
  <c r="L68" i="117" s="1"/>
  <c r="K54" i="116"/>
  <c r="L54" i="116" s="1"/>
  <c r="K44" i="115"/>
  <c r="L44" i="115" s="1"/>
  <c r="K72" i="115"/>
  <c r="L72" i="115" s="1"/>
  <c r="K31" i="113"/>
  <c r="L31" i="113" s="1"/>
  <c r="K50" i="113"/>
  <c r="L50" i="113" s="1"/>
  <c r="K75" i="113"/>
  <c r="L75" i="113" s="1"/>
  <c r="L53" i="80"/>
  <c r="M53" i="80" s="1"/>
  <c r="N40" i="76"/>
  <c r="O40" i="76" s="1"/>
  <c r="Q40" i="76" s="1"/>
  <c r="S42" i="33"/>
  <c r="I76" i="120"/>
  <c r="K23" i="120"/>
  <c r="L23" i="120" s="1"/>
  <c r="M23" i="120" s="1"/>
  <c r="N23" i="120" s="1"/>
  <c r="P23" i="120" s="1"/>
  <c r="K39" i="120"/>
  <c r="L39" i="120" s="1"/>
  <c r="M39" i="120" s="1"/>
  <c r="N39" i="120" s="1"/>
  <c r="P39" i="120" s="1"/>
  <c r="K55" i="120"/>
  <c r="L55" i="120" s="1"/>
  <c r="M55" i="120" s="1"/>
  <c r="N55" i="120" s="1"/>
  <c r="P55" i="120" s="1"/>
  <c r="K71" i="120"/>
  <c r="L71" i="120" s="1"/>
  <c r="M71" i="120" s="1"/>
  <c r="N71" i="120" s="1"/>
  <c r="P71" i="120" s="1"/>
  <c r="K73" i="119"/>
  <c r="L73" i="119" s="1"/>
  <c r="M73" i="119" s="1"/>
  <c r="N73" i="119" s="1"/>
  <c r="P73" i="119" s="1"/>
  <c r="K45" i="118"/>
  <c r="L45" i="118" s="1"/>
  <c r="K45" i="116"/>
  <c r="L45" i="116" s="1"/>
  <c r="K53" i="114"/>
  <c r="L53" i="114" s="1"/>
  <c r="R71" i="119"/>
  <c r="K68" i="118"/>
  <c r="L68" i="118" s="1"/>
  <c r="K59" i="117"/>
  <c r="L59" i="117" s="1"/>
  <c r="K53" i="116"/>
  <c r="L53" i="116" s="1"/>
  <c r="K65" i="115"/>
  <c r="L65" i="115" s="1"/>
  <c r="K17" i="113"/>
  <c r="L17" i="113" s="1"/>
  <c r="L66" i="80"/>
  <c r="M66" i="80" s="1"/>
  <c r="K16" i="119"/>
  <c r="L16" i="119" s="1"/>
  <c r="M16" i="119" s="1"/>
  <c r="N16" i="119" s="1"/>
  <c r="P16" i="119" s="1"/>
  <c r="K32" i="119"/>
  <c r="L32" i="119" s="1"/>
  <c r="M32" i="119" s="1"/>
  <c r="N32" i="119" s="1"/>
  <c r="P32" i="119" s="1"/>
  <c r="K48" i="119"/>
  <c r="L48" i="119" s="1"/>
  <c r="M48" i="119" s="1"/>
  <c r="N48" i="119" s="1"/>
  <c r="P48" i="119" s="1"/>
  <c r="L48" i="80"/>
  <c r="M48" i="80" s="1"/>
  <c r="L13" i="76"/>
  <c r="M13" i="76" s="1"/>
  <c r="K10" i="119"/>
  <c r="L10" i="119" s="1"/>
  <c r="M10" i="119" s="1"/>
  <c r="N10" i="119" s="1"/>
  <c r="P10" i="119" s="1"/>
  <c r="K26" i="119"/>
  <c r="L26" i="119" s="1"/>
  <c r="M26" i="119" s="1"/>
  <c r="N26" i="119" s="1"/>
  <c r="P26" i="119" s="1"/>
  <c r="K42" i="119"/>
  <c r="L42" i="119" s="1"/>
  <c r="M42" i="119" s="1"/>
  <c r="N42" i="119" s="1"/>
  <c r="P42" i="119" s="1"/>
  <c r="K61" i="119"/>
  <c r="L61" i="119" s="1"/>
  <c r="M61" i="119" s="1"/>
  <c r="N61" i="119" s="1"/>
  <c r="P61" i="119" s="1"/>
  <c r="K18" i="118"/>
  <c r="L18" i="118" s="1"/>
  <c r="K46" i="118"/>
  <c r="L46" i="118" s="1"/>
  <c r="K71" i="118"/>
  <c r="L71" i="118" s="1"/>
  <c r="K49" i="113"/>
  <c r="L49" i="113" s="1"/>
  <c r="L12" i="80"/>
  <c r="M12" i="80" s="1"/>
  <c r="K21" i="119"/>
  <c r="L21" i="119" s="1"/>
  <c r="M21" i="119" s="1"/>
  <c r="N21" i="119" s="1"/>
  <c r="P21" i="119" s="1"/>
  <c r="K37" i="119"/>
  <c r="L37" i="119" s="1"/>
  <c r="M37" i="119" s="1"/>
  <c r="N37" i="119" s="1"/>
  <c r="P37" i="119" s="1"/>
  <c r="K53" i="119"/>
  <c r="L53" i="119" s="1"/>
  <c r="M53" i="119" s="1"/>
  <c r="N53" i="119" s="1"/>
  <c r="P53" i="119" s="1"/>
  <c r="K10" i="114"/>
  <c r="L10" i="114" s="1"/>
  <c r="K17" i="31"/>
  <c r="L17" i="31" s="1"/>
  <c r="N17" i="31" s="1"/>
  <c r="J26" i="80"/>
  <c r="L26" i="80" s="1"/>
  <c r="M26" i="80" s="1"/>
  <c r="I70" i="115"/>
  <c r="K70" i="115" s="1"/>
  <c r="L70" i="115" s="1"/>
  <c r="I58" i="114"/>
  <c r="K58" i="114" s="1"/>
  <c r="L58" i="114" s="1"/>
  <c r="J13" i="115"/>
  <c r="I19" i="118"/>
  <c r="K19" i="118" s="1"/>
  <c r="L19" i="118" s="1"/>
  <c r="J39" i="76"/>
  <c r="L39" i="76" s="1"/>
  <c r="M39" i="76" s="1"/>
  <c r="I60" i="113"/>
  <c r="K60" i="113" s="1"/>
  <c r="L60" i="113" s="1"/>
  <c r="I37" i="116"/>
  <c r="K37" i="116" s="1"/>
  <c r="L37" i="116" s="1"/>
  <c r="I10" i="113"/>
  <c r="K10" i="113" s="1"/>
  <c r="L10" i="113" s="1"/>
  <c r="J36" i="76"/>
  <c r="L36" i="76" s="1"/>
  <c r="M36" i="76" s="1"/>
  <c r="I55" i="117"/>
  <c r="K55" i="117" s="1"/>
  <c r="L55" i="117" s="1"/>
  <c r="I43" i="115"/>
  <c r="K43" i="115" s="1"/>
  <c r="L43" i="115" s="1"/>
  <c r="I11" i="114"/>
  <c r="K11" i="114" s="1"/>
  <c r="L11" i="114" s="1"/>
  <c r="I42" i="116"/>
  <c r="K42" i="116" s="1"/>
  <c r="L42" i="116" s="1"/>
  <c r="I47" i="118"/>
  <c r="K47" i="118" s="1"/>
  <c r="L47" i="118" s="1"/>
  <c r="I40" i="113"/>
  <c r="K40" i="113" s="1"/>
  <c r="L40" i="113" s="1"/>
  <c r="I57" i="114"/>
  <c r="K57" i="114" s="1"/>
  <c r="L57" i="114" s="1"/>
  <c r="I37" i="31"/>
  <c r="K37" i="31" s="1"/>
  <c r="L37" i="31" s="1"/>
  <c r="N37" i="31" s="1"/>
  <c r="I24" i="113"/>
  <c r="K24" i="113" s="1"/>
  <c r="L24" i="113" s="1"/>
  <c r="I19" i="114"/>
  <c r="K19" i="114" s="1"/>
  <c r="L19" i="114" s="1"/>
  <c r="I42" i="114"/>
  <c r="K42" i="114" s="1"/>
  <c r="L42" i="114" s="1"/>
  <c r="J64" i="80"/>
  <c r="L64" i="80" s="1"/>
  <c r="M64" i="80" s="1"/>
  <c r="I43" i="116"/>
  <c r="K43" i="116" s="1"/>
  <c r="L43" i="116" s="1"/>
  <c r="I28" i="115"/>
  <c r="K28" i="115" s="1"/>
  <c r="L28" i="115" s="1"/>
  <c r="I74" i="114"/>
  <c r="K74" i="114" s="1"/>
  <c r="L74" i="114" s="1"/>
  <c r="I10" i="118"/>
  <c r="K10" i="118" s="1"/>
  <c r="L10" i="118" s="1"/>
  <c r="I33" i="116"/>
  <c r="K33" i="116" s="1"/>
  <c r="L33" i="116" s="1"/>
  <c r="I17" i="118"/>
  <c r="K17" i="118" s="1"/>
  <c r="L17" i="118" s="1"/>
  <c r="I41" i="118"/>
  <c r="K41" i="118" s="1"/>
  <c r="L41" i="118" s="1"/>
  <c r="I40" i="117"/>
  <c r="K40" i="117" s="1"/>
  <c r="L40" i="117" s="1"/>
  <c r="J10" i="80"/>
  <c r="L10" i="80" s="1"/>
  <c r="M10" i="80" s="1"/>
  <c r="J31" i="76"/>
  <c r="L31" i="76" s="1"/>
  <c r="M31" i="76" s="1"/>
  <c r="I40" i="114"/>
  <c r="K40" i="114" s="1"/>
  <c r="L40" i="114" s="1"/>
  <c r="I44" i="113"/>
  <c r="K44" i="113" s="1"/>
  <c r="L44" i="113" s="1"/>
  <c r="I52" i="117"/>
  <c r="K52" i="117" s="1"/>
  <c r="L52" i="117" s="1"/>
  <c r="I18" i="113"/>
  <c r="K18" i="113" s="1"/>
  <c r="L18" i="113" s="1"/>
  <c r="I75" i="115"/>
  <c r="K75" i="115" s="1"/>
  <c r="L75" i="115" s="1"/>
  <c r="J52" i="80"/>
  <c r="L52" i="80" s="1"/>
  <c r="M52" i="80" s="1"/>
  <c r="I35" i="116"/>
  <c r="K35" i="116" s="1"/>
  <c r="L35" i="116" s="1"/>
  <c r="J72" i="80"/>
  <c r="L72" i="80" s="1"/>
  <c r="M72" i="80" s="1"/>
  <c r="I32" i="117"/>
  <c r="K32" i="117" s="1"/>
  <c r="L32" i="117" s="1"/>
  <c r="I58" i="115"/>
  <c r="K58" i="115" s="1"/>
  <c r="L58" i="115" s="1"/>
  <c r="I9" i="114"/>
  <c r="K9" i="114" s="1"/>
  <c r="L9" i="114" s="1"/>
  <c r="I34" i="117"/>
  <c r="K34" i="117" s="1"/>
  <c r="L34" i="117" s="1"/>
  <c r="I72" i="117"/>
  <c r="K72" i="117" s="1"/>
  <c r="L72" i="117" s="1"/>
  <c r="I68" i="115"/>
  <c r="K68" i="115" s="1"/>
  <c r="L68" i="115" s="1"/>
  <c r="I16" i="113"/>
  <c r="K16" i="113" s="1"/>
  <c r="L16" i="113" s="1"/>
  <c r="J33" i="76"/>
  <c r="L33" i="76" s="1"/>
  <c r="M33" i="76" s="1"/>
  <c r="I9" i="116"/>
  <c r="K9" i="116" s="1"/>
  <c r="L9" i="116" s="1"/>
  <c r="I56" i="114"/>
  <c r="K56" i="114" s="1"/>
  <c r="L56" i="114" s="1"/>
  <c r="I38" i="115"/>
  <c r="K38" i="115" s="1"/>
  <c r="L38" i="115" s="1"/>
  <c r="I32" i="118"/>
  <c r="K32" i="118" s="1"/>
  <c r="L32" i="118" s="1"/>
  <c r="J20" i="80"/>
  <c r="L20" i="80" s="1"/>
  <c r="M20" i="80" s="1"/>
  <c r="I70" i="118"/>
  <c r="K70" i="118" s="1"/>
  <c r="L70" i="118" s="1"/>
  <c r="I28" i="117"/>
  <c r="K28" i="117" s="1"/>
  <c r="L28" i="117" s="1"/>
  <c r="I48" i="114"/>
  <c r="K48" i="114" s="1"/>
  <c r="L48" i="114" s="1"/>
  <c r="I48" i="116"/>
  <c r="K48" i="116" s="1"/>
  <c r="L48" i="116" s="1"/>
  <c r="I63" i="114"/>
  <c r="K63" i="114" s="1"/>
  <c r="L63" i="114" s="1"/>
  <c r="I30" i="118"/>
  <c r="K30" i="118" s="1"/>
  <c r="L30" i="118" s="1"/>
  <c r="I33" i="113"/>
  <c r="K33" i="113" s="1"/>
  <c r="L33" i="113" s="1"/>
  <c r="I63" i="117"/>
  <c r="K63" i="117" s="1"/>
  <c r="L63" i="117" s="1"/>
  <c r="J27" i="76"/>
  <c r="L27" i="76" s="1"/>
  <c r="M27" i="76" s="1"/>
  <c r="J12" i="76"/>
  <c r="L12" i="76" s="1"/>
  <c r="M12" i="76" s="1"/>
  <c r="I18" i="114"/>
  <c r="K18" i="114" s="1"/>
  <c r="L18" i="114" s="1"/>
  <c r="I62" i="116"/>
  <c r="K62" i="116" s="1"/>
  <c r="L62" i="116" s="1"/>
  <c r="I19" i="115"/>
  <c r="K19" i="115" s="1"/>
  <c r="L19" i="115" s="1"/>
  <c r="I56" i="113"/>
  <c r="K56" i="113" s="1"/>
  <c r="L56" i="113" s="1"/>
  <c r="J37" i="115"/>
  <c r="K37" i="115" s="1"/>
  <c r="L37" i="115" s="1"/>
  <c r="J25" i="115"/>
  <c r="K25" i="115" s="1"/>
  <c r="L25" i="115" s="1"/>
  <c r="J17" i="115"/>
  <c r="K17" i="115" s="1"/>
  <c r="L17" i="115" s="1"/>
  <c r="J21" i="115"/>
  <c r="K21" i="115" s="1"/>
  <c r="L21" i="115" s="1"/>
  <c r="J33" i="115"/>
  <c r="K33" i="115" s="1"/>
  <c r="L33" i="115" s="1"/>
  <c r="I38" i="114"/>
  <c r="K38" i="114" s="1"/>
  <c r="L38" i="114" s="1"/>
  <c r="I8" i="67"/>
  <c r="K8" i="67" s="1"/>
  <c r="L8" i="67" s="1"/>
  <c r="N8" i="67" s="1"/>
  <c r="AH8" i="67" s="1"/>
  <c r="I24" i="67"/>
  <c r="K24" i="67" s="1"/>
  <c r="L24" i="67" s="1"/>
  <c r="N24" i="67" s="1"/>
  <c r="AH24" i="67" s="1"/>
  <c r="I32" i="67"/>
  <c r="K32" i="67" s="1"/>
  <c r="L32" i="67" s="1"/>
  <c r="N32" i="67" s="1"/>
  <c r="AH32" i="67" s="1"/>
  <c r="I40" i="67"/>
  <c r="K40" i="67" s="1"/>
  <c r="L40" i="67" s="1"/>
  <c r="N40" i="67" s="1"/>
  <c r="AH40" i="67" s="1"/>
  <c r="I48" i="67"/>
  <c r="K48" i="67" s="1"/>
  <c r="L48" i="67" s="1"/>
  <c r="N48" i="67" s="1"/>
  <c r="AH48" i="67" s="1"/>
  <c r="I56" i="67"/>
  <c r="K56" i="67" s="1"/>
  <c r="L56" i="67" s="1"/>
  <c r="N56" i="67" s="1"/>
  <c r="AH56" i="67" s="1"/>
  <c r="I64" i="67"/>
  <c r="K64" i="67" s="1"/>
  <c r="L64" i="67" s="1"/>
  <c r="N64" i="67" s="1"/>
  <c r="AH64" i="67" s="1"/>
  <c r="I72" i="67"/>
  <c r="K72" i="67" s="1"/>
  <c r="L72" i="67" s="1"/>
  <c r="N72" i="67" s="1"/>
  <c r="AH72" i="67" s="1"/>
  <c r="I8" i="114"/>
  <c r="K8" i="114" s="1"/>
  <c r="L8" i="114" s="1"/>
  <c r="I71" i="115"/>
  <c r="K71" i="115" s="1"/>
  <c r="L71" i="115" s="1"/>
  <c r="I9" i="67"/>
  <c r="K9" i="67" s="1"/>
  <c r="L9" i="67" s="1"/>
  <c r="N9" i="67" s="1"/>
  <c r="AH9" i="67" s="1"/>
  <c r="I13" i="67"/>
  <c r="K13" i="67" s="1"/>
  <c r="L13" i="67" s="1"/>
  <c r="N13" i="67" s="1"/>
  <c r="AH13" i="67" s="1"/>
  <c r="I17" i="67"/>
  <c r="K17" i="67" s="1"/>
  <c r="L17" i="67" s="1"/>
  <c r="N17" i="67" s="1"/>
  <c r="AH17" i="67" s="1"/>
  <c r="I21" i="67"/>
  <c r="K21" i="67" s="1"/>
  <c r="L21" i="67" s="1"/>
  <c r="N21" i="67" s="1"/>
  <c r="AH21" i="67" s="1"/>
  <c r="I25" i="67"/>
  <c r="K25" i="67" s="1"/>
  <c r="L25" i="67" s="1"/>
  <c r="N25" i="67" s="1"/>
  <c r="AH25" i="67" s="1"/>
  <c r="I29" i="67"/>
  <c r="K29" i="67" s="1"/>
  <c r="L29" i="67" s="1"/>
  <c r="N29" i="67" s="1"/>
  <c r="AH29" i="67" s="1"/>
  <c r="I33" i="67"/>
  <c r="K33" i="67" s="1"/>
  <c r="L33" i="67" s="1"/>
  <c r="N33" i="67" s="1"/>
  <c r="AH33" i="67" s="1"/>
  <c r="I37" i="67"/>
  <c r="K37" i="67" s="1"/>
  <c r="L37" i="67" s="1"/>
  <c r="N37" i="67" s="1"/>
  <c r="AH37" i="67" s="1"/>
  <c r="I41" i="67"/>
  <c r="K41" i="67" s="1"/>
  <c r="L41" i="67" s="1"/>
  <c r="N41" i="67" s="1"/>
  <c r="AH41" i="67" s="1"/>
  <c r="I45" i="67"/>
  <c r="K45" i="67" s="1"/>
  <c r="L45" i="67" s="1"/>
  <c r="N45" i="67" s="1"/>
  <c r="AH45" i="67" s="1"/>
  <c r="I49" i="67"/>
  <c r="K49" i="67" s="1"/>
  <c r="L49" i="67" s="1"/>
  <c r="N49" i="67" s="1"/>
  <c r="AH49" i="67" s="1"/>
  <c r="I53" i="67"/>
  <c r="K53" i="67" s="1"/>
  <c r="L53" i="67" s="1"/>
  <c r="N53" i="67" s="1"/>
  <c r="AH53" i="67" s="1"/>
  <c r="I57" i="67"/>
  <c r="K57" i="67" s="1"/>
  <c r="L57" i="67" s="1"/>
  <c r="N57" i="67" s="1"/>
  <c r="AH57" i="67" s="1"/>
  <c r="I61" i="67"/>
  <c r="K61" i="67" s="1"/>
  <c r="L61" i="67" s="1"/>
  <c r="N61" i="67" s="1"/>
  <c r="AH61" i="67" s="1"/>
  <c r="I65" i="67"/>
  <c r="K65" i="67" s="1"/>
  <c r="L65" i="67" s="1"/>
  <c r="N65" i="67" s="1"/>
  <c r="AH65" i="67" s="1"/>
  <c r="I69" i="67"/>
  <c r="K69" i="67" s="1"/>
  <c r="L69" i="67" s="1"/>
  <c r="N69" i="67" s="1"/>
  <c r="AH69" i="67" s="1"/>
  <c r="I73" i="67"/>
  <c r="K73" i="67" s="1"/>
  <c r="L73" i="67" s="1"/>
  <c r="N73" i="67" s="1"/>
  <c r="AH73" i="67" s="1"/>
  <c r="I108" i="83"/>
  <c r="K108" i="83" s="1"/>
  <c r="N108" i="83" s="1"/>
  <c r="O108" i="83" s="1"/>
  <c r="I10" i="67"/>
  <c r="K10" i="67" s="1"/>
  <c r="L10" i="67" s="1"/>
  <c r="N10" i="67" s="1"/>
  <c r="AH10" i="67" s="1"/>
  <c r="I18" i="67"/>
  <c r="K18" i="67" s="1"/>
  <c r="L18" i="67" s="1"/>
  <c r="N18" i="67" s="1"/>
  <c r="AH18" i="67" s="1"/>
  <c r="I26" i="67"/>
  <c r="K26" i="67" s="1"/>
  <c r="L26" i="67" s="1"/>
  <c r="N26" i="67" s="1"/>
  <c r="AH26" i="67" s="1"/>
  <c r="I34" i="67"/>
  <c r="K34" i="67" s="1"/>
  <c r="L34" i="67" s="1"/>
  <c r="N34" i="67" s="1"/>
  <c r="AH34" i="67" s="1"/>
  <c r="I42" i="67"/>
  <c r="K42" i="67" s="1"/>
  <c r="L42" i="67" s="1"/>
  <c r="N42" i="67" s="1"/>
  <c r="AH42" i="67" s="1"/>
  <c r="I50" i="67"/>
  <c r="K50" i="67" s="1"/>
  <c r="L50" i="67" s="1"/>
  <c r="N50" i="67" s="1"/>
  <c r="AH50" i="67" s="1"/>
  <c r="I58" i="67"/>
  <c r="K58" i="67" s="1"/>
  <c r="L58" i="67" s="1"/>
  <c r="N58" i="67" s="1"/>
  <c r="AH58" i="67" s="1"/>
  <c r="I66" i="67"/>
  <c r="K66" i="67" s="1"/>
  <c r="L66" i="67" s="1"/>
  <c r="N66" i="67" s="1"/>
  <c r="AH66" i="67" s="1"/>
  <c r="I74" i="67"/>
  <c r="K74" i="67" s="1"/>
  <c r="L74" i="67" s="1"/>
  <c r="N74" i="67" s="1"/>
  <c r="AH74" i="67" s="1"/>
  <c r="I51" i="31"/>
  <c r="K51" i="31" s="1"/>
  <c r="L51" i="31" s="1"/>
  <c r="N51" i="31" s="1"/>
  <c r="I48" i="31"/>
  <c r="K48" i="31" s="1"/>
  <c r="L48" i="31" s="1"/>
  <c r="N48" i="31" s="1"/>
  <c r="I63" i="31"/>
  <c r="K63" i="31" s="1"/>
  <c r="L63" i="31" s="1"/>
  <c r="N63" i="31" s="1"/>
  <c r="I28" i="46"/>
  <c r="I35" i="31"/>
  <c r="K35" i="31" s="1"/>
  <c r="L35" i="31" s="1"/>
  <c r="N35" i="31" s="1"/>
  <c r="I21" i="31"/>
  <c r="K21" i="31" s="1"/>
  <c r="L21" i="31" s="1"/>
  <c r="N21" i="31" s="1"/>
  <c r="I36" i="31"/>
  <c r="K36" i="31" s="1"/>
  <c r="L36" i="31" s="1"/>
  <c r="N36" i="31" s="1"/>
  <c r="I60" i="31"/>
  <c r="K60" i="31" s="1"/>
  <c r="L60" i="31" s="1"/>
  <c r="N60" i="31" s="1"/>
  <c r="I46" i="31"/>
  <c r="K46" i="31" s="1"/>
  <c r="L46" i="31" s="1"/>
  <c r="N46" i="31" s="1"/>
  <c r="I23" i="46"/>
  <c r="K23" i="46" s="1"/>
  <c r="L23" i="46" s="1"/>
  <c r="I41" i="31"/>
  <c r="K41" i="31" s="1"/>
  <c r="L41" i="31" s="1"/>
  <c r="N41" i="31" s="1"/>
  <c r="I59" i="31"/>
  <c r="K59" i="31" s="1"/>
  <c r="L59" i="31" s="1"/>
  <c r="N59" i="31" s="1"/>
  <c r="I65" i="31"/>
  <c r="K65" i="31" s="1"/>
  <c r="L65" i="31" s="1"/>
  <c r="N65" i="31" s="1"/>
  <c r="I25" i="31"/>
  <c r="K25" i="31" s="1"/>
  <c r="L25" i="31" s="1"/>
  <c r="N25" i="31" s="1"/>
  <c r="I33" i="31"/>
  <c r="K33" i="31" s="1"/>
  <c r="L33" i="31" s="1"/>
  <c r="N33" i="31" s="1"/>
  <c r="I19" i="31"/>
  <c r="K19" i="31" s="1"/>
  <c r="L19" i="31" s="1"/>
  <c r="N19" i="31" s="1"/>
  <c r="I56" i="31"/>
  <c r="K56" i="31" s="1"/>
  <c r="L56" i="31" s="1"/>
  <c r="N56" i="31" s="1"/>
  <c r="I54" i="31"/>
  <c r="K54" i="31" s="1"/>
  <c r="L54" i="31" s="1"/>
  <c r="N54" i="31" s="1"/>
  <c r="I50" i="31"/>
  <c r="K50" i="31" s="1"/>
  <c r="L50" i="31" s="1"/>
  <c r="N50" i="31" s="1"/>
  <c r="I15" i="31"/>
  <c r="K15" i="31" s="1"/>
  <c r="L15" i="31" s="1"/>
  <c r="N15" i="31" s="1"/>
  <c r="I12" i="31"/>
  <c r="I39" i="31"/>
  <c r="K39" i="31" s="1"/>
  <c r="L39" i="31" s="1"/>
  <c r="N39" i="31" s="1"/>
  <c r="I52" i="31"/>
  <c r="K52" i="31" s="1"/>
  <c r="L52" i="31" s="1"/>
  <c r="N52" i="31" s="1"/>
  <c r="I15" i="46"/>
  <c r="K15" i="46" s="1"/>
  <c r="L15" i="46" s="1"/>
  <c r="P15" i="46" s="1"/>
  <c r="R15" i="46" s="1"/>
  <c r="I29" i="31"/>
  <c r="K29" i="31" s="1"/>
  <c r="L29" i="31" s="1"/>
  <c r="N29" i="31" s="1"/>
  <c r="I58" i="31"/>
  <c r="K58" i="31" s="1"/>
  <c r="L58" i="31" s="1"/>
  <c r="N58" i="31" s="1"/>
  <c r="I24" i="31"/>
  <c r="K24" i="31" s="1"/>
  <c r="L24" i="31" s="1"/>
  <c r="N24" i="31" s="1"/>
  <c r="I67" i="31"/>
  <c r="K67" i="31" s="1"/>
  <c r="L67" i="31" s="1"/>
  <c r="N67" i="31" s="1"/>
  <c r="J18" i="80"/>
  <c r="L18" i="80" s="1"/>
  <c r="M18" i="80" s="1"/>
  <c r="I36" i="118"/>
  <c r="K36" i="118" s="1"/>
  <c r="L36" i="118" s="1"/>
  <c r="I44" i="118"/>
  <c r="K44" i="118" s="1"/>
  <c r="L44" i="118" s="1"/>
  <c r="I52" i="118"/>
  <c r="K52" i="118" s="1"/>
  <c r="L52" i="118" s="1"/>
  <c r="I60" i="118"/>
  <c r="K60" i="118" s="1"/>
  <c r="L60" i="118" s="1"/>
  <c r="J28" i="80"/>
  <c r="L28" i="80" s="1"/>
  <c r="M28" i="80" s="1"/>
  <c r="J69" i="76"/>
  <c r="L69" i="76" s="1"/>
  <c r="M69" i="76" s="1"/>
  <c r="I54" i="118"/>
  <c r="K54" i="118" s="1"/>
  <c r="L54" i="118" s="1"/>
  <c r="I14" i="117"/>
  <c r="K14" i="117" s="1"/>
  <c r="L14" i="117" s="1"/>
  <c r="I22" i="117"/>
  <c r="K22" i="117" s="1"/>
  <c r="L22" i="117" s="1"/>
  <c r="I11" i="116"/>
  <c r="K11" i="116" s="1"/>
  <c r="L11" i="116" s="1"/>
  <c r="I14" i="115"/>
  <c r="K14" i="115" s="1"/>
  <c r="L14" i="115" s="1"/>
  <c r="I34" i="115"/>
  <c r="K34" i="115" s="1"/>
  <c r="L34" i="115" s="1"/>
  <c r="I50" i="115"/>
  <c r="K50" i="115" s="1"/>
  <c r="L50" i="115" s="1"/>
  <c r="I54" i="114"/>
  <c r="K54" i="114" s="1"/>
  <c r="L54" i="114" s="1"/>
  <c r="I66" i="114"/>
  <c r="K66" i="114" s="1"/>
  <c r="L66" i="114" s="1"/>
  <c r="I12" i="46"/>
  <c r="K12" i="46" s="1"/>
  <c r="L12" i="46" s="1"/>
  <c r="P12" i="46" s="1"/>
  <c r="R12" i="46" s="1"/>
  <c r="I43" i="31"/>
  <c r="K43" i="31" s="1"/>
  <c r="L43" i="31" s="1"/>
  <c r="N43" i="31" s="1"/>
  <c r="I24" i="117"/>
  <c r="K24" i="117" s="1"/>
  <c r="L24" i="117" s="1"/>
  <c r="I48" i="117"/>
  <c r="K48" i="117" s="1"/>
  <c r="L48" i="117" s="1"/>
  <c r="I21" i="116"/>
  <c r="K21" i="116" s="1"/>
  <c r="L21" i="116" s="1"/>
  <c r="I56" i="115"/>
  <c r="K56" i="115" s="1"/>
  <c r="L56" i="115" s="1"/>
  <c r="I68" i="114"/>
  <c r="K68" i="114" s="1"/>
  <c r="L68" i="114" s="1"/>
  <c r="J28" i="76"/>
  <c r="L28" i="76" s="1"/>
  <c r="M28" i="76" s="1"/>
  <c r="I11" i="118"/>
  <c r="K11" i="118" s="1"/>
  <c r="L11" i="118" s="1"/>
  <c r="I19" i="117"/>
  <c r="K19" i="117" s="1"/>
  <c r="L19" i="117" s="1"/>
  <c r="I39" i="117"/>
  <c r="K39" i="117" s="1"/>
  <c r="L39" i="117" s="1"/>
  <c r="I12" i="116"/>
  <c r="K12" i="116" s="1"/>
  <c r="L12" i="116" s="1"/>
  <c r="I59" i="115"/>
  <c r="K59" i="115" s="1"/>
  <c r="L59" i="115" s="1"/>
  <c r="I69" i="113"/>
  <c r="K69" i="113" s="1"/>
  <c r="L69" i="113" s="1"/>
  <c r="I63" i="118"/>
  <c r="K63" i="118" s="1"/>
  <c r="L63" i="118" s="1"/>
  <c r="I10" i="116"/>
  <c r="K10" i="116" s="1"/>
  <c r="L10" i="116" s="1"/>
  <c r="I25" i="114"/>
  <c r="K25" i="114" s="1"/>
  <c r="L25" i="114" s="1"/>
  <c r="I29" i="46"/>
  <c r="J29" i="115"/>
  <c r="K29" i="115" s="1"/>
  <c r="L29" i="115" s="1"/>
  <c r="I60" i="114"/>
  <c r="K60" i="114" s="1"/>
  <c r="L60" i="114" s="1"/>
  <c r="J10" i="76"/>
  <c r="L10" i="76" s="1"/>
  <c r="M10" i="76" s="1"/>
  <c r="I33" i="117"/>
  <c r="K33" i="117" s="1"/>
  <c r="L33" i="117" s="1"/>
  <c r="I17" i="116"/>
  <c r="K17" i="116" s="1"/>
  <c r="L17" i="116" s="1"/>
  <c r="I61" i="113"/>
  <c r="K61" i="113" s="1"/>
  <c r="L61" i="113" s="1"/>
  <c r="K71" i="80"/>
  <c r="J61" i="115"/>
  <c r="K61" i="115" s="1"/>
  <c r="L61" i="115" s="1"/>
  <c r="I61" i="114"/>
  <c r="K61" i="114" s="1"/>
  <c r="L61" i="114" s="1"/>
  <c r="I28" i="113"/>
  <c r="K28" i="113" s="1"/>
  <c r="L28" i="113" s="1"/>
  <c r="I32" i="116"/>
  <c r="K32" i="116" s="1"/>
  <c r="L32" i="116" s="1"/>
  <c r="I52" i="115"/>
  <c r="K52" i="115" s="1"/>
  <c r="L52" i="115" s="1"/>
  <c r="I48" i="118"/>
  <c r="K48" i="118" s="1"/>
  <c r="L48" i="118" s="1"/>
  <c r="I56" i="118"/>
  <c r="K56" i="118" s="1"/>
  <c r="L56" i="118" s="1"/>
  <c r="I72" i="118"/>
  <c r="K72" i="118" s="1"/>
  <c r="L72" i="118" s="1"/>
  <c r="I58" i="118"/>
  <c r="K58" i="118" s="1"/>
  <c r="L58" i="118" s="1"/>
  <c r="I46" i="115"/>
  <c r="K46" i="115" s="1"/>
  <c r="L46" i="115" s="1"/>
  <c r="I10" i="46"/>
  <c r="I27" i="31"/>
  <c r="K27" i="31" s="1"/>
  <c r="L27" i="31" s="1"/>
  <c r="N27" i="31" s="1"/>
  <c r="J9" i="80"/>
  <c r="L9" i="80" s="1"/>
  <c r="M9" i="80" s="1"/>
  <c r="I27" i="118"/>
  <c r="K27" i="118" s="1"/>
  <c r="L27" i="118" s="1"/>
  <c r="I11" i="117"/>
  <c r="K11" i="117" s="1"/>
  <c r="L11" i="117" s="1"/>
  <c r="I27" i="117"/>
  <c r="K27" i="117" s="1"/>
  <c r="L27" i="117" s="1"/>
  <c r="I23" i="114"/>
  <c r="K23" i="114" s="1"/>
  <c r="L23" i="114" s="1"/>
  <c r="I47" i="114"/>
  <c r="K47" i="114" s="1"/>
  <c r="L47" i="114" s="1"/>
  <c r="I57" i="113"/>
  <c r="K57" i="113" s="1"/>
  <c r="L57" i="113" s="1"/>
  <c r="I49" i="117"/>
  <c r="K49" i="117" s="1"/>
  <c r="L49" i="117" s="1"/>
  <c r="I13" i="115"/>
  <c r="K13" i="115" s="1"/>
  <c r="L13" i="115" s="1"/>
  <c r="I45" i="115"/>
  <c r="J41" i="115"/>
  <c r="K41" i="115" s="1"/>
  <c r="L41" i="115" s="1"/>
  <c r="I55" i="115"/>
  <c r="K55" i="115" s="1"/>
  <c r="L55" i="115" s="1"/>
  <c r="I49" i="31"/>
  <c r="K49" i="31" s="1"/>
  <c r="L49" i="31" s="1"/>
  <c r="N49" i="31" s="1"/>
  <c r="I55" i="31"/>
  <c r="K55" i="31" s="1"/>
  <c r="L55" i="31" s="1"/>
  <c r="N55" i="31" s="1"/>
  <c r="I40" i="33"/>
  <c r="I64" i="31"/>
  <c r="K64" i="31" s="1"/>
  <c r="L64" i="31" s="1"/>
  <c r="N64" i="31" s="1"/>
  <c r="I51" i="33"/>
  <c r="I29" i="33"/>
  <c r="I45" i="33"/>
  <c r="I15" i="33"/>
  <c r="I47" i="33"/>
  <c r="I14" i="33"/>
  <c r="I28" i="33"/>
  <c r="J40" i="80"/>
  <c r="L40" i="80" s="1"/>
  <c r="M40" i="80" s="1"/>
  <c r="J57" i="76"/>
  <c r="L57" i="76" s="1"/>
  <c r="M57" i="76" s="1"/>
  <c r="I18" i="117"/>
  <c r="K18" i="117" s="1"/>
  <c r="L18" i="117" s="1"/>
  <c r="I19" i="116"/>
  <c r="K19" i="116" s="1"/>
  <c r="L19" i="116" s="1"/>
  <c r="I63" i="116"/>
  <c r="K63" i="116" s="1"/>
  <c r="L63" i="116" s="1"/>
  <c r="I67" i="116"/>
  <c r="K67" i="116" s="1"/>
  <c r="L67" i="116" s="1"/>
  <c r="I75" i="116"/>
  <c r="K75" i="116" s="1"/>
  <c r="L75" i="116" s="1"/>
  <c r="I26" i="114"/>
  <c r="K26" i="114" s="1"/>
  <c r="L26" i="114" s="1"/>
  <c r="I56" i="117"/>
  <c r="K56" i="117" s="1"/>
  <c r="L56" i="117" s="1"/>
  <c r="I20" i="115"/>
  <c r="K20" i="115" s="1"/>
  <c r="L20" i="115" s="1"/>
  <c r="I34" i="113"/>
  <c r="K34" i="113" s="1"/>
  <c r="L34" i="113" s="1"/>
  <c r="I19" i="33"/>
  <c r="I59" i="118"/>
  <c r="K59" i="118" s="1"/>
  <c r="L59" i="118" s="1"/>
  <c r="I35" i="117"/>
  <c r="K35" i="117" s="1"/>
  <c r="L35" i="117" s="1"/>
  <c r="I71" i="117"/>
  <c r="K71" i="117" s="1"/>
  <c r="L71" i="117" s="1"/>
  <c r="I64" i="116"/>
  <c r="K64" i="116" s="1"/>
  <c r="L64" i="116" s="1"/>
  <c r="I11" i="115"/>
  <c r="K11" i="115" s="1"/>
  <c r="L11" i="115" s="1"/>
  <c r="I59" i="114"/>
  <c r="K59" i="114" s="1"/>
  <c r="L59" i="114" s="1"/>
  <c r="I53" i="113"/>
  <c r="K53" i="113" s="1"/>
  <c r="L53" i="113" s="1"/>
  <c r="I18" i="33"/>
  <c r="I34" i="33"/>
  <c r="I31" i="118"/>
  <c r="K31" i="118" s="1"/>
  <c r="L31" i="118" s="1"/>
  <c r="I50" i="33"/>
  <c r="I9" i="118"/>
  <c r="K9" i="118" s="1"/>
  <c r="L9" i="118" s="1"/>
  <c r="J7" i="117"/>
  <c r="J76" i="117" s="1"/>
  <c r="K5" i="76"/>
  <c r="K74" i="76" s="1"/>
  <c r="I74" i="33"/>
  <c r="I30" i="33"/>
  <c r="I36" i="33"/>
  <c r="I68" i="33"/>
  <c r="I7" i="67"/>
  <c r="I23" i="67"/>
  <c r="K23" i="67" s="1"/>
  <c r="L23" i="67" s="1"/>
  <c r="N23" i="67" s="1"/>
  <c r="AH23" i="67" s="1"/>
  <c r="I47" i="67"/>
  <c r="K47" i="67" s="1"/>
  <c r="L47" i="67" s="1"/>
  <c r="N47" i="67" s="1"/>
  <c r="AH47" i="67" s="1"/>
  <c r="I59" i="67"/>
  <c r="K59" i="67" s="1"/>
  <c r="L59" i="67" s="1"/>
  <c r="N59" i="67" s="1"/>
  <c r="AH59" i="67" s="1"/>
  <c r="I71" i="67"/>
  <c r="K71" i="67" s="1"/>
  <c r="L71" i="67" s="1"/>
  <c r="N71" i="67" s="1"/>
  <c r="AH71" i="67" s="1"/>
  <c r="I64" i="113"/>
  <c r="K64" i="113" s="1"/>
  <c r="L64" i="113" s="1"/>
  <c r="I13" i="33"/>
  <c r="I41" i="116"/>
  <c r="K41" i="116" s="1"/>
  <c r="L41" i="116" s="1"/>
  <c r="I67" i="33"/>
  <c r="I13" i="46"/>
  <c r="K13" i="46" s="1"/>
  <c r="L13" i="46" s="1"/>
  <c r="P13" i="46" s="1"/>
  <c r="R13" i="46" s="1"/>
  <c r="I17" i="46"/>
  <c r="K17" i="46" s="1"/>
  <c r="L17" i="46" s="1"/>
  <c r="J64" i="76"/>
  <c r="L64" i="76" s="1"/>
  <c r="M64" i="76" s="1"/>
  <c r="I15" i="115"/>
  <c r="K15" i="115" s="1"/>
  <c r="L15" i="115" s="1"/>
  <c r="I11" i="113"/>
  <c r="K11" i="113" s="1"/>
  <c r="L11" i="113" s="1"/>
  <c r="I24" i="33"/>
  <c r="I58" i="33"/>
  <c r="J53" i="115"/>
  <c r="K53" i="115" s="1"/>
  <c r="L53" i="115" s="1"/>
  <c r="J45" i="115"/>
  <c r="J31" i="80"/>
  <c r="L31" i="80" s="1"/>
  <c r="M31" i="80" s="1"/>
  <c r="J68" i="76"/>
  <c r="L68" i="76" s="1"/>
  <c r="M68" i="76" s="1"/>
  <c r="I48" i="115"/>
  <c r="K48" i="115" s="1"/>
  <c r="L48" i="115" s="1"/>
  <c r="I15" i="114"/>
  <c r="K15" i="114" s="1"/>
  <c r="L15" i="114" s="1"/>
  <c r="I11" i="33"/>
  <c r="I59" i="33"/>
  <c r="I75" i="33"/>
  <c r="I12" i="33"/>
  <c r="I20" i="33"/>
  <c r="I44" i="33"/>
  <c r="I60" i="33"/>
  <c r="I11" i="67"/>
  <c r="K11" i="67" s="1"/>
  <c r="L11" i="67" s="1"/>
  <c r="N11" i="67" s="1"/>
  <c r="AH11" i="67" s="1"/>
  <c r="I19" i="67"/>
  <c r="K19" i="67" s="1"/>
  <c r="L19" i="67" s="1"/>
  <c r="N19" i="67" s="1"/>
  <c r="AH19" i="67" s="1"/>
  <c r="I27" i="67"/>
  <c r="K27" i="67" s="1"/>
  <c r="L27" i="67" s="1"/>
  <c r="N27" i="67" s="1"/>
  <c r="AH27" i="67" s="1"/>
  <c r="I31" i="67"/>
  <c r="K31" i="67" s="1"/>
  <c r="L31" i="67" s="1"/>
  <c r="N31" i="67" s="1"/>
  <c r="AH31" i="67" s="1"/>
  <c r="I35" i="67"/>
  <c r="K35" i="67" s="1"/>
  <c r="L35" i="67" s="1"/>
  <c r="N35" i="67" s="1"/>
  <c r="AH35" i="67" s="1"/>
  <c r="I39" i="67"/>
  <c r="K39" i="67" s="1"/>
  <c r="L39" i="67" s="1"/>
  <c r="N39" i="67" s="1"/>
  <c r="AH39" i="67" s="1"/>
  <c r="I43" i="67"/>
  <c r="K43" i="67" s="1"/>
  <c r="L43" i="67" s="1"/>
  <c r="N43" i="67" s="1"/>
  <c r="AH43" i="67" s="1"/>
  <c r="I51" i="67"/>
  <c r="K51" i="67" s="1"/>
  <c r="L51" i="67" s="1"/>
  <c r="N51" i="67" s="1"/>
  <c r="AH51" i="67" s="1"/>
  <c r="I55" i="67"/>
  <c r="K55" i="67" s="1"/>
  <c r="L55" i="67" s="1"/>
  <c r="N55" i="67" s="1"/>
  <c r="AH55" i="67" s="1"/>
  <c r="I63" i="67"/>
  <c r="K63" i="67" s="1"/>
  <c r="L63" i="67" s="1"/>
  <c r="N63" i="67" s="1"/>
  <c r="AH63" i="67" s="1"/>
  <c r="I67" i="67"/>
  <c r="K67" i="67" s="1"/>
  <c r="L67" i="67" s="1"/>
  <c r="N67" i="67" s="1"/>
  <c r="AH67" i="67" s="1"/>
  <c r="I75" i="67"/>
  <c r="K75" i="67" s="1"/>
  <c r="L75" i="67" s="1"/>
  <c r="N75" i="67" s="1"/>
  <c r="AH75" i="67" s="1"/>
  <c r="J46" i="80"/>
  <c r="L46" i="80" s="1"/>
  <c r="M46" i="80" s="1"/>
  <c r="J59" i="76"/>
  <c r="L59" i="76" s="1"/>
  <c r="M59" i="76" s="1"/>
  <c r="J37" i="76"/>
  <c r="L37" i="76" s="1"/>
  <c r="M37" i="76" s="1"/>
  <c r="I31" i="116"/>
  <c r="K31" i="116" s="1"/>
  <c r="L31" i="116" s="1"/>
  <c r="I35" i="33"/>
  <c r="J7" i="80"/>
  <c r="L7" i="80" s="1"/>
  <c r="M7" i="80" s="1"/>
  <c r="J25" i="80"/>
  <c r="L25" i="80" s="1"/>
  <c r="M25" i="80" s="1"/>
  <c r="J52" i="76"/>
  <c r="L52" i="76" s="1"/>
  <c r="M52" i="76" s="1"/>
  <c r="I43" i="117"/>
  <c r="K43" i="117" s="1"/>
  <c r="L43" i="117" s="1"/>
  <c r="I10" i="33"/>
  <c r="I46" i="33"/>
  <c r="I8" i="33"/>
  <c r="I72" i="33"/>
  <c r="I26" i="117"/>
  <c r="K26" i="117" s="1"/>
  <c r="L26" i="117" s="1"/>
  <c r="I26" i="113"/>
  <c r="K26" i="113" s="1"/>
  <c r="L26" i="113" s="1"/>
  <c r="I27" i="115"/>
  <c r="K27" i="115" s="1"/>
  <c r="L27" i="115" s="1"/>
  <c r="J51" i="80"/>
  <c r="L51" i="80" s="1"/>
  <c r="M51" i="80" s="1"/>
  <c r="J67" i="80"/>
  <c r="L67" i="80" s="1"/>
  <c r="M67" i="80" s="1"/>
  <c r="J9" i="76"/>
  <c r="L9" i="76" s="1"/>
  <c r="M9" i="76" s="1"/>
  <c r="I12" i="117"/>
  <c r="K12" i="117" s="1"/>
  <c r="L12" i="117" s="1"/>
  <c r="I35" i="118"/>
  <c r="K35" i="118" s="1"/>
  <c r="L35" i="118" s="1"/>
  <c r="J63" i="80"/>
  <c r="L63" i="80" s="1"/>
  <c r="M63" i="80" s="1"/>
  <c r="J71" i="80"/>
  <c r="J47" i="80"/>
  <c r="L47" i="80" s="1"/>
  <c r="M47" i="80" s="1"/>
  <c r="J59" i="80"/>
  <c r="L59" i="80" s="1"/>
  <c r="M59" i="80" s="1"/>
  <c r="J55" i="80"/>
  <c r="L55" i="80" s="1"/>
  <c r="M55" i="80" s="1"/>
  <c r="J43" i="80"/>
  <c r="L43" i="80" s="1"/>
  <c r="M43" i="80" s="1"/>
  <c r="K5" i="80"/>
  <c r="J7" i="120"/>
  <c r="J76" i="120" s="1"/>
  <c r="J7" i="118"/>
  <c r="J76" i="118" s="1"/>
  <c r="J8" i="116"/>
  <c r="K8" i="116" s="1"/>
  <c r="L8" i="116" s="1"/>
  <c r="J29" i="46"/>
  <c r="J30" i="46" s="1"/>
  <c r="J9" i="31"/>
  <c r="J35" i="46"/>
  <c r="J7" i="119"/>
  <c r="J76" i="119" s="1"/>
  <c r="J7" i="114"/>
  <c r="J77" i="114" s="1"/>
  <c r="J12" i="31"/>
  <c r="J69" i="31" s="1"/>
  <c r="J70" i="31" s="1"/>
  <c r="J72" i="31" s="1"/>
  <c r="J7" i="113"/>
  <c r="J76" i="113" s="1"/>
  <c r="J7" i="116"/>
  <c r="I9" i="31"/>
  <c r="K36" i="33" l="1"/>
  <c r="N19" i="80"/>
  <c r="O19" i="80" s="1"/>
  <c r="Q19" i="80" s="1"/>
  <c r="M47" i="33"/>
  <c r="S44" i="33"/>
  <c r="M37" i="117"/>
  <c r="N37" i="117" s="1"/>
  <c r="P37" i="117" s="1"/>
  <c r="U37" i="117" s="1"/>
  <c r="N41" i="33"/>
  <c r="M38" i="113"/>
  <c r="N38" i="113" s="1"/>
  <c r="P38" i="113" s="1"/>
  <c r="M23" i="118"/>
  <c r="N23" i="118" s="1"/>
  <c r="P23" i="118" s="1"/>
  <c r="P46" i="33"/>
  <c r="R72" i="120"/>
  <c r="M70" i="114"/>
  <c r="N70" i="114" s="1"/>
  <c r="P70" i="114" s="1"/>
  <c r="N61" i="80"/>
  <c r="O61" i="80" s="1"/>
  <c r="Q61" i="80" s="1"/>
  <c r="M73" i="114"/>
  <c r="N73" i="114" s="1"/>
  <c r="P73" i="114" s="1"/>
  <c r="M16" i="115"/>
  <c r="N16" i="115" s="1"/>
  <c r="P16" i="115" s="1"/>
  <c r="R16" i="115" s="1"/>
  <c r="R40" i="120"/>
  <c r="O64" i="33"/>
  <c r="N70" i="76"/>
  <c r="O70" i="76" s="1"/>
  <c r="Q70" i="76" s="1"/>
  <c r="R15" i="119"/>
  <c r="R68" i="119"/>
  <c r="M60" i="116"/>
  <c r="N60" i="116" s="1"/>
  <c r="P60" i="116" s="1"/>
  <c r="R60" i="116" s="1"/>
  <c r="M72" i="116"/>
  <c r="N72" i="116" s="1"/>
  <c r="P72" i="116" s="1"/>
  <c r="M24" i="114"/>
  <c r="N24" i="114" s="1"/>
  <c r="P24" i="114" s="1"/>
  <c r="R24" i="114" s="1"/>
  <c r="K7" i="113"/>
  <c r="P24" i="33"/>
  <c r="M66" i="115"/>
  <c r="N66" i="115" s="1"/>
  <c r="P66" i="115" s="1"/>
  <c r="R52" i="120"/>
  <c r="S52" i="120" s="1"/>
  <c r="M59" i="113"/>
  <c r="N59" i="113" s="1"/>
  <c r="P59" i="113" s="1"/>
  <c r="N16" i="80"/>
  <c r="O16" i="80" s="1"/>
  <c r="Q16" i="80" s="1"/>
  <c r="S37" i="33"/>
  <c r="R11" i="120"/>
  <c r="N47" i="76"/>
  <c r="O47" i="76" s="1"/>
  <c r="Q47" i="76" s="1"/>
  <c r="M65" i="118"/>
  <c r="N65" i="118" s="1"/>
  <c r="P65" i="118" s="1"/>
  <c r="R65" i="118" s="1"/>
  <c r="S70" i="120"/>
  <c r="S54" i="120"/>
  <c r="S38" i="120"/>
  <c r="S62" i="119"/>
  <c r="S34" i="120"/>
  <c r="S72" i="120"/>
  <c r="S25" i="120"/>
  <c r="Q70" i="67"/>
  <c r="AK70" i="67" s="1"/>
  <c r="Q30" i="67"/>
  <c r="AK30" i="67" s="1"/>
  <c r="S15" i="119"/>
  <c r="Q60" i="67"/>
  <c r="AK60" i="67" s="1"/>
  <c r="Q44" i="67"/>
  <c r="AK44" i="67" s="1"/>
  <c r="Q28" i="67"/>
  <c r="AK28" i="67" s="1"/>
  <c r="Q12" i="67"/>
  <c r="AK12" i="67" s="1"/>
  <c r="S39" i="119"/>
  <c r="S74" i="119"/>
  <c r="S58" i="119"/>
  <c r="S18" i="120"/>
  <c r="S56" i="120"/>
  <c r="S9" i="120"/>
  <c r="S75" i="119"/>
  <c r="S75" i="120"/>
  <c r="Q54" i="67"/>
  <c r="AK54" i="67" s="1"/>
  <c r="Q22" i="67"/>
  <c r="AK22" i="67" s="1"/>
  <c r="S60" i="119"/>
  <c r="S68" i="119"/>
  <c r="S69" i="120"/>
  <c r="S46" i="119"/>
  <c r="S30" i="120"/>
  <c r="S20" i="120"/>
  <c r="S53" i="120"/>
  <c r="S71" i="119"/>
  <c r="S22" i="120"/>
  <c r="S23" i="119"/>
  <c r="S37" i="120"/>
  <c r="S64" i="119"/>
  <c r="S66" i="120"/>
  <c r="S59" i="120"/>
  <c r="Q46" i="67"/>
  <c r="AK46" i="67" s="1"/>
  <c r="Q14" i="67"/>
  <c r="AK14" i="67" s="1"/>
  <c r="S43" i="119"/>
  <c r="S25" i="119"/>
  <c r="S41" i="120"/>
  <c r="Q68" i="67"/>
  <c r="AK68" i="67" s="1"/>
  <c r="Q52" i="67"/>
  <c r="AK52" i="67" s="1"/>
  <c r="Q36" i="67"/>
  <c r="AK36" i="67" s="1"/>
  <c r="Q20" i="67"/>
  <c r="AK20" i="67" s="1"/>
  <c r="S57" i="120"/>
  <c r="S59" i="119"/>
  <c r="S50" i="120"/>
  <c r="S40" i="120"/>
  <c r="S27" i="119"/>
  <c r="S11" i="120"/>
  <c r="Q62" i="67"/>
  <c r="AK62" i="67" s="1"/>
  <c r="Q38" i="67"/>
  <c r="AK38" i="67" s="1"/>
  <c r="S30" i="119"/>
  <c r="S49" i="120"/>
  <c r="S21" i="120"/>
  <c r="S43" i="120"/>
  <c r="S55" i="119"/>
  <c r="S14" i="119"/>
  <c r="S41" i="119"/>
  <c r="S27" i="120"/>
  <c r="S14" i="120"/>
  <c r="S68" i="120"/>
  <c r="S11" i="119"/>
  <c r="S52" i="119"/>
  <c r="S76" i="115"/>
  <c r="AJ76" i="115" s="1"/>
  <c r="M75" i="114"/>
  <c r="N75" i="114" s="1"/>
  <c r="P75" i="114" s="1"/>
  <c r="R75" i="114" s="1"/>
  <c r="M49" i="114"/>
  <c r="N49" i="114" s="1"/>
  <c r="P49" i="114" s="1"/>
  <c r="M71" i="33"/>
  <c r="M48" i="113"/>
  <c r="N48" i="113" s="1"/>
  <c r="P48" i="113" s="1"/>
  <c r="M22" i="113"/>
  <c r="N22" i="113" s="1"/>
  <c r="P22" i="113" s="1"/>
  <c r="M32" i="33"/>
  <c r="M42" i="118"/>
  <c r="N42" i="118" s="1"/>
  <c r="P42" i="118" s="1"/>
  <c r="R42" i="118" s="1"/>
  <c r="M43" i="114"/>
  <c r="N43" i="114" s="1"/>
  <c r="P43" i="114" s="1"/>
  <c r="Q25" i="33"/>
  <c r="R29" i="119"/>
  <c r="N71" i="76"/>
  <c r="O71" i="76" s="1"/>
  <c r="Q71" i="76" s="1"/>
  <c r="S71" i="76" s="1"/>
  <c r="K15" i="33"/>
  <c r="M39" i="113"/>
  <c r="N39" i="113" s="1"/>
  <c r="P39" i="113" s="1"/>
  <c r="N44" i="33"/>
  <c r="M39" i="115"/>
  <c r="N39" i="115" s="1"/>
  <c r="P39" i="115" s="1"/>
  <c r="R39" i="115" s="1"/>
  <c r="Q58" i="33"/>
  <c r="R8" i="120"/>
  <c r="R36" i="119"/>
  <c r="M16" i="114"/>
  <c r="N16" i="114" s="1"/>
  <c r="P16" i="114" s="1"/>
  <c r="P16" i="33"/>
  <c r="N62" i="33"/>
  <c r="K72" i="33"/>
  <c r="K40" i="33"/>
  <c r="K9" i="31"/>
  <c r="L9" i="31" s="1"/>
  <c r="N9" i="31" s="1"/>
  <c r="K50" i="33"/>
  <c r="T75" i="33"/>
  <c r="K29" i="46"/>
  <c r="L29" i="46" s="1"/>
  <c r="M29" i="46" s="1"/>
  <c r="K76" i="120"/>
  <c r="L76" i="120" s="1"/>
  <c r="S45" i="33"/>
  <c r="M9" i="33"/>
  <c r="M57" i="118"/>
  <c r="N57" i="118" s="1"/>
  <c r="P57" i="118" s="1"/>
  <c r="N66" i="76"/>
  <c r="O66" i="76" s="1"/>
  <c r="Q66" i="76" s="1"/>
  <c r="R62" i="120"/>
  <c r="O24" i="33"/>
  <c r="M42" i="33"/>
  <c r="M62" i="33"/>
  <c r="M29" i="114"/>
  <c r="N29" i="114" s="1"/>
  <c r="P29" i="114" s="1"/>
  <c r="M19" i="33"/>
  <c r="O18" i="33"/>
  <c r="M23" i="33"/>
  <c r="R36" i="120"/>
  <c r="P15" i="33"/>
  <c r="R35" i="119"/>
  <c r="R20" i="119"/>
  <c r="M62" i="114"/>
  <c r="N62" i="114" s="1"/>
  <c r="P62" i="114" s="1"/>
  <c r="M66" i="113"/>
  <c r="N66" i="113" s="1"/>
  <c r="P66" i="113" s="1"/>
  <c r="M60" i="115"/>
  <c r="N60" i="115" s="1"/>
  <c r="P60" i="115" s="1"/>
  <c r="R46" i="120"/>
  <c r="K20" i="33"/>
  <c r="J38" i="46"/>
  <c r="K76" i="119"/>
  <c r="L76" i="119" s="1"/>
  <c r="M76" i="119" s="1"/>
  <c r="M8" i="116"/>
  <c r="N8" i="116" s="1"/>
  <c r="P8" i="116" s="1"/>
  <c r="P8" i="33"/>
  <c r="T49" i="33"/>
  <c r="N47" i="80"/>
  <c r="O47" i="80" s="1"/>
  <c r="Q47" i="80" s="1"/>
  <c r="T65" i="33"/>
  <c r="N63" i="80"/>
  <c r="O63" i="80" s="1"/>
  <c r="Q63" i="80" s="1"/>
  <c r="M27" i="115"/>
  <c r="N27" i="115" s="1"/>
  <c r="P27" i="115" s="1"/>
  <c r="O27" i="33"/>
  <c r="M26" i="117"/>
  <c r="N26" i="117" s="1"/>
  <c r="P26" i="117" s="1"/>
  <c r="U26" i="117" s="1"/>
  <c r="Q26" i="33"/>
  <c r="T27" i="33"/>
  <c r="N25" i="80"/>
  <c r="O25" i="80" s="1"/>
  <c r="Q25" i="80" s="1"/>
  <c r="S39" i="33"/>
  <c r="N37" i="76"/>
  <c r="O37" i="76" s="1"/>
  <c r="Q37" i="76" s="1"/>
  <c r="P67" i="67"/>
  <c r="P43" i="67"/>
  <c r="P27" i="67"/>
  <c r="K60" i="33"/>
  <c r="K75" i="33"/>
  <c r="K11" i="33"/>
  <c r="S70" i="33"/>
  <c r="N68" i="76"/>
  <c r="O68" i="76" s="1"/>
  <c r="Q68" i="76" s="1"/>
  <c r="M11" i="33"/>
  <c r="M11" i="113"/>
  <c r="N11" i="113" s="1"/>
  <c r="P11" i="113" s="1"/>
  <c r="S66" i="33"/>
  <c r="N64" i="76"/>
  <c r="O64" i="76" s="1"/>
  <c r="Q64" i="76" s="1"/>
  <c r="P59" i="67"/>
  <c r="K7" i="67"/>
  <c r="K74" i="33"/>
  <c r="M9" i="118"/>
  <c r="N9" i="118" s="1"/>
  <c r="P9" i="118" s="1"/>
  <c r="R9" i="33"/>
  <c r="K34" i="33"/>
  <c r="N59" i="33"/>
  <c r="M59" i="114"/>
  <c r="N59" i="114" s="1"/>
  <c r="P59" i="114" s="1"/>
  <c r="M35" i="117"/>
  <c r="N35" i="117" s="1"/>
  <c r="P35" i="117" s="1"/>
  <c r="U35" i="117" s="1"/>
  <c r="Q35" i="33"/>
  <c r="I43" i="33"/>
  <c r="M26" i="114"/>
  <c r="N26" i="114" s="1"/>
  <c r="P26" i="114" s="1"/>
  <c r="N26" i="33"/>
  <c r="M75" i="116"/>
  <c r="N75" i="116" s="1"/>
  <c r="P75" i="116" s="1"/>
  <c r="P75" i="33"/>
  <c r="M19" i="116"/>
  <c r="N19" i="116" s="1"/>
  <c r="P19" i="116" s="1"/>
  <c r="P19" i="33"/>
  <c r="K28" i="33"/>
  <c r="K47" i="33"/>
  <c r="O41" i="33"/>
  <c r="M41" i="115"/>
  <c r="N41" i="115" s="1"/>
  <c r="P41" i="115" s="1"/>
  <c r="K45" i="115"/>
  <c r="L45" i="115" s="1"/>
  <c r="M57" i="33"/>
  <c r="M57" i="113"/>
  <c r="N57" i="113" s="1"/>
  <c r="P57" i="113" s="1"/>
  <c r="Q11" i="33"/>
  <c r="M11" i="117"/>
  <c r="N11" i="117" s="1"/>
  <c r="P11" i="117" s="1"/>
  <c r="U11" i="117" s="1"/>
  <c r="R48" i="33"/>
  <c r="M48" i="118"/>
  <c r="N48" i="118" s="1"/>
  <c r="P48" i="118" s="1"/>
  <c r="M52" i="115"/>
  <c r="N52" i="115" s="1"/>
  <c r="P52" i="115" s="1"/>
  <c r="O52" i="33"/>
  <c r="S12" i="33"/>
  <c r="N10" i="76"/>
  <c r="O10" i="76" s="1"/>
  <c r="Q10" i="76" s="1"/>
  <c r="O59" i="33"/>
  <c r="M59" i="115"/>
  <c r="N59" i="115" s="1"/>
  <c r="P59" i="115" s="1"/>
  <c r="M11" i="118"/>
  <c r="N11" i="118" s="1"/>
  <c r="P11" i="118" s="1"/>
  <c r="R11" i="33"/>
  <c r="M21" i="116"/>
  <c r="N21" i="116" s="1"/>
  <c r="P21" i="116" s="1"/>
  <c r="P21" i="33"/>
  <c r="M66" i="114"/>
  <c r="N66" i="114" s="1"/>
  <c r="P66" i="114" s="1"/>
  <c r="N66" i="33"/>
  <c r="M22" i="117"/>
  <c r="N22" i="117" s="1"/>
  <c r="P22" i="117" s="1"/>
  <c r="U22" i="117" s="1"/>
  <c r="Q22" i="33"/>
  <c r="M54" i="118"/>
  <c r="N54" i="118" s="1"/>
  <c r="P54" i="118" s="1"/>
  <c r="R54" i="33"/>
  <c r="M52" i="118"/>
  <c r="N52" i="118" s="1"/>
  <c r="P52" i="118" s="1"/>
  <c r="R52" i="33"/>
  <c r="P23" i="46"/>
  <c r="R23" i="46" s="1"/>
  <c r="L45" i="33"/>
  <c r="P66" i="67"/>
  <c r="P50" i="67"/>
  <c r="P34" i="67"/>
  <c r="P18" i="67"/>
  <c r="P61" i="67"/>
  <c r="P45" i="67"/>
  <c r="P29" i="67"/>
  <c r="P13" i="67"/>
  <c r="P56" i="67"/>
  <c r="P24" i="67"/>
  <c r="N38" i="33"/>
  <c r="M38" i="114"/>
  <c r="N38" i="114" s="1"/>
  <c r="P38" i="114" s="1"/>
  <c r="O33" i="33"/>
  <c r="M33" i="115"/>
  <c r="N33" i="115" s="1"/>
  <c r="P33" i="115" s="1"/>
  <c r="M21" i="115"/>
  <c r="N21" i="115" s="1"/>
  <c r="P21" i="115" s="1"/>
  <c r="O21" i="33"/>
  <c r="M37" i="115"/>
  <c r="N37" i="115" s="1"/>
  <c r="P37" i="115" s="1"/>
  <c r="O37" i="33"/>
  <c r="M56" i="33"/>
  <c r="M56" i="113"/>
  <c r="N56" i="113" s="1"/>
  <c r="P56" i="113" s="1"/>
  <c r="S14" i="33"/>
  <c r="N12" i="76"/>
  <c r="O12" i="76" s="1"/>
  <c r="Q12" i="76" s="1"/>
  <c r="I25" i="118"/>
  <c r="K25" i="118" s="1"/>
  <c r="L25" i="118" s="1"/>
  <c r="N63" i="33"/>
  <c r="M63" i="114"/>
  <c r="N63" i="114" s="1"/>
  <c r="P63" i="114" s="1"/>
  <c r="R70" i="33"/>
  <c r="M70" i="118"/>
  <c r="N70" i="118" s="1"/>
  <c r="P70" i="118" s="1"/>
  <c r="M56" i="114"/>
  <c r="N56" i="114" s="1"/>
  <c r="P56" i="114" s="1"/>
  <c r="N56" i="33"/>
  <c r="M16" i="33"/>
  <c r="M16" i="113"/>
  <c r="N16" i="113" s="1"/>
  <c r="P16" i="113" s="1"/>
  <c r="N9" i="33"/>
  <c r="M9" i="114"/>
  <c r="N9" i="114" s="1"/>
  <c r="P9" i="114" s="1"/>
  <c r="P35" i="33"/>
  <c r="M35" i="116"/>
  <c r="N35" i="116" s="1"/>
  <c r="P35" i="116" s="1"/>
  <c r="J35" i="80"/>
  <c r="L35" i="80" s="1"/>
  <c r="M35" i="80" s="1"/>
  <c r="M18" i="113"/>
  <c r="N18" i="113" s="1"/>
  <c r="P18" i="113" s="1"/>
  <c r="M18" i="33"/>
  <c r="M44" i="33"/>
  <c r="M44" i="113"/>
  <c r="N44" i="113" s="1"/>
  <c r="P44" i="113" s="1"/>
  <c r="Q40" i="33"/>
  <c r="M40" i="117"/>
  <c r="N40" i="117" s="1"/>
  <c r="P40" i="117" s="1"/>
  <c r="U40" i="117" s="1"/>
  <c r="P33" i="33"/>
  <c r="M33" i="116"/>
  <c r="N33" i="116" s="1"/>
  <c r="P33" i="116" s="1"/>
  <c r="M43" i="116"/>
  <c r="N43" i="116" s="1"/>
  <c r="P43" i="116" s="1"/>
  <c r="P43" i="33"/>
  <c r="M43" i="115"/>
  <c r="N43" i="115" s="1"/>
  <c r="P43" i="115" s="1"/>
  <c r="O43" i="33"/>
  <c r="S41" i="33"/>
  <c r="N39" i="76"/>
  <c r="O39" i="76" s="1"/>
  <c r="Q39" i="76" s="1"/>
  <c r="R53" i="119"/>
  <c r="M49" i="33"/>
  <c r="M49" i="113"/>
  <c r="N49" i="113" s="1"/>
  <c r="P49" i="113" s="1"/>
  <c r="R61" i="119"/>
  <c r="S15" i="33"/>
  <c r="N13" i="76"/>
  <c r="O13" i="76" s="1"/>
  <c r="Q13" i="76" s="1"/>
  <c r="R16" i="119"/>
  <c r="P53" i="33"/>
  <c r="M53" i="116"/>
  <c r="N53" i="116" s="1"/>
  <c r="P53" i="116" s="1"/>
  <c r="M45" i="116"/>
  <c r="N45" i="116" s="1"/>
  <c r="P45" i="116" s="1"/>
  <c r="P45" i="33"/>
  <c r="R55" i="120"/>
  <c r="M76" i="120"/>
  <c r="N78" i="120" s="1"/>
  <c r="M75" i="33"/>
  <c r="M75" i="113"/>
  <c r="N75" i="113" s="1"/>
  <c r="P75" i="113" s="1"/>
  <c r="M44" i="115"/>
  <c r="N44" i="115" s="1"/>
  <c r="P44" i="115" s="1"/>
  <c r="O44" i="33"/>
  <c r="Q17" i="33"/>
  <c r="M17" i="117"/>
  <c r="N17" i="117" s="1"/>
  <c r="P17" i="117" s="1"/>
  <c r="U17" i="117" s="1"/>
  <c r="R74" i="120"/>
  <c r="R10" i="120"/>
  <c r="O42" i="33"/>
  <c r="M42" i="115"/>
  <c r="N42" i="115" s="1"/>
  <c r="P42" i="115" s="1"/>
  <c r="M55" i="33"/>
  <c r="M55" i="113"/>
  <c r="N55" i="113" s="1"/>
  <c r="P55" i="113" s="1"/>
  <c r="M69" i="116"/>
  <c r="N69" i="116" s="1"/>
  <c r="P69" i="116" s="1"/>
  <c r="P69" i="33"/>
  <c r="M61" i="118"/>
  <c r="N61" i="118" s="1"/>
  <c r="P61" i="118" s="1"/>
  <c r="R61" i="33"/>
  <c r="R32" i="120"/>
  <c r="M41" i="113"/>
  <c r="N41" i="113" s="1"/>
  <c r="P41" i="113" s="1"/>
  <c r="M41" i="33"/>
  <c r="K7" i="114"/>
  <c r="Q73" i="33"/>
  <c r="M73" i="117"/>
  <c r="N73" i="117" s="1"/>
  <c r="P73" i="117" s="1"/>
  <c r="U73" i="117" s="1"/>
  <c r="I76" i="116"/>
  <c r="M74" i="113"/>
  <c r="N74" i="113" s="1"/>
  <c r="P74" i="113" s="1"/>
  <c r="M74" i="33"/>
  <c r="R38" i="119"/>
  <c r="J77" i="115"/>
  <c r="M73" i="113"/>
  <c r="N73" i="113" s="1"/>
  <c r="P73" i="113" s="1"/>
  <c r="M73" i="33"/>
  <c r="R37" i="118"/>
  <c r="M30" i="113"/>
  <c r="N30" i="113" s="1"/>
  <c r="P30" i="113" s="1"/>
  <c r="M30" i="33"/>
  <c r="R69" i="119"/>
  <c r="N6" i="76"/>
  <c r="O6" i="76" s="1"/>
  <c r="Q6" i="76" s="1"/>
  <c r="S8" i="33"/>
  <c r="Q46" i="33"/>
  <c r="M46" i="117"/>
  <c r="N46" i="117" s="1"/>
  <c r="P46" i="117" s="1"/>
  <c r="U46" i="117" s="1"/>
  <c r="M20" i="118"/>
  <c r="N20" i="118" s="1"/>
  <c r="P20" i="118" s="1"/>
  <c r="R20" i="33"/>
  <c r="S19" i="80"/>
  <c r="S43" i="76"/>
  <c r="N65" i="76"/>
  <c r="O65" i="76" s="1"/>
  <c r="Q65" i="76" s="1"/>
  <c r="S67" i="33"/>
  <c r="O74" i="33"/>
  <c r="M74" i="115"/>
  <c r="N74" i="115" s="1"/>
  <c r="P74" i="115" s="1"/>
  <c r="R28" i="120"/>
  <c r="T38" i="33"/>
  <c r="N36" i="80"/>
  <c r="O36" i="80" s="1"/>
  <c r="Q36" i="80" s="1"/>
  <c r="N44" i="76"/>
  <c r="O44" i="76" s="1"/>
  <c r="Q44" i="76" s="1"/>
  <c r="S46" i="33"/>
  <c r="T19" i="33"/>
  <c r="N17" i="80"/>
  <c r="O17" i="80" s="1"/>
  <c r="Q17" i="80" s="1"/>
  <c r="J37" i="33"/>
  <c r="M63" i="113"/>
  <c r="N63" i="113" s="1"/>
  <c r="P63" i="113" s="1"/>
  <c r="M63" i="33"/>
  <c r="R74" i="116"/>
  <c r="R21" i="117"/>
  <c r="M47" i="115"/>
  <c r="N47" i="115" s="1"/>
  <c r="P47" i="115" s="1"/>
  <c r="O47" i="33"/>
  <c r="T59" i="33"/>
  <c r="N57" i="80"/>
  <c r="O57" i="80" s="1"/>
  <c r="Q57" i="80" s="1"/>
  <c r="M14" i="114"/>
  <c r="N14" i="114" s="1"/>
  <c r="P14" i="114" s="1"/>
  <c r="N14" i="33"/>
  <c r="R61" i="120"/>
  <c r="R17" i="120"/>
  <c r="T44" i="33"/>
  <c r="N42" i="80"/>
  <c r="O42" i="80" s="1"/>
  <c r="Q42" i="80" s="1"/>
  <c r="M13" i="33"/>
  <c r="M13" i="113"/>
  <c r="N13" i="113" s="1"/>
  <c r="P13" i="113" s="1"/>
  <c r="Q29" i="33"/>
  <c r="M29" i="117"/>
  <c r="N29" i="117" s="1"/>
  <c r="P29" i="117" s="1"/>
  <c r="U29" i="117" s="1"/>
  <c r="S72" i="76"/>
  <c r="S65" i="80"/>
  <c r="R43" i="114"/>
  <c r="Q8" i="33"/>
  <c r="M8" i="117"/>
  <c r="N8" i="117" s="1"/>
  <c r="P8" i="117" s="1"/>
  <c r="U8" i="117" s="1"/>
  <c r="R24" i="120"/>
  <c r="R9" i="113"/>
  <c r="M31" i="117"/>
  <c r="N31" i="117" s="1"/>
  <c r="P31" i="117" s="1"/>
  <c r="U31" i="117" s="1"/>
  <c r="Q31" i="33"/>
  <c r="J41" i="33"/>
  <c r="R12" i="113"/>
  <c r="R14" i="33"/>
  <c r="M14" i="118"/>
  <c r="N14" i="118" s="1"/>
  <c r="P14" i="118" s="1"/>
  <c r="R66" i="115"/>
  <c r="M29" i="113"/>
  <c r="N29" i="113" s="1"/>
  <c r="P29" i="113" s="1"/>
  <c r="M29" i="33"/>
  <c r="R21" i="114"/>
  <c r="R36" i="116"/>
  <c r="R16" i="118"/>
  <c r="M25" i="113"/>
  <c r="N25" i="113" s="1"/>
  <c r="P25" i="113" s="1"/>
  <c r="M25" i="33"/>
  <c r="P40" i="33"/>
  <c r="M40" i="116"/>
  <c r="N40" i="116" s="1"/>
  <c r="P40" i="116" s="1"/>
  <c r="R38" i="116"/>
  <c r="R13" i="33"/>
  <c r="M13" i="118"/>
  <c r="N13" i="118" s="1"/>
  <c r="P13" i="118" s="1"/>
  <c r="R43" i="33"/>
  <c r="M43" i="118"/>
  <c r="N43" i="118" s="1"/>
  <c r="P43" i="118" s="1"/>
  <c r="M68" i="113"/>
  <c r="N68" i="113" s="1"/>
  <c r="P68" i="113" s="1"/>
  <c r="M68" i="33"/>
  <c r="R35" i="120"/>
  <c r="N15" i="76"/>
  <c r="O15" i="76" s="1"/>
  <c r="Q15" i="76" s="1"/>
  <c r="S17" i="33"/>
  <c r="R34" i="114"/>
  <c r="T10" i="33"/>
  <c r="N8" i="80"/>
  <c r="O8" i="80" s="1"/>
  <c r="Q8" i="80" s="1"/>
  <c r="R66" i="33"/>
  <c r="M66" i="118"/>
  <c r="N66" i="118" s="1"/>
  <c r="P66" i="118" s="1"/>
  <c r="R65" i="113"/>
  <c r="R62" i="113"/>
  <c r="M25" i="116"/>
  <c r="N25" i="116" s="1"/>
  <c r="P25" i="116" s="1"/>
  <c r="P25" i="33"/>
  <c r="R31" i="120"/>
  <c r="M73" i="116"/>
  <c r="N73" i="116" s="1"/>
  <c r="P73" i="116" s="1"/>
  <c r="P73" i="33"/>
  <c r="N22" i="33"/>
  <c r="M22" i="114"/>
  <c r="N22" i="114" s="1"/>
  <c r="P22" i="114" s="1"/>
  <c r="R69" i="118"/>
  <c r="N63" i="76"/>
  <c r="O63" i="76" s="1"/>
  <c r="Q63" i="76" s="1"/>
  <c r="S65" i="33"/>
  <c r="R67" i="113"/>
  <c r="R44" i="117"/>
  <c r="R62" i="118"/>
  <c r="R70" i="119"/>
  <c r="M51" i="115"/>
  <c r="N51" i="115" s="1"/>
  <c r="P51" i="115" s="1"/>
  <c r="O51" i="33"/>
  <c r="S35" i="76"/>
  <c r="T51" i="33"/>
  <c r="N49" i="80"/>
  <c r="O49" i="80" s="1"/>
  <c r="Q49" i="80" s="1"/>
  <c r="M71" i="116"/>
  <c r="N71" i="116" s="1"/>
  <c r="P71" i="116" s="1"/>
  <c r="P71" i="33"/>
  <c r="M12" i="114"/>
  <c r="N12" i="114" s="1"/>
  <c r="P12" i="114" s="1"/>
  <c r="N12" i="33"/>
  <c r="S58" i="33"/>
  <c r="N56" i="76"/>
  <c r="O56" i="76" s="1"/>
  <c r="Q56" i="76" s="1"/>
  <c r="R72" i="116"/>
  <c r="S70" i="76"/>
  <c r="R49" i="115"/>
  <c r="R31" i="114"/>
  <c r="R15" i="116"/>
  <c r="S38" i="80"/>
  <c r="R51" i="113"/>
  <c r="J7" i="33"/>
  <c r="L5" i="80"/>
  <c r="K74" i="80"/>
  <c r="R35" i="33"/>
  <c r="M35" i="118"/>
  <c r="N35" i="118" s="1"/>
  <c r="P35" i="118" s="1"/>
  <c r="S11" i="33"/>
  <c r="N9" i="76"/>
  <c r="O9" i="76" s="1"/>
  <c r="Q9" i="76" s="1"/>
  <c r="M26" i="113"/>
  <c r="N26" i="113" s="1"/>
  <c r="P26" i="113" s="1"/>
  <c r="M26" i="33"/>
  <c r="I62" i="33"/>
  <c r="I66" i="33"/>
  <c r="K46" i="33"/>
  <c r="K10" i="33"/>
  <c r="T9" i="33"/>
  <c r="N7" i="80"/>
  <c r="O7" i="80" s="1"/>
  <c r="Q7" i="80" s="1"/>
  <c r="I61" i="33"/>
  <c r="I9" i="33"/>
  <c r="P31" i="33"/>
  <c r="M31" i="116"/>
  <c r="N31" i="116" s="1"/>
  <c r="P31" i="116" s="1"/>
  <c r="S61" i="33"/>
  <c r="N59" i="76"/>
  <c r="O59" i="76" s="1"/>
  <c r="Q59" i="76" s="1"/>
  <c r="P63" i="67"/>
  <c r="P39" i="67"/>
  <c r="P19" i="67"/>
  <c r="N15" i="33"/>
  <c r="M15" i="114"/>
  <c r="N15" i="114" s="1"/>
  <c r="P15" i="114" s="1"/>
  <c r="T33" i="33"/>
  <c r="N31" i="80"/>
  <c r="O31" i="80" s="1"/>
  <c r="Q31" i="80" s="1"/>
  <c r="O53" i="33"/>
  <c r="M53" i="115"/>
  <c r="N53" i="115" s="1"/>
  <c r="P53" i="115" s="1"/>
  <c r="I64" i="33"/>
  <c r="I48" i="33"/>
  <c r="K24" i="33"/>
  <c r="I31" i="33"/>
  <c r="I69" i="33"/>
  <c r="K69" i="33" s="1"/>
  <c r="M64" i="113"/>
  <c r="N64" i="113" s="1"/>
  <c r="P64" i="113" s="1"/>
  <c r="M64" i="33"/>
  <c r="P47" i="67"/>
  <c r="M11" i="115"/>
  <c r="N11" i="115" s="1"/>
  <c r="P11" i="115" s="1"/>
  <c r="O11" i="33"/>
  <c r="M59" i="118"/>
  <c r="N59" i="118" s="1"/>
  <c r="P59" i="118" s="1"/>
  <c r="R59" i="33"/>
  <c r="M20" i="115"/>
  <c r="N20" i="115" s="1"/>
  <c r="P20" i="115" s="1"/>
  <c r="O20" i="33"/>
  <c r="M56" i="117"/>
  <c r="N56" i="117" s="1"/>
  <c r="P56" i="117" s="1"/>
  <c r="U56" i="117" s="1"/>
  <c r="Q56" i="33"/>
  <c r="I53" i="33"/>
  <c r="I37" i="33"/>
  <c r="I21" i="33"/>
  <c r="M67" i="116"/>
  <c r="N67" i="116" s="1"/>
  <c r="P67" i="116" s="1"/>
  <c r="P67" i="33"/>
  <c r="O13" i="33"/>
  <c r="M13" i="115"/>
  <c r="N13" i="115" s="1"/>
  <c r="P13" i="115" s="1"/>
  <c r="N47" i="33"/>
  <c r="M47" i="114"/>
  <c r="N47" i="114" s="1"/>
  <c r="P47" i="114" s="1"/>
  <c r="R27" i="33"/>
  <c r="M27" i="118"/>
  <c r="N27" i="118" s="1"/>
  <c r="P27" i="118" s="1"/>
  <c r="M46" i="115"/>
  <c r="N46" i="115" s="1"/>
  <c r="P46" i="115" s="1"/>
  <c r="O46" i="33"/>
  <c r="P32" i="33"/>
  <c r="M32" i="116"/>
  <c r="N32" i="116" s="1"/>
  <c r="P32" i="116" s="1"/>
  <c r="M28" i="33"/>
  <c r="M28" i="113"/>
  <c r="N28" i="113" s="1"/>
  <c r="P28" i="113" s="1"/>
  <c r="M61" i="113"/>
  <c r="N61" i="113" s="1"/>
  <c r="P61" i="113" s="1"/>
  <c r="M61" i="33"/>
  <c r="M60" i="114"/>
  <c r="N60" i="114" s="1"/>
  <c r="P60" i="114" s="1"/>
  <c r="N60" i="33"/>
  <c r="P10" i="33"/>
  <c r="M10" i="116"/>
  <c r="N10" i="116" s="1"/>
  <c r="P10" i="116" s="1"/>
  <c r="P12" i="33"/>
  <c r="M12" i="116"/>
  <c r="N12" i="116" s="1"/>
  <c r="P12" i="116" s="1"/>
  <c r="S30" i="33"/>
  <c r="N28" i="76"/>
  <c r="O28" i="76" s="1"/>
  <c r="Q28" i="76" s="1"/>
  <c r="M56" i="115"/>
  <c r="N56" i="115" s="1"/>
  <c r="P56" i="115" s="1"/>
  <c r="O56" i="33"/>
  <c r="M50" i="115"/>
  <c r="N50" i="115" s="1"/>
  <c r="P50" i="115" s="1"/>
  <c r="O50" i="33"/>
  <c r="M11" i="116"/>
  <c r="N11" i="116" s="1"/>
  <c r="P11" i="116" s="1"/>
  <c r="P11" i="33"/>
  <c r="M14" i="117"/>
  <c r="N14" i="117" s="1"/>
  <c r="P14" i="117" s="1"/>
  <c r="U14" i="117" s="1"/>
  <c r="Q14" i="33"/>
  <c r="M44" i="118"/>
  <c r="N44" i="118" s="1"/>
  <c r="P44" i="118" s="1"/>
  <c r="R44" i="33"/>
  <c r="I30" i="46"/>
  <c r="K28" i="46"/>
  <c r="P73" i="67"/>
  <c r="P57" i="67"/>
  <c r="P41" i="67"/>
  <c r="P25" i="67"/>
  <c r="P9" i="67"/>
  <c r="P48" i="67"/>
  <c r="I16" i="67"/>
  <c r="K16" i="67" s="1"/>
  <c r="L16" i="67" s="1"/>
  <c r="N16" i="67" s="1"/>
  <c r="AH16" i="67" s="1"/>
  <c r="M17" i="115"/>
  <c r="N17" i="115" s="1"/>
  <c r="P17" i="115" s="1"/>
  <c r="O17" i="33"/>
  <c r="O19" i="33"/>
  <c r="M19" i="115"/>
  <c r="N19" i="115" s="1"/>
  <c r="P19" i="115" s="1"/>
  <c r="S29" i="33"/>
  <c r="N27" i="76"/>
  <c r="O27" i="76" s="1"/>
  <c r="Q27" i="76" s="1"/>
  <c r="M33" i="33"/>
  <c r="M33" i="113"/>
  <c r="N33" i="113" s="1"/>
  <c r="P33" i="113" s="1"/>
  <c r="P48" i="33"/>
  <c r="M48" i="116"/>
  <c r="N48" i="116" s="1"/>
  <c r="P48" i="116" s="1"/>
  <c r="M28" i="117"/>
  <c r="N28" i="117" s="1"/>
  <c r="P28" i="117" s="1"/>
  <c r="U28" i="117" s="1"/>
  <c r="Q28" i="33"/>
  <c r="T22" i="33"/>
  <c r="N20" i="80"/>
  <c r="O20" i="80" s="1"/>
  <c r="Q20" i="80" s="1"/>
  <c r="M9" i="116"/>
  <c r="N9" i="116" s="1"/>
  <c r="P9" i="116" s="1"/>
  <c r="P9" i="33"/>
  <c r="M68" i="115"/>
  <c r="N68" i="115" s="1"/>
  <c r="P68" i="115" s="1"/>
  <c r="O68" i="33"/>
  <c r="O58" i="33"/>
  <c r="M58" i="115"/>
  <c r="N58" i="115" s="1"/>
  <c r="P58" i="115" s="1"/>
  <c r="T54" i="33"/>
  <c r="N52" i="80"/>
  <c r="O52" i="80" s="1"/>
  <c r="Q52" i="80" s="1"/>
  <c r="Q52" i="33"/>
  <c r="M52" i="117"/>
  <c r="N52" i="117" s="1"/>
  <c r="P52" i="117" s="1"/>
  <c r="U52" i="117" s="1"/>
  <c r="N40" i="33"/>
  <c r="M40" i="114"/>
  <c r="N40" i="114" s="1"/>
  <c r="P40" i="114" s="1"/>
  <c r="R41" i="33"/>
  <c r="M41" i="118"/>
  <c r="N41" i="118" s="1"/>
  <c r="P41" i="118" s="1"/>
  <c r="M10" i="118"/>
  <c r="N10" i="118" s="1"/>
  <c r="P10" i="118" s="1"/>
  <c r="R10" i="33"/>
  <c r="N64" i="80"/>
  <c r="O64" i="80" s="1"/>
  <c r="Q64" i="80" s="1"/>
  <c r="T66" i="33"/>
  <c r="M24" i="113"/>
  <c r="N24" i="113" s="1"/>
  <c r="P24" i="113" s="1"/>
  <c r="M24" i="33"/>
  <c r="M40" i="113"/>
  <c r="N40" i="113" s="1"/>
  <c r="P40" i="113" s="1"/>
  <c r="M40" i="33"/>
  <c r="P42" i="33"/>
  <c r="M42" i="116"/>
  <c r="N42" i="116" s="1"/>
  <c r="P42" i="116" s="1"/>
  <c r="M55" i="117"/>
  <c r="N55" i="117" s="1"/>
  <c r="P55" i="117" s="1"/>
  <c r="U55" i="117" s="1"/>
  <c r="Q55" i="33"/>
  <c r="P37" i="33"/>
  <c r="M37" i="116"/>
  <c r="N37" i="116" s="1"/>
  <c r="P37" i="116" s="1"/>
  <c r="R19" i="33"/>
  <c r="M19" i="118"/>
  <c r="N19" i="118" s="1"/>
  <c r="P19" i="118" s="1"/>
  <c r="T28" i="33"/>
  <c r="N26" i="80"/>
  <c r="O26" i="80" s="1"/>
  <c r="Q26" i="80" s="1"/>
  <c r="R37" i="119"/>
  <c r="R71" i="33"/>
  <c r="M71" i="118"/>
  <c r="N71" i="118" s="1"/>
  <c r="P71" i="118" s="1"/>
  <c r="R42" i="119"/>
  <c r="T50" i="33"/>
  <c r="N48" i="80"/>
  <c r="O48" i="80" s="1"/>
  <c r="Q48" i="80" s="1"/>
  <c r="N66" i="80"/>
  <c r="O66" i="80" s="1"/>
  <c r="Q66" i="80" s="1"/>
  <c r="T68" i="33"/>
  <c r="M59" i="117"/>
  <c r="N59" i="117" s="1"/>
  <c r="P59" i="117" s="1"/>
  <c r="U59" i="117" s="1"/>
  <c r="Q59" i="33"/>
  <c r="R45" i="33"/>
  <c r="M45" i="118"/>
  <c r="N45" i="118" s="1"/>
  <c r="P45" i="118" s="1"/>
  <c r="R39" i="120"/>
  <c r="M50" i="113"/>
  <c r="N50" i="113" s="1"/>
  <c r="P50" i="113" s="1"/>
  <c r="M50" i="33"/>
  <c r="M54" i="116"/>
  <c r="N54" i="116" s="1"/>
  <c r="P54" i="116" s="1"/>
  <c r="P54" i="33"/>
  <c r="R50" i="33"/>
  <c r="M50" i="118"/>
  <c r="N50" i="118" s="1"/>
  <c r="P50" i="118" s="1"/>
  <c r="R58" i="120"/>
  <c r="N53" i="76"/>
  <c r="O53" i="76" s="1"/>
  <c r="Q53" i="76" s="1"/>
  <c r="S55" i="33"/>
  <c r="M29" i="116"/>
  <c r="N29" i="116" s="1"/>
  <c r="P29" i="116" s="1"/>
  <c r="P29" i="33"/>
  <c r="M46" i="113"/>
  <c r="N46" i="113" s="1"/>
  <c r="P46" i="113" s="1"/>
  <c r="M46" i="33"/>
  <c r="M58" i="116"/>
  <c r="N58" i="116" s="1"/>
  <c r="P58" i="116" s="1"/>
  <c r="P58" i="33"/>
  <c r="M51" i="118"/>
  <c r="N51" i="118" s="1"/>
  <c r="P51" i="118" s="1"/>
  <c r="R51" i="33"/>
  <c r="R16" i="120"/>
  <c r="N71" i="33"/>
  <c r="M71" i="114"/>
  <c r="N71" i="114" s="1"/>
  <c r="P71" i="114" s="1"/>
  <c r="O67" i="33"/>
  <c r="M67" i="115"/>
  <c r="N67" i="115" s="1"/>
  <c r="P67" i="115" s="1"/>
  <c r="Q9" i="33"/>
  <c r="M9" i="117"/>
  <c r="N9" i="117" s="1"/>
  <c r="P9" i="117" s="1"/>
  <c r="U9" i="117" s="1"/>
  <c r="R49" i="119"/>
  <c r="M27" i="113"/>
  <c r="N27" i="113" s="1"/>
  <c r="P27" i="113" s="1"/>
  <c r="M27" i="33"/>
  <c r="R22" i="119"/>
  <c r="R44" i="119"/>
  <c r="O63" i="33"/>
  <c r="M63" i="115"/>
  <c r="N63" i="115" s="1"/>
  <c r="P63" i="115" s="1"/>
  <c r="R67" i="119"/>
  <c r="N64" i="33"/>
  <c r="M64" i="114"/>
  <c r="N64" i="114" s="1"/>
  <c r="P64" i="114" s="1"/>
  <c r="R51" i="120"/>
  <c r="T36" i="33"/>
  <c r="N34" i="80"/>
  <c r="O34" i="80" s="1"/>
  <c r="Q34" i="80" s="1"/>
  <c r="N50" i="33"/>
  <c r="M50" i="114"/>
  <c r="N50" i="114" s="1"/>
  <c r="P50" i="114" s="1"/>
  <c r="O22" i="33"/>
  <c r="M22" i="115"/>
  <c r="N22" i="115" s="1"/>
  <c r="P22" i="115" s="1"/>
  <c r="R46" i="116"/>
  <c r="M74" i="118"/>
  <c r="N74" i="118" s="1"/>
  <c r="P74" i="118" s="1"/>
  <c r="R74" i="33"/>
  <c r="R63" i="119"/>
  <c r="M44" i="116"/>
  <c r="N44" i="116" s="1"/>
  <c r="P44" i="116" s="1"/>
  <c r="P44" i="33"/>
  <c r="R70" i="117"/>
  <c r="R12" i="120"/>
  <c r="R76" i="114"/>
  <c r="N60" i="80"/>
  <c r="O60" i="80" s="1"/>
  <c r="Q60" i="80" s="1"/>
  <c r="T62" i="33"/>
  <c r="J13" i="33"/>
  <c r="K13" i="33" s="1"/>
  <c r="J45" i="33"/>
  <c r="K45" i="33" s="1"/>
  <c r="J8" i="33"/>
  <c r="K8" i="33" s="1"/>
  <c r="M30" i="116"/>
  <c r="N30" i="116" s="1"/>
  <c r="P30" i="116" s="1"/>
  <c r="P30" i="33"/>
  <c r="S64" i="33"/>
  <c r="N62" i="76"/>
  <c r="O62" i="76" s="1"/>
  <c r="Q62" i="76" s="1"/>
  <c r="M28" i="116"/>
  <c r="N28" i="116" s="1"/>
  <c r="P28" i="116" s="1"/>
  <c r="P28" i="33"/>
  <c r="S29" i="80"/>
  <c r="R10" i="117"/>
  <c r="R66" i="119"/>
  <c r="S11" i="76"/>
  <c r="S30" i="80"/>
  <c r="R72" i="119"/>
  <c r="R72" i="114"/>
  <c r="R57" i="119"/>
  <c r="S50" i="80"/>
  <c r="R42" i="117"/>
  <c r="S56" i="80"/>
  <c r="M38" i="118"/>
  <c r="N38" i="118" s="1"/>
  <c r="P38" i="118" s="1"/>
  <c r="R38" i="33"/>
  <c r="N46" i="76"/>
  <c r="O46" i="76" s="1"/>
  <c r="Q46" i="76" s="1"/>
  <c r="S48" i="33"/>
  <c r="R35" i="115"/>
  <c r="S8" i="76"/>
  <c r="J52" i="33"/>
  <c r="S16" i="76"/>
  <c r="M40" i="115"/>
  <c r="N40" i="115" s="1"/>
  <c r="P40" i="115" s="1"/>
  <c r="O40" i="33"/>
  <c r="R19" i="119"/>
  <c r="R16" i="117"/>
  <c r="R36" i="113"/>
  <c r="M50" i="117"/>
  <c r="N50" i="117" s="1"/>
  <c r="P50" i="117" s="1"/>
  <c r="U50" i="117" s="1"/>
  <c r="Q50" i="33"/>
  <c r="S42" i="76"/>
  <c r="R70" i="116"/>
  <c r="R33" i="114"/>
  <c r="R53" i="118"/>
  <c r="T46" i="33"/>
  <c r="N44" i="80"/>
  <c r="O44" i="80" s="1"/>
  <c r="Q44" i="80" s="1"/>
  <c r="R32" i="115"/>
  <c r="R36" i="117"/>
  <c r="R38" i="117"/>
  <c r="N65" i="33"/>
  <c r="M65" i="114"/>
  <c r="N65" i="114" s="1"/>
  <c r="P65" i="114" s="1"/>
  <c r="M57" i="117"/>
  <c r="N57" i="117" s="1"/>
  <c r="P57" i="117" s="1"/>
  <c r="U57" i="117" s="1"/>
  <c r="Q57" i="33"/>
  <c r="S40" i="33"/>
  <c r="N38" i="76"/>
  <c r="O38" i="76" s="1"/>
  <c r="Q38" i="76" s="1"/>
  <c r="J42" i="33"/>
  <c r="R73" i="114"/>
  <c r="S28" i="33"/>
  <c r="N26" i="76"/>
  <c r="O26" i="76" s="1"/>
  <c r="Q26" i="76" s="1"/>
  <c r="I77" i="115"/>
  <c r="S45" i="80"/>
  <c r="R42" i="113"/>
  <c r="R58" i="117"/>
  <c r="R22" i="118"/>
  <c r="K7" i="119"/>
  <c r="L7" i="119" s="1"/>
  <c r="M7" i="119" s="1"/>
  <c r="N7" i="119" s="1"/>
  <c r="P7" i="119" s="1"/>
  <c r="R13" i="120"/>
  <c r="R40" i="118"/>
  <c r="T72" i="33"/>
  <c r="N70" i="80"/>
  <c r="O70" i="80" s="1"/>
  <c r="Q70" i="80" s="1"/>
  <c r="R50" i="119"/>
  <c r="R27" i="116"/>
  <c r="R8" i="118"/>
  <c r="R15" i="120"/>
  <c r="M45" i="33"/>
  <c r="M45" i="113"/>
  <c r="N45" i="113" s="1"/>
  <c r="P45" i="113" s="1"/>
  <c r="S48" i="76"/>
  <c r="T70" i="33"/>
  <c r="N68" i="80"/>
  <c r="O68" i="80" s="1"/>
  <c r="Q68" i="80" s="1"/>
  <c r="R10" i="115"/>
  <c r="R23" i="118"/>
  <c r="T24" i="33"/>
  <c r="N22" i="80"/>
  <c r="O22" i="80" s="1"/>
  <c r="Q22" i="80" s="1"/>
  <c r="R64" i="115"/>
  <c r="R41" i="117"/>
  <c r="S18" i="76"/>
  <c r="J17" i="33"/>
  <c r="S22" i="76"/>
  <c r="R58" i="113"/>
  <c r="S14" i="80"/>
  <c r="R69" i="117"/>
  <c r="S20" i="76"/>
  <c r="R8" i="113"/>
  <c r="R30" i="114"/>
  <c r="R26" i="118"/>
  <c r="M64" i="118"/>
  <c r="N64" i="118" s="1"/>
  <c r="P64" i="118" s="1"/>
  <c r="R64" i="33"/>
  <c r="R47" i="116"/>
  <c r="M21" i="33"/>
  <c r="M21" i="113"/>
  <c r="N21" i="113" s="1"/>
  <c r="P21" i="113" s="1"/>
  <c r="R54" i="117"/>
  <c r="R71" i="113"/>
  <c r="T57" i="33"/>
  <c r="N55" i="80"/>
  <c r="O55" i="80" s="1"/>
  <c r="Q55" i="80" s="1"/>
  <c r="T53" i="33"/>
  <c r="N51" i="80"/>
  <c r="O51" i="80" s="1"/>
  <c r="Q51" i="80" s="1"/>
  <c r="Q43" i="33"/>
  <c r="M43" i="117"/>
  <c r="N43" i="117" s="1"/>
  <c r="P43" i="117" s="1"/>
  <c r="U43" i="117" s="1"/>
  <c r="K35" i="33"/>
  <c r="T48" i="33"/>
  <c r="N46" i="80"/>
  <c r="O46" i="80" s="1"/>
  <c r="Q46" i="80" s="1"/>
  <c r="P55" i="67"/>
  <c r="P35" i="67"/>
  <c r="P11" i="67"/>
  <c r="K44" i="33"/>
  <c r="K12" i="33"/>
  <c r="K59" i="33"/>
  <c r="I57" i="33"/>
  <c r="O48" i="33"/>
  <c r="M48" i="115"/>
  <c r="N48" i="115" s="1"/>
  <c r="P48" i="115" s="1"/>
  <c r="K67" i="33"/>
  <c r="P41" i="33"/>
  <c r="M41" i="116"/>
  <c r="N41" i="116" s="1"/>
  <c r="P41" i="116" s="1"/>
  <c r="P23" i="67"/>
  <c r="K68" i="33"/>
  <c r="K30" i="33"/>
  <c r="M31" i="118"/>
  <c r="N31" i="118" s="1"/>
  <c r="P31" i="118" s="1"/>
  <c r="R31" i="33"/>
  <c r="K18" i="33"/>
  <c r="M64" i="116"/>
  <c r="N64" i="116" s="1"/>
  <c r="P64" i="116" s="1"/>
  <c r="P64" i="33"/>
  <c r="K19" i="33"/>
  <c r="M63" i="116"/>
  <c r="N63" i="116" s="1"/>
  <c r="P63" i="116" s="1"/>
  <c r="P63" i="33"/>
  <c r="M18" i="117"/>
  <c r="N18" i="117" s="1"/>
  <c r="P18" i="117" s="1"/>
  <c r="U18" i="117" s="1"/>
  <c r="Q18" i="33"/>
  <c r="K14" i="33"/>
  <c r="K51" i="33"/>
  <c r="M55" i="115"/>
  <c r="N55" i="115" s="1"/>
  <c r="P55" i="115" s="1"/>
  <c r="O55" i="33"/>
  <c r="N23" i="33"/>
  <c r="M23" i="114"/>
  <c r="N23" i="114" s="1"/>
  <c r="P23" i="114" s="1"/>
  <c r="K10" i="46"/>
  <c r="R72" i="33"/>
  <c r="M72" i="118"/>
  <c r="N72" i="118" s="1"/>
  <c r="P72" i="118" s="1"/>
  <c r="N61" i="33"/>
  <c r="M61" i="114"/>
  <c r="N61" i="114" s="1"/>
  <c r="P61" i="114" s="1"/>
  <c r="P17" i="33"/>
  <c r="M17" i="116"/>
  <c r="N17" i="116" s="1"/>
  <c r="P17" i="116" s="1"/>
  <c r="M63" i="118"/>
  <c r="N63" i="118" s="1"/>
  <c r="P63" i="118" s="1"/>
  <c r="R63" i="33"/>
  <c r="Q39" i="33"/>
  <c r="M39" i="117"/>
  <c r="N39" i="117" s="1"/>
  <c r="P39" i="117" s="1"/>
  <c r="U39" i="117" s="1"/>
  <c r="M68" i="114"/>
  <c r="N68" i="114" s="1"/>
  <c r="P68" i="114" s="1"/>
  <c r="N68" i="33"/>
  <c r="Q48" i="33"/>
  <c r="M48" i="117"/>
  <c r="N48" i="117" s="1"/>
  <c r="P48" i="117" s="1"/>
  <c r="U48" i="117" s="1"/>
  <c r="N54" i="33"/>
  <c r="M54" i="114"/>
  <c r="N54" i="114" s="1"/>
  <c r="P54" i="114" s="1"/>
  <c r="M34" i="115"/>
  <c r="N34" i="115" s="1"/>
  <c r="P34" i="115" s="1"/>
  <c r="O34" i="33"/>
  <c r="S71" i="33"/>
  <c r="N69" i="76"/>
  <c r="O69" i="76" s="1"/>
  <c r="Q69" i="76" s="1"/>
  <c r="I7" i="117"/>
  <c r="R36" i="33"/>
  <c r="M36" i="118"/>
  <c r="N36" i="118" s="1"/>
  <c r="P36" i="118" s="1"/>
  <c r="T15" i="46"/>
  <c r="K12" i="31"/>
  <c r="P74" i="67"/>
  <c r="P58" i="67"/>
  <c r="P42" i="67"/>
  <c r="P26" i="67"/>
  <c r="P10" i="67"/>
  <c r="P69" i="67"/>
  <c r="P53" i="67"/>
  <c r="P37" i="67"/>
  <c r="P21" i="67"/>
  <c r="O71" i="33"/>
  <c r="M71" i="115"/>
  <c r="N71" i="115" s="1"/>
  <c r="P71" i="115" s="1"/>
  <c r="N8" i="33"/>
  <c r="M8" i="114"/>
  <c r="N8" i="114" s="1"/>
  <c r="P8" i="114" s="1"/>
  <c r="P72" i="67"/>
  <c r="P40" i="67"/>
  <c r="P8" i="67"/>
  <c r="O25" i="33"/>
  <c r="M25" i="115"/>
  <c r="N25" i="115" s="1"/>
  <c r="P25" i="115" s="1"/>
  <c r="P62" i="33"/>
  <c r="M62" i="116"/>
  <c r="N62" i="116" s="1"/>
  <c r="P62" i="116" s="1"/>
  <c r="R30" i="33"/>
  <c r="M30" i="118"/>
  <c r="N30" i="118" s="1"/>
  <c r="P30" i="118" s="1"/>
  <c r="N48" i="33"/>
  <c r="M48" i="114"/>
  <c r="N48" i="114" s="1"/>
  <c r="P48" i="114" s="1"/>
  <c r="N33" i="76"/>
  <c r="O33" i="76" s="1"/>
  <c r="Q33" i="76" s="1"/>
  <c r="S35" i="33"/>
  <c r="Q72" i="33"/>
  <c r="M72" i="117"/>
  <c r="N72" i="117" s="1"/>
  <c r="P72" i="117" s="1"/>
  <c r="U72" i="117" s="1"/>
  <c r="Q32" i="33"/>
  <c r="M32" i="117"/>
  <c r="N32" i="117" s="1"/>
  <c r="P32" i="117" s="1"/>
  <c r="U32" i="117" s="1"/>
  <c r="N31" i="76"/>
  <c r="O31" i="76" s="1"/>
  <c r="Q31" i="76" s="1"/>
  <c r="S33" i="33"/>
  <c r="M17" i="118"/>
  <c r="N17" i="118" s="1"/>
  <c r="P17" i="118" s="1"/>
  <c r="R17" i="33"/>
  <c r="M74" i="114"/>
  <c r="N74" i="114" s="1"/>
  <c r="P74" i="114" s="1"/>
  <c r="N74" i="33"/>
  <c r="M42" i="114"/>
  <c r="N42" i="114" s="1"/>
  <c r="P42" i="114" s="1"/>
  <c r="N42" i="33"/>
  <c r="R47" i="33"/>
  <c r="M47" i="118"/>
  <c r="N47" i="118" s="1"/>
  <c r="P47" i="118" s="1"/>
  <c r="N36" i="76"/>
  <c r="O36" i="76" s="1"/>
  <c r="Q36" i="76" s="1"/>
  <c r="S38" i="33"/>
  <c r="M60" i="113"/>
  <c r="N60" i="113" s="1"/>
  <c r="P60" i="113" s="1"/>
  <c r="M60" i="33"/>
  <c r="R21" i="119"/>
  <c r="M46" i="118"/>
  <c r="N46" i="118" s="1"/>
  <c r="P46" i="118" s="1"/>
  <c r="R46" i="33"/>
  <c r="R26" i="119"/>
  <c r="R48" i="119"/>
  <c r="M17" i="33"/>
  <c r="M17" i="113"/>
  <c r="N17" i="113" s="1"/>
  <c r="P17" i="113" s="1"/>
  <c r="M68" i="118"/>
  <c r="N68" i="118" s="1"/>
  <c r="P68" i="118" s="1"/>
  <c r="R68" i="33"/>
  <c r="L7" i="113"/>
  <c r="R73" i="119"/>
  <c r="R23" i="120"/>
  <c r="S40" i="76"/>
  <c r="M31" i="33"/>
  <c r="M31" i="113"/>
  <c r="N31" i="113" s="1"/>
  <c r="P31" i="113" s="1"/>
  <c r="Q68" i="33"/>
  <c r="M68" i="117"/>
  <c r="N68" i="117" s="1"/>
  <c r="P68" i="117" s="1"/>
  <c r="U68" i="117" s="1"/>
  <c r="M39" i="118"/>
  <c r="N39" i="118" s="1"/>
  <c r="P39" i="118" s="1"/>
  <c r="R39" i="33"/>
  <c r="R42" i="120"/>
  <c r="S36" i="33"/>
  <c r="N34" i="76"/>
  <c r="O34" i="76" s="1"/>
  <c r="Q34" i="76" s="1"/>
  <c r="O26" i="33"/>
  <c r="M26" i="115"/>
  <c r="N26" i="115" s="1"/>
  <c r="P26" i="115" s="1"/>
  <c r="M69" i="114"/>
  <c r="N69" i="114" s="1"/>
  <c r="P69" i="114" s="1"/>
  <c r="N69" i="33"/>
  <c r="M51" i="117"/>
  <c r="N51" i="117" s="1"/>
  <c r="P51" i="117" s="1"/>
  <c r="U51" i="117" s="1"/>
  <c r="Q51" i="33"/>
  <c r="R64" i="120"/>
  <c r="N51" i="76"/>
  <c r="O51" i="76" s="1"/>
  <c r="Q51" i="76" s="1"/>
  <c r="S53" i="33"/>
  <c r="M17" i="114"/>
  <c r="N17" i="114" s="1"/>
  <c r="P17" i="114" s="1"/>
  <c r="N17" i="33"/>
  <c r="P66" i="33"/>
  <c r="M66" i="116"/>
  <c r="N66" i="116" s="1"/>
  <c r="P66" i="116" s="1"/>
  <c r="R67" i="33"/>
  <c r="M67" i="118"/>
  <c r="N67" i="118" s="1"/>
  <c r="P67" i="118" s="1"/>
  <c r="R33" i="119"/>
  <c r="M15" i="33"/>
  <c r="M15" i="113"/>
  <c r="N15" i="113" s="1"/>
  <c r="P15" i="113" s="1"/>
  <c r="S23" i="33"/>
  <c r="N21" i="76"/>
  <c r="O21" i="76" s="1"/>
  <c r="Q21" i="76" s="1"/>
  <c r="R28" i="119"/>
  <c r="M51" i="116"/>
  <c r="N51" i="116" s="1"/>
  <c r="P51" i="116" s="1"/>
  <c r="P51" i="33"/>
  <c r="M35" i="114"/>
  <c r="N35" i="114" s="1"/>
  <c r="P35" i="114" s="1"/>
  <c r="N35" i="33"/>
  <c r="R19" i="120"/>
  <c r="T34" i="33"/>
  <c r="N32" i="80"/>
  <c r="O32" i="80" s="1"/>
  <c r="Q32" i="80" s="1"/>
  <c r="N37" i="33"/>
  <c r="M37" i="114"/>
  <c r="N37" i="114" s="1"/>
  <c r="P37" i="114" s="1"/>
  <c r="O9" i="33"/>
  <c r="M9" i="115"/>
  <c r="N9" i="115" s="1"/>
  <c r="P9" i="115" s="1"/>
  <c r="M26" i="116"/>
  <c r="N26" i="116" s="1"/>
  <c r="P26" i="116" s="1"/>
  <c r="P26" i="33"/>
  <c r="S63" i="33"/>
  <c r="N61" i="76"/>
  <c r="O61" i="76" s="1"/>
  <c r="Q61" i="76" s="1"/>
  <c r="R39" i="116"/>
  <c r="R23" i="116"/>
  <c r="M23" i="117"/>
  <c r="N23" i="117" s="1"/>
  <c r="P23" i="117" s="1"/>
  <c r="U23" i="117" s="1"/>
  <c r="Q23" i="33"/>
  <c r="R60" i="120"/>
  <c r="N58" i="76"/>
  <c r="O58" i="76" s="1"/>
  <c r="Q58" i="76" s="1"/>
  <c r="S60" i="33"/>
  <c r="M15" i="118"/>
  <c r="N15" i="118" s="1"/>
  <c r="P15" i="118" s="1"/>
  <c r="R15" i="33"/>
  <c r="T13" i="33"/>
  <c r="N11" i="80"/>
  <c r="O11" i="80" s="1"/>
  <c r="Q11" i="80" s="1"/>
  <c r="J21" i="33"/>
  <c r="R33" i="118"/>
  <c r="R73" i="115"/>
  <c r="M45" i="117"/>
  <c r="N45" i="117" s="1"/>
  <c r="P45" i="117" s="1"/>
  <c r="U45" i="117" s="1"/>
  <c r="Q45" i="33"/>
  <c r="R75" i="117"/>
  <c r="R12" i="115"/>
  <c r="R64" i="117"/>
  <c r="R62" i="115"/>
  <c r="R31" i="119"/>
  <c r="S45" i="76"/>
  <c r="R54" i="119"/>
  <c r="R72" i="113"/>
  <c r="R34" i="119"/>
  <c r="R24" i="119"/>
  <c r="R23" i="115"/>
  <c r="R47" i="120"/>
  <c r="R20" i="113"/>
  <c r="O31" i="33"/>
  <c r="M31" i="115"/>
  <c r="N31" i="115" s="1"/>
  <c r="P31" i="115" s="1"/>
  <c r="S23" i="76"/>
  <c r="R39" i="114"/>
  <c r="J73" i="33"/>
  <c r="R32" i="113"/>
  <c r="R59" i="116"/>
  <c r="R67" i="120"/>
  <c r="Q60" i="33"/>
  <c r="M60" i="117"/>
  <c r="N60" i="117" s="1"/>
  <c r="P60" i="117" s="1"/>
  <c r="U60" i="117" s="1"/>
  <c r="K7" i="118"/>
  <c r="L7" i="118" s="1"/>
  <c r="N20" i="33"/>
  <c r="M20" i="114"/>
  <c r="N20" i="114" s="1"/>
  <c r="P20" i="114" s="1"/>
  <c r="R61" i="117"/>
  <c r="M18" i="116"/>
  <c r="N18" i="116" s="1"/>
  <c r="P18" i="116" s="1"/>
  <c r="P18" i="33"/>
  <c r="S23" i="80"/>
  <c r="R37" i="117"/>
  <c r="S61" i="80"/>
  <c r="R24" i="115"/>
  <c r="R52" i="113"/>
  <c r="R65" i="120"/>
  <c r="S41" i="76"/>
  <c r="S55" i="76"/>
  <c r="M55" i="114"/>
  <c r="N55" i="114" s="1"/>
  <c r="P55" i="114" s="1"/>
  <c r="N55" i="33"/>
  <c r="Q47" i="33"/>
  <c r="M47" i="117"/>
  <c r="N47" i="117" s="1"/>
  <c r="P47" i="117" s="1"/>
  <c r="U47" i="117" s="1"/>
  <c r="N7" i="76"/>
  <c r="O7" i="76" s="1"/>
  <c r="Q7" i="76" s="1"/>
  <c r="S9" i="33"/>
  <c r="R41" i="114"/>
  <c r="P14" i="33"/>
  <c r="M14" i="116"/>
  <c r="N14" i="116" s="1"/>
  <c r="P14" i="116" s="1"/>
  <c r="L7" i="115"/>
  <c r="N52" i="33"/>
  <c r="M52" i="114"/>
  <c r="N52" i="114" s="1"/>
  <c r="P52" i="114" s="1"/>
  <c r="R48" i="113"/>
  <c r="R34" i="118"/>
  <c r="R47" i="119"/>
  <c r="S17" i="76"/>
  <c r="R12" i="118"/>
  <c r="R45" i="119"/>
  <c r="R18" i="119"/>
  <c r="R40" i="119"/>
  <c r="R65" i="119"/>
  <c r="R38" i="113"/>
  <c r="J74" i="76"/>
  <c r="R62" i="117"/>
  <c r="M69" i="115"/>
  <c r="N69" i="115" s="1"/>
  <c r="P69" i="115" s="1"/>
  <c r="O69" i="33"/>
  <c r="R73" i="118"/>
  <c r="J33" i="33"/>
  <c r="N13" i="33"/>
  <c r="M13" i="114"/>
  <c r="N13" i="114" s="1"/>
  <c r="P13" i="114" s="1"/>
  <c r="R32" i="114"/>
  <c r="R46" i="114"/>
  <c r="T56" i="33"/>
  <c r="N54" i="80"/>
  <c r="O54" i="80" s="1"/>
  <c r="Q54" i="80" s="1"/>
  <c r="R18" i="115"/>
  <c r="R23" i="113"/>
  <c r="S32" i="76"/>
  <c r="R25" i="117"/>
  <c r="S47" i="76"/>
  <c r="R55" i="118"/>
  <c r="S69" i="80"/>
  <c r="J76" i="116"/>
  <c r="T45" i="33"/>
  <c r="N43" i="80"/>
  <c r="O43" i="80" s="1"/>
  <c r="Q43" i="80" s="1"/>
  <c r="N59" i="80"/>
  <c r="O59" i="80" s="1"/>
  <c r="Q59" i="80" s="1"/>
  <c r="T61" i="33"/>
  <c r="L71" i="80"/>
  <c r="M71" i="80" s="1"/>
  <c r="M12" i="117"/>
  <c r="N12" i="117" s="1"/>
  <c r="P12" i="117" s="1"/>
  <c r="U12" i="117" s="1"/>
  <c r="Q12" i="33"/>
  <c r="T69" i="33"/>
  <c r="N67" i="80"/>
  <c r="O67" i="80" s="1"/>
  <c r="Q67" i="80" s="1"/>
  <c r="I26" i="33"/>
  <c r="S54" i="33"/>
  <c r="N52" i="76"/>
  <c r="O52" i="76" s="1"/>
  <c r="Q52" i="76" s="1"/>
  <c r="I63" i="33"/>
  <c r="P75" i="67"/>
  <c r="P51" i="67"/>
  <c r="P31" i="67"/>
  <c r="K58" i="33"/>
  <c r="I56" i="33"/>
  <c r="I32" i="33"/>
  <c r="I16" i="33"/>
  <c r="O15" i="33"/>
  <c r="M15" i="115"/>
  <c r="N15" i="115" s="1"/>
  <c r="P15" i="115" s="1"/>
  <c r="M17" i="46"/>
  <c r="N17" i="46"/>
  <c r="N18" i="46" s="1"/>
  <c r="K48" i="46" s="1"/>
  <c r="K53" i="46" s="1"/>
  <c r="T13" i="46"/>
  <c r="I27" i="33"/>
  <c r="P71" i="67"/>
  <c r="I15" i="67"/>
  <c r="K15" i="67" s="1"/>
  <c r="L15" i="67" s="1"/>
  <c r="N15" i="67" s="1"/>
  <c r="AH15" i="67" s="1"/>
  <c r="M53" i="113"/>
  <c r="N53" i="113" s="1"/>
  <c r="P53" i="113" s="1"/>
  <c r="M53" i="33"/>
  <c r="Q71" i="33"/>
  <c r="M71" i="117"/>
  <c r="N71" i="117" s="1"/>
  <c r="P71" i="117" s="1"/>
  <c r="U71" i="117" s="1"/>
  <c r="M34" i="113"/>
  <c r="N34" i="113" s="1"/>
  <c r="P34" i="113" s="1"/>
  <c r="M34" i="33"/>
  <c r="I73" i="33"/>
  <c r="I41" i="33"/>
  <c r="I25" i="33"/>
  <c r="N57" i="76"/>
  <c r="O57" i="76" s="1"/>
  <c r="Q57" i="76" s="1"/>
  <c r="S59" i="33"/>
  <c r="T42" i="33"/>
  <c r="N40" i="80"/>
  <c r="O40" i="80" s="1"/>
  <c r="Q40" i="80" s="1"/>
  <c r="Q49" i="33"/>
  <c r="M49" i="117"/>
  <c r="N49" i="117" s="1"/>
  <c r="P49" i="117" s="1"/>
  <c r="U49" i="117" s="1"/>
  <c r="Q27" i="33"/>
  <c r="M27" i="117"/>
  <c r="N27" i="117" s="1"/>
  <c r="P27" i="117" s="1"/>
  <c r="U27" i="117" s="1"/>
  <c r="T11" i="33"/>
  <c r="N9" i="80"/>
  <c r="O9" i="80" s="1"/>
  <c r="Q9" i="80" s="1"/>
  <c r="M58" i="118"/>
  <c r="N58" i="118" s="1"/>
  <c r="P58" i="118" s="1"/>
  <c r="R58" i="33"/>
  <c r="M56" i="118"/>
  <c r="N56" i="118" s="1"/>
  <c r="P56" i="118" s="1"/>
  <c r="R56" i="33"/>
  <c r="I54" i="113"/>
  <c r="K54" i="113" s="1"/>
  <c r="L54" i="113" s="1"/>
  <c r="M61" i="115"/>
  <c r="N61" i="115" s="1"/>
  <c r="P61" i="115" s="1"/>
  <c r="O61" i="33"/>
  <c r="M33" i="117"/>
  <c r="N33" i="117" s="1"/>
  <c r="P33" i="117" s="1"/>
  <c r="U33" i="117" s="1"/>
  <c r="Q33" i="33"/>
  <c r="M29" i="115"/>
  <c r="N29" i="115" s="1"/>
  <c r="P29" i="115" s="1"/>
  <c r="O29" i="33"/>
  <c r="N25" i="33"/>
  <c r="M25" i="114"/>
  <c r="N25" i="114" s="1"/>
  <c r="P25" i="114" s="1"/>
  <c r="M69" i="113"/>
  <c r="N69" i="113" s="1"/>
  <c r="P69" i="113" s="1"/>
  <c r="M69" i="33"/>
  <c r="M19" i="117"/>
  <c r="N19" i="117" s="1"/>
  <c r="P19" i="117" s="1"/>
  <c r="U19" i="117" s="1"/>
  <c r="Q19" i="33"/>
  <c r="M24" i="117"/>
  <c r="N24" i="117" s="1"/>
  <c r="P24" i="117" s="1"/>
  <c r="U24" i="117" s="1"/>
  <c r="Q24" i="33"/>
  <c r="T12" i="46"/>
  <c r="O14" i="33"/>
  <c r="M14" i="115"/>
  <c r="N14" i="115" s="1"/>
  <c r="P14" i="115" s="1"/>
  <c r="T30" i="33"/>
  <c r="N28" i="80"/>
  <c r="O28" i="80" s="1"/>
  <c r="Q28" i="80" s="1"/>
  <c r="M60" i="118"/>
  <c r="N60" i="118" s="1"/>
  <c r="P60" i="118" s="1"/>
  <c r="R60" i="33"/>
  <c r="T20" i="33"/>
  <c r="N18" i="80"/>
  <c r="O18" i="80" s="1"/>
  <c r="Q18" i="80" s="1"/>
  <c r="P65" i="67"/>
  <c r="P49" i="67"/>
  <c r="P33" i="67"/>
  <c r="P17" i="67"/>
  <c r="P64" i="67"/>
  <c r="P32" i="67"/>
  <c r="M18" i="114"/>
  <c r="N18" i="114" s="1"/>
  <c r="P18" i="114" s="1"/>
  <c r="N18" i="33"/>
  <c r="Q63" i="33"/>
  <c r="M63" i="117"/>
  <c r="N63" i="117" s="1"/>
  <c r="P63" i="117" s="1"/>
  <c r="U63" i="117" s="1"/>
  <c r="R32" i="33"/>
  <c r="M32" i="118"/>
  <c r="N32" i="118" s="1"/>
  <c r="P32" i="118" s="1"/>
  <c r="O38" i="33"/>
  <c r="M38" i="115"/>
  <c r="N38" i="115" s="1"/>
  <c r="P38" i="115" s="1"/>
  <c r="M34" i="117"/>
  <c r="N34" i="117" s="1"/>
  <c r="P34" i="117" s="1"/>
  <c r="U34" i="117" s="1"/>
  <c r="Q34" i="33"/>
  <c r="T74" i="33"/>
  <c r="N72" i="80"/>
  <c r="O72" i="80" s="1"/>
  <c r="Q72" i="80" s="1"/>
  <c r="M75" i="115"/>
  <c r="N75" i="115" s="1"/>
  <c r="P75" i="115" s="1"/>
  <c r="O75" i="33"/>
  <c r="T12" i="33"/>
  <c r="N10" i="80"/>
  <c r="O10" i="80" s="1"/>
  <c r="Q10" i="80" s="1"/>
  <c r="J15" i="80"/>
  <c r="O28" i="33"/>
  <c r="M28" i="115"/>
  <c r="N28" i="115" s="1"/>
  <c r="P28" i="115" s="1"/>
  <c r="N19" i="33"/>
  <c r="M19" i="114"/>
  <c r="N19" i="114" s="1"/>
  <c r="P19" i="114" s="1"/>
  <c r="M57" i="114"/>
  <c r="N57" i="114" s="1"/>
  <c r="P57" i="114" s="1"/>
  <c r="N57" i="33"/>
  <c r="M11" i="114"/>
  <c r="N11" i="114" s="1"/>
  <c r="P11" i="114" s="1"/>
  <c r="N11" i="33"/>
  <c r="M10" i="113"/>
  <c r="N10" i="113" s="1"/>
  <c r="P10" i="113" s="1"/>
  <c r="M10" i="33"/>
  <c r="M58" i="114"/>
  <c r="N58" i="114" s="1"/>
  <c r="P58" i="114" s="1"/>
  <c r="N58" i="33"/>
  <c r="M70" i="115"/>
  <c r="N70" i="115" s="1"/>
  <c r="P70" i="115" s="1"/>
  <c r="O70" i="33"/>
  <c r="M10" i="114"/>
  <c r="N10" i="114" s="1"/>
  <c r="P10" i="114" s="1"/>
  <c r="N10" i="33"/>
  <c r="T14" i="33"/>
  <c r="N12" i="80"/>
  <c r="O12" i="80" s="1"/>
  <c r="Q12" i="80" s="1"/>
  <c r="R18" i="33"/>
  <c r="M18" i="118"/>
  <c r="N18" i="118" s="1"/>
  <c r="P18" i="118" s="1"/>
  <c r="R10" i="119"/>
  <c r="R32" i="119"/>
  <c r="M65" i="115"/>
  <c r="N65" i="115" s="1"/>
  <c r="P65" i="115" s="1"/>
  <c r="O65" i="33"/>
  <c r="M53" i="114"/>
  <c r="N53" i="114" s="1"/>
  <c r="P53" i="114" s="1"/>
  <c r="N53" i="33"/>
  <c r="R71" i="120"/>
  <c r="K7" i="120"/>
  <c r="L7" i="120" s="1"/>
  <c r="M7" i="120" s="1"/>
  <c r="N7" i="120" s="1"/>
  <c r="P7" i="120" s="1"/>
  <c r="T55" i="33"/>
  <c r="N53" i="80"/>
  <c r="O53" i="80" s="1"/>
  <c r="Q53" i="80" s="1"/>
  <c r="O72" i="33"/>
  <c r="M72" i="115"/>
  <c r="N72" i="115" s="1"/>
  <c r="P72" i="115" s="1"/>
  <c r="M53" i="117"/>
  <c r="N53" i="117" s="1"/>
  <c r="P53" i="117" s="1"/>
  <c r="U53" i="117" s="1"/>
  <c r="Q53" i="33"/>
  <c r="M29" i="118"/>
  <c r="N29" i="118" s="1"/>
  <c r="P29" i="118" s="1"/>
  <c r="R29" i="33"/>
  <c r="R26" i="120"/>
  <c r="T26" i="33"/>
  <c r="N24" i="80"/>
  <c r="O24" i="80" s="1"/>
  <c r="Q24" i="80" s="1"/>
  <c r="M70" i="113"/>
  <c r="N70" i="113" s="1"/>
  <c r="P70" i="113" s="1"/>
  <c r="M70" i="33"/>
  <c r="O57" i="33"/>
  <c r="M57" i="115"/>
  <c r="N57" i="115" s="1"/>
  <c r="P57" i="115" s="1"/>
  <c r="R75" i="33"/>
  <c r="M75" i="118"/>
  <c r="N75" i="118" s="1"/>
  <c r="P75" i="118" s="1"/>
  <c r="R48" i="120"/>
  <c r="S31" i="33"/>
  <c r="N29" i="76"/>
  <c r="O29" i="76" s="1"/>
  <c r="Q29" i="76" s="1"/>
  <c r="I77" i="114"/>
  <c r="P56" i="33"/>
  <c r="M56" i="116"/>
  <c r="N56" i="116" s="1"/>
  <c r="P56" i="116" s="1"/>
  <c r="K7" i="116"/>
  <c r="L7" i="116" s="1"/>
  <c r="R17" i="119"/>
  <c r="R56" i="119"/>
  <c r="T39" i="33"/>
  <c r="N37" i="80"/>
  <c r="O37" i="80" s="1"/>
  <c r="Q37" i="80" s="1"/>
  <c r="R12" i="119"/>
  <c r="M30" i="117"/>
  <c r="N30" i="117" s="1"/>
  <c r="P30" i="117" s="1"/>
  <c r="U30" i="117" s="1"/>
  <c r="Q30" i="33"/>
  <c r="S75" i="33"/>
  <c r="N73" i="76"/>
  <c r="O73" i="76" s="1"/>
  <c r="Q73" i="76" s="1"/>
  <c r="P65" i="33"/>
  <c r="M65" i="116"/>
  <c r="N65" i="116" s="1"/>
  <c r="P65" i="116" s="1"/>
  <c r="M67" i="117"/>
  <c r="N67" i="117" s="1"/>
  <c r="P67" i="117" s="1"/>
  <c r="U67" i="117" s="1"/>
  <c r="Q67" i="33"/>
  <c r="R49" i="118"/>
  <c r="S52" i="33"/>
  <c r="N50" i="76"/>
  <c r="O50" i="76" s="1"/>
  <c r="Q50" i="76" s="1"/>
  <c r="M43" i="33"/>
  <c r="M43" i="113"/>
  <c r="N43" i="113" s="1"/>
  <c r="P43" i="113" s="1"/>
  <c r="M24" i="118"/>
  <c r="N24" i="118" s="1"/>
  <c r="P24" i="118" s="1"/>
  <c r="R24" i="33"/>
  <c r="R44" i="120"/>
  <c r="N49" i="76"/>
  <c r="O49" i="76" s="1"/>
  <c r="Q49" i="76" s="1"/>
  <c r="S51" i="33"/>
  <c r="S56" i="33"/>
  <c r="N54" i="76"/>
  <c r="O54" i="76" s="1"/>
  <c r="Q54" i="76" s="1"/>
  <c r="T8" i="33"/>
  <c r="N6" i="80"/>
  <c r="O6" i="80" s="1"/>
  <c r="Q6" i="80" s="1"/>
  <c r="J29" i="33"/>
  <c r="K29" i="33" s="1"/>
  <c r="J61" i="33"/>
  <c r="M37" i="113"/>
  <c r="N37" i="113" s="1"/>
  <c r="P37" i="113" s="1"/>
  <c r="M37" i="33"/>
  <c r="S13" i="80"/>
  <c r="R49" i="116"/>
  <c r="M20" i="117"/>
  <c r="N20" i="117" s="1"/>
  <c r="P20" i="117" s="1"/>
  <c r="U20" i="117" s="1"/>
  <c r="Q20" i="33"/>
  <c r="M66" i="117"/>
  <c r="N66" i="117" s="1"/>
  <c r="P66" i="117" s="1"/>
  <c r="U66" i="117" s="1"/>
  <c r="Q66" i="33"/>
  <c r="R73" i="120"/>
  <c r="R29" i="120"/>
  <c r="R28" i="118"/>
  <c r="R51" i="119"/>
  <c r="S62" i="80"/>
  <c r="N19" i="76"/>
  <c r="O19" i="76" s="1"/>
  <c r="Q19" i="76" s="1"/>
  <c r="S21" i="33"/>
  <c r="R74" i="117"/>
  <c r="S67" i="76"/>
  <c r="P13" i="33"/>
  <c r="M13" i="116"/>
  <c r="N13" i="116" s="1"/>
  <c r="P13" i="116" s="1"/>
  <c r="M65" i="117"/>
  <c r="N65" i="117" s="1"/>
  <c r="P65" i="117" s="1"/>
  <c r="U65" i="117" s="1"/>
  <c r="Q65" i="33"/>
  <c r="R24" i="116"/>
  <c r="N25" i="76"/>
  <c r="O25" i="76" s="1"/>
  <c r="Q25" i="76" s="1"/>
  <c r="S27" i="33"/>
  <c r="J25" i="33"/>
  <c r="R47" i="113"/>
  <c r="R51" i="114"/>
  <c r="S27" i="80"/>
  <c r="R33" i="120"/>
  <c r="O36" i="33"/>
  <c r="M36" i="115"/>
  <c r="N36" i="115" s="1"/>
  <c r="P36" i="115" s="1"/>
  <c r="N30" i="76"/>
  <c r="O30" i="76" s="1"/>
  <c r="Q30" i="76" s="1"/>
  <c r="S32" i="33"/>
  <c r="S73" i="80"/>
  <c r="M55" i="116"/>
  <c r="N55" i="116" s="1"/>
  <c r="P55" i="116" s="1"/>
  <c r="P55" i="33"/>
  <c r="Q13" i="33"/>
  <c r="M13" i="117"/>
  <c r="N13" i="117" s="1"/>
  <c r="P13" i="117" s="1"/>
  <c r="U13" i="117" s="1"/>
  <c r="R15" i="117"/>
  <c r="S60" i="76"/>
  <c r="M35" i="33"/>
  <c r="M35" i="113"/>
  <c r="N35" i="113" s="1"/>
  <c r="P35" i="113" s="1"/>
  <c r="M50" i="116"/>
  <c r="N50" i="116" s="1"/>
  <c r="P50" i="116" s="1"/>
  <c r="P50" i="33"/>
  <c r="R21" i="118"/>
  <c r="N24" i="76"/>
  <c r="O24" i="76" s="1"/>
  <c r="Q24" i="76" s="1"/>
  <c r="S26" i="33"/>
  <c r="R59" i="113"/>
  <c r="S16" i="33"/>
  <c r="N14" i="76"/>
  <c r="O14" i="76" s="1"/>
  <c r="Q14" i="76" s="1"/>
  <c r="M20" i="116"/>
  <c r="N20" i="116" s="1"/>
  <c r="P20" i="116" s="1"/>
  <c r="P20" i="33"/>
  <c r="T23" i="33"/>
  <c r="N21" i="80"/>
  <c r="O21" i="80" s="1"/>
  <c r="Q21" i="80" s="1"/>
  <c r="P57" i="33"/>
  <c r="M57" i="116"/>
  <c r="N57" i="116" s="1"/>
  <c r="P57" i="116" s="1"/>
  <c r="M30" i="115"/>
  <c r="N30" i="115" s="1"/>
  <c r="P30" i="115" s="1"/>
  <c r="O30" i="33"/>
  <c r="R45" i="120"/>
  <c r="R13" i="119"/>
  <c r="O54" i="33"/>
  <c r="M54" i="115"/>
  <c r="N54" i="115" s="1"/>
  <c r="P54" i="115" s="1"/>
  <c r="T60" i="33"/>
  <c r="N58" i="80"/>
  <c r="O58" i="80" s="1"/>
  <c r="Q58" i="80" s="1"/>
  <c r="R8" i="119"/>
  <c r="M27" i="114"/>
  <c r="N27" i="114" s="1"/>
  <c r="P27" i="114" s="1"/>
  <c r="N27" i="33"/>
  <c r="R63" i="120"/>
  <c r="L5" i="76"/>
  <c r="R67" i="114"/>
  <c r="R14" i="113"/>
  <c r="R19" i="113"/>
  <c r="M34" i="116"/>
  <c r="N34" i="116" s="1"/>
  <c r="P34" i="116" s="1"/>
  <c r="P34" i="33"/>
  <c r="S16" i="80"/>
  <c r="R22" i="116"/>
  <c r="T43" i="33"/>
  <c r="N41" i="80"/>
  <c r="O41" i="80" s="1"/>
  <c r="Q41" i="80" s="1"/>
  <c r="R9" i="119"/>
  <c r="P68" i="33"/>
  <c r="M68" i="116"/>
  <c r="N68" i="116" s="1"/>
  <c r="P68" i="116" s="1"/>
  <c r="R44" i="114"/>
  <c r="M28" i="114"/>
  <c r="N28" i="114" s="1"/>
  <c r="P28" i="114" s="1"/>
  <c r="N28" i="33"/>
  <c r="M61" i="116"/>
  <c r="N61" i="116" s="1"/>
  <c r="P61" i="116" s="1"/>
  <c r="P61" i="33"/>
  <c r="T41" i="33"/>
  <c r="N39" i="80"/>
  <c r="O39" i="80" s="1"/>
  <c r="Q39" i="80" s="1"/>
  <c r="R45" i="114"/>
  <c r="S33" i="80"/>
  <c r="R8" i="115"/>
  <c r="R52" i="116"/>
  <c r="R36" i="114"/>
  <c r="R16" i="116"/>
  <c r="I18" i="31"/>
  <c r="K18" i="31" s="1"/>
  <c r="L18" i="31" s="1"/>
  <c r="N18" i="31" s="1"/>
  <c r="I45" i="31"/>
  <c r="K45" i="31" s="1"/>
  <c r="L45" i="31" s="1"/>
  <c r="N45" i="31" s="1"/>
  <c r="I47" i="31"/>
  <c r="K47" i="31" s="1"/>
  <c r="L47" i="31" s="1"/>
  <c r="N47" i="31" s="1"/>
  <c r="I65" i="33"/>
  <c r="I70" i="33"/>
  <c r="I14" i="46"/>
  <c r="K14" i="46" s="1"/>
  <c r="L14" i="46" s="1"/>
  <c r="P14" i="46" s="1"/>
  <c r="R14" i="46" s="1"/>
  <c r="I35" i="46"/>
  <c r="K35" i="46" s="1"/>
  <c r="L35" i="46" s="1"/>
  <c r="I39" i="33"/>
  <c r="I22" i="31"/>
  <c r="K22" i="31" s="1"/>
  <c r="L22" i="31" s="1"/>
  <c r="N22" i="31" s="1"/>
  <c r="I26" i="31"/>
  <c r="K26" i="31" s="1"/>
  <c r="L26" i="31" s="1"/>
  <c r="N26" i="31" s="1"/>
  <c r="I54" i="33"/>
  <c r="K54" i="33" s="1"/>
  <c r="I42" i="31"/>
  <c r="K42" i="31" s="1"/>
  <c r="L42" i="31" s="1"/>
  <c r="N42" i="31" s="1"/>
  <c r="I34" i="31"/>
  <c r="K34" i="31" s="1"/>
  <c r="L34" i="31" s="1"/>
  <c r="N34" i="31" s="1"/>
  <c r="I38" i="31"/>
  <c r="K38" i="31" s="1"/>
  <c r="L38" i="31" s="1"/>
  <c r="N38" i="31" s="1"/>
  <c r="I11" i="46"/>
  <c r="K11" i="46" s="1"/>
  <c r="L11" i="46" s="1"/>
  <c r="P11" i="46" s="1"/>
  <c r="R11" i="46" s="1"/>
  <c r="I16" i="31"/>
  <c r="K16" i="31" s="1"/>
  <c r="L16" i="31" s="1"/>
  <c r="N16" i="31" s="1"/>
  <c r="I28" i="31"/>
  <c r="K28" i="31" s="1"/>
  <c r="L28" i="31" s="1"/>
  <c r="N28" i="31" s="1"/>
  <c r="I22" i="33"/>
  <c r="I14" i="31"/>
  <c r="K14" i="31" s="1"/>
  <c r="L14" i="31" s="1"/>
  <c r="N14" i="31" s="1"/>
  <c r="I40" i="31"/>
  <c r="K40" i="31" s="1"/>
  <c r="L40" i="31" s="1"/>
  <c r="N40" i="31" s="1"/>
  <c r="I38" i="33"/>
  <c r="I71" i="33"/>
  <c r="I49" i="33"/>
  <c r="I33" i="33"/>
  <c r="I16" i="46"/>
  <c r="K16" i="46" s="1"/>
  <c r="L16" i="46" s="1"/>
  <c r="P16" i="46" s="1"/>
  <c r="R16" i="46" s="1"/>
  <c r="I55" i="33"/>
  <c r="I17" i="33"/>
  <c r="I7" i="33"/>
  <c r="I30" i="31"/>
  <c r="K30" i="31" s="1"/>
  <c r="L30" i="31" s="1"/>
  <c r="N30" i="31" s="1"/>
  <c r="N29" i="46" l="1"/>
  <c r="R62" i="114"/>
  <c r="U36" i="33"/>
  <c r="R70" i="114"/>
  <c r="S16" i="116"/>
  <c r="S52" i="116"/>
  <c r="S22" i="116"/>
  <c r="S63" i="120"/>
  <c r="S8" i="119"/>
  <c r="S13" i="119"/>
  <c r="S21" i="118"/>
  <c r="T60" i="76"/>
  <c r="S33" i="120"/>
  <c r="T27" i="80"/>
  <c r="S29" i="120"/>
  <c r="S73" i="120"/>
  <c r="S49" i="116"/>
  <c r="T13" i="80"/>
  <c r="S39" i="115"/>
  <c r="S48" i="120"/>
  <c r="S26" i="120"/>
  <c r="S71" i="120"/>
  <c r="S32" i="119"/>
  <c r="S10" i="119"/>
  <c r="Q32" i="67"/>
  <c r="AK32" i="67" s="1"/>
  <c r="Q17" i="67"/>
  <c r="AK17" i="67" s="1"/>
  <c r="Q49" i="67"/>
  <c r="AK49" i="67" s="1"/>
  <c r="Q51" i="67"/>
  <c r="AK51" i="67" s="1"/>
  <c r="S25" i="117"/>
  <c r="S18" i="115"/>
  <c r="S40" i="119"/>
  <c r="S12" i="118"/>
  <c r="T17" i="76"/>
  <c r="S47" i="119"/>
  <c r="S34" i="118"/>
  <c r="S42" i="118"/>
  <c r="S37" i="117"/>
  <c r="S67" i="120"/>
  <c r="S59" i="116"/>
  <c r="S47" i="120"/>
  <c r="S23" i="115"/>
  <c r="S34" i="119"/>
  <c r="S54" i="119"/>
  <c r="S31" i="119"/>
  <c r="S12" i="115"/>
  <c r="S33" i="118"/>
  <c r="S39" i="116"/>
  <c r="S19" i="120"/>
  <c r="S28" i="119"/>
  <c r="S64" i="120"/>
  <c r="S42" i="120"/>
  <c r="S23" i="120"/>
  <c r="S26" i="119"/>
  <c r="S21" i="119"/>
  <c r="Q40" i="67"/>
  <c r="AK40" i="67" s="1"/>
  <c r="Q21" i="67"/>
  <c r="AK21" i="67" s="1"/>
  <c r="Q53" i="67"/>
  <c r="AK53" i="67" s="1"/>
  <c r="Q10" i="67"/>
  <c r="AK10" i="67" s="1"/>
  <c r="Q42" i="67"/>
  <c r="AK42" i="67" s="1"/>
  <c r="Q74" i="67"/>
  <c r="AK74" i="67" s="1"/>
  <c r="Q35" i="67"/>
  <c r="AK35" i="67" s="1"/>
  <c r="S54" i="117"/>
  <c r="S47" i="116"/>
  <c r="S26" i="118"/>
  <c r="T20" i="76"/>
  <c r="T14" i="80"/>
  <c r="T22" i="76"/>
  <c r="S23" i="118"/>
  <c r="T48" i="76"/>
  <c r="S15" i="120"/>
  <c r="S40" i="118"/>
  <c r="S22" i="118"/>
  <c r="S38" i="117"/>
  <c r="S36" i="117"/>
  <c r="S53" i="118"/>
  <c r="S70" i="116"/>
  <c r="S16" i="117"/>
  <c r="S57" i="119"/>
  <c r="T30" i="80"/>
  <c r="T11" i="76"/>
  <c r="S12" i="120"/>
  <c r="S63" i="119"/>
  <c r="S46" i="116"/>
  <c r="S67" i="119"/>
  <c r="S58" i="120"/>
  <c r="S39" i="120"/>
  <c r="Q48" i="67"/>
  <c r="AK48" i="67" s="1"/>
  <c r="Q25" i="67"/>
  <c r="AK25" i="67" s="1"/>
  <c r="Q57" i="67"/>
  <c r="AK57" i="67" s="1"/>
  <c r="Q39" i="67"/>
  <c r="AK39" i="67" s="1"/>
  <c r="S65" i="118"/>
  <c r="T38" i="80"/>
  <c r="S49" i="115"/>
  <c r="S72" i="116"/>
  <c r="T35" i="76"/>
  <c r="S44" i="117"/>
  <c r="S69" i="118"/>
  <c r="S38" i="116"/>
  <c r="S24" i="120"/>
  <c r="T65" i="80"/>
  <c r="S17" i="120"/>
  <c r="S28" i="120"/>
  <c r="S69" i="119"/>
  <c r="S37" i="118"/>
  <c r="S38" i="119"/>
  <c r="S32" i="120"/>
  <c r="S74" i="120"/>
  <c r="S55" i="120"/>
  <c r="Q56" i="67"/>
  <c r="AK56" i="67" s="1"/>
  <c r="Q29" i="67"/>
  <c r="AK29" i="67" s="1"/>
  <c r="Q61" i="67"/>
  <c r="AK61" i="67" s="1"/>
  <c r="Q34" i="67"/>
  <c r="AK34" i="67" s="1"/>
  <c r="Q66" i="67"/>
  <c r="AK66" i="67" s="1"/>
  <c r="Q59" i="67"/>
  <c r="AK59" i="67" s="1"/>
  <c r="Q27" i="67"/>
  <c r="AK27" i="67" s="1"/>
  <c r="Q67" i="67"/>
  <c r="AK67" i="67" s="1"/>
  <c r="S46" i="120"/>
  <c r="R66" i="113"/>
  <c r="S35" i="119"/>
  <c r="S36" i="120"/>
  <c r="R29" i="114"/>
  <c r="S62" i="120"/>
  <c r="R16" i="114"/>
  <c r="S16" i="114" s="1"/>
  <c r="S8" i="120"/>
  <c r="S8" i="115"/>
  <c r="T33" i="80"/>
  <c r="S9" i="119"/>
  <c r="T16" i="80"/>
  <c r="S45" i="120"/>
  <c r="S15" i="117"/>
  <c r="S60" i="116"/>
  <c r="T73" i="80"/>
  <c r="T71" i="76"/>
  <c r="S24" i="116"/>
  <c r="T67" i="76"/>
  <c r="S74" i="117"/>
  <c r="T62" i="80"/>
  <c r="S51" i="119"/>
  <c r="S28" i="118"/>
  <c r="S44" i="120"/>
  <c r="S49" i="118"/>
  <c r="S12" i="119"/>
  <c r="S56" i="119"/>
  <c r="S17" i="119"/>
  <c r="Q64" i="67"/>
  <c r="AK64" i="67" s="1"/>
  <c r="Q33" i="67"/>
  <c r="AK33" i="67" s="1"/>
  <c r="Q65" i="67"/>
  <c r="AK65" i="67" s="1"/>
  <c r="Q71" i="67"/>
  <c r="AK71" i="67" s="1"/>
  <c r="Q31" i="67"/>
  <c r="AK31" i="67" s="1"/>
  <c r="Q75" i="67"/>
  <c r="AK75" i="67" s="1"/>
  <c r="T69" i="80"/>
  <c r="S55" i="118"/>
  <c r="T47" i="76"/>
  <c r="T32" i="76"/>
  <c r="S73" i="118"/>
  <c r="S62" i="117"/>
  <c r="S65" i="119"/>
  <c r="S18" i="119"/>
  <c r="S45" i="119"/>
  <c r="T55" i="76"/>
  <c r="T41" i="76"/>
  <c r="S65" i="120"/>
  <c r="S24" i="115"/>
  <c r="T61" i="80"/>
  <c r="T23" i="80"/>
  <c r="S61" i="117"/>
  <c r="T23" i="76"/>
  <c r="S24" i="119"/>
  <c r="T45" i="76"/>
  <c r="S62" i="115"/>
  <c r="S64" i="117"/>
  <c r="S75" i="117"/>
  <c r="S73" i="115"/>
  <c r="S60" i="120"/>
  <c r="S23" i="116"/>
  <c r="S33" i="119"/>
  <c r="T40" i="76"/>
  <c r="S73" i="119"/>
  <c r="S48" i="119"/>
  <c r="Q8" i="67"/>
  <c r="AK8" i="67" s="1"/>
  <c r="Q72" i="67"/>
  <c r="AK72" i="67" s="1"/>
  <c r="U8" i="33"/>
  <c r="Q37" i="67"/>
  <c r="AK37" i="67" s="1"/>
  <c r="Q69" i="67"/>
  <c r="AK69" i="67" s="1"/>
  <c r="Q26" i="67"/>
  <c r="AK26" i="67" s="1"/>
  <c r="Q58" i="67"/>
  <c r="AK58" i="67" s="1"/>
  <c r="Q23" i="67"/>
  <c r="AK23" i="67" s="1"/>
  <c r="Q11" i="67"/>
  <c r="AK11" i="67" s="1"/>
  <c r="Q55" i="67"/>
  <c r="AK55" i="67" s="1"/>
  <c r="S69" i="117"/>
  <c r="T18" i="76"/>
  <c r="S41" i="117"/>
  <c r="S64" i="115"/>
  <c r="S10" i="115"/>
  <c r="S8" i="118"/>
  <c r="S27" i="116"/>
  <c r="S50" i="119"/>
  <c r="S13" i="120"/>
  <c r="S58" i="117"/>
  <c r="T45" i="80"/>
  <c r="S32" i="115"/>
  <c r="T42" i="76"/>
  <c r="S19" i="119"/>
  <c r="T16" i="76"/>
  <c r="T8" i="76"/>
  <c r="S35" i="115"/>
  <c r="T56" i="80"/>
  <c r="T50" i="80"/>
  <c r="S72" i="119"/>
  <c r="S66" i="119"/>
  <c r="S10" i="117"/>
  <c r="T29" i="80"/>
  <c r="S70" i="117"/>
  <c r="S51" i="120"/>
  <c r="S44" i="119"/>
  <c r="S22" i="119"/>
  <c r="S49" i="119"/>
  <c r="S16" i="120"/>
  <c r="S42" i="119"/>
  <c r="S37" i="119"/>
  <c r="Q9" i="67"/>
  <c r="AK9" i="67" s="1"/>
  <c r="Q41" i="67"/>
  <c r="AK41" i="67" s="1"/>
  <c r="Q73" i="67"/>
  <c r="AK73" i="67" s="1"/>
  <c r="Q47" i="67"/>
  <c r="AK47" i="67" s="1"/>
  <c r="Q19" i="67"/>
  <c r="AK19" i="67" s="1"/>
  <c r="Q63" i="67"/>
  <c r="AK63" i="67" s="1"/>
  <c r="S15" i="116"/>
  <c r="T70" i="76"/>
  <c r="S70" i="119"/>
  <c r="S62" i="118"/>
  <c r="S16" i="115"/>
  <c r="S31" i="120"/>
  <c r="S35" i="120"/>
  <c r="S16" i="118"/>
  <c r="S36" i="116"/>
  <c r="S66" i="115"/>
  <c r="T72" i="76"/>
  <c r="S61" i="120"/>
  <c r="S21" i="117"/>
  <c r="S74" i="116"/>
  <c r="T43" i="76"/>
  <c r="T19" i="80"/>
  <c r="S10" i="120"/>
  <c r="S16" i="119"/>
  <c r="S61" i="119"/>
  <c r="S53" i="119"/>
  <c r="Q24" i="67"/>
  <c r="AK24" i="67" s="1"/>
  <c r="Q13" i="67"/>
  <c r="AK13" i="67" s="1"/>
  <c r="Q45" i="67"/>
  <c r="AK45" i="67" s="1"/>
  <c r="Q18" i="67"/>
  <c r="AK18" i="67" s="1"/>
  <c r="Q50" i="67"/>
  <c r="AK50" i="67" s="1"/>
  <c r="Q43" i="67"/>
  <c r="AK43" i="67" s="1"/>
  <c r="S20" i="119"/>
  <c r="S36" i="119"/>
  <c r="S29" i="119"/>
  <c r="R49" i="114"/>
  <c r="S42" i="117"/>
  <c r="S44" i="114"/>
  <c r="S30" i="114"/>
  <c r="S33" i="114"/>
  <c r="S36" i="114"/>
  <c r="S51" i="114"/>
  <c r="S32" i="114"/>
  <c r="S39" i="114"/>
  <c r="S73" i="114"/>
  <c r="S31" i="114"/>
  <c r="S49" i="114"/>
  <c r="S62" i="114"/>
  <c r="S41" i="114"/>
  <c r="S72" i="114"/>
  <c r="S34" i="114"/>
  <c r="S43" i="114"/>
  <c r="S75" i="114"/>
  <c r="S45" i="114"/>
  <c r="S67" i="114"/>
  <c r="S24" i="114"/>
  <c r="S46" i="114"/>
  <c r="S29" i="114"/>
  <c r="S76" i="114"/>
  <c r="AJ76" i="114" s="1"/>
  <c r="S21" i="114"/>
  <c r="S70" i="114"/>
  <c r="R39" i="113"/>
  <c r="R22" i="113"/>
  <c r="S22" i="113" s="1"/>
  <c r="S32" i="113"/>
  <c r="S71" i="113"/>
  <c r="S65" i="113"/>
  <c r="S14" i="113"/>
  <c r="S19" i="113"/>
  <c r="S23" i="113"/>
  <c r="S72" i="113"/>
  <c r="S8" i="113"/>
  <c r="S58" i="113"/>
  <c r="S67" i="113"/>
  <c r="S39" i="113"/>
  <c r="S12" i="113"/>
  <c r="S47" i="113"/>
  <c r="S48" i="113"/>
  <c r="S52" i="113"/>
  <c r="S20" i="113"/>
  <c r="S42" i="113"/>
  <c r="S62" i="113"/>
  <c r="S9" i="113"/>
  <c r="S66" i="113"/>
  <c r="S59" i="113"/>
  <c r="S38" i="113"/>
  <c r="S36" i="113"/>
  <c r="S51" i="113"/>
  <c r="U15" i="46"/>
  <c r="U13" i="46"/>
  <c r="U12" i="46"/>
  <c r="R60" i="115"/>
  <c r="U72" i="33"/>
  <c r="N76" i="120"/>
  <c r="U66" i="33"/>
  <c r="U22" i="33"/>
  <c r="U48" i="33"/>
  <c r="U39" i="33"/>
  <c r="U71" i="33"/>
  <c r="U12" i="33"/>
  <c r="U51" i="33"/>
  <c r="U58" i="33"/>
  <c r="U32" i="33"/>
  <c r="U64" i="33"/>
  <c r="U59" i="33"/>
  <c r="U20" i="33"/>
  <c r="U67" i="33"/>
  <c r="U65" i="33"/>
  <c r="U47" i="33"/>
  <c r="U14" i="33"/>
  <c r="U38" i="33"/>
  <c r="V35" i="33"/>
  <c r="U35" i="33"/>
  <c r="U13" i="33"/>
  <c r="U44" i="33"/>
  <c r="U10" i="33"/>
  <c r="U31" i="33"/>
  <c r="U60" i="33"/>
  <c r="R57" i="118"/>
  <c r="U63" i="33"/>
  <c r="U41" i="33"/>
  <c r="U18" i="33"/>
  <c r="U16" i="33"/>
  <c r="U11" i="33"/>
  <c r="U19" i="33"/>
  <c r="U9" i="33"/>
  <c r="U24" i="33"/>
  <c r="U68" i="33"/>
  <c r="U34" i="33"/>
  <c r="U27" i="33"/>
  <c r="U46" i="33"/>
  <c r="U50" i="33"/>
  <c r="U40" i="33"/>
  <c r="U28" i="33"/>
  <c r="U29" i="33"/>
  <c r="U30" i="33"/>
  <c r="U55" i="33"/>
  <c r="U75" i="33"/>
  <c r="U49" i="33"/>
  <c r="U57" i="33"/>
  <c r="U56" i="33"/>
  <c r="U70" i="33"/>
  <c r="U69" i="33"/>
  <c r="U53" i="33"/>
  <c r="U43" i="33"/>
  <c r="U21" i="33"/>
  <c r="U33" i="33"/>
  <c r="U61" i="33"/>
  <c r="U26" i="33"/>
  <c r="U74" i="33"/>
  <c r="U62" i="33"/>
  <c r="V51" i="33"/>
  <c r="V74" i="33"/>
  <c r="V44" i="33"/>
  <c r="V68" i="33"/>
  <c r="V10" i="33"/>
  <c r="V59" i="33"/>
  <c r="N78" i="119"/>
  <c r="N76" i="119"/>
  <c r="V19" i="33"/>
  <c r="V14" i="33"/>
  <c r="V72" i="33"/>
  <c r="V46" i="33"/>
  <c r="K17" i="33"/>
  <c r="V34" i="33"/>
  <c r="V12" i="33"/>
  <c r="K77" i="115"/>
  <c r="I76" i="118"/>
  <c r="K76" i="118" s="1"/>
  <c r="L76" i="118" s="1"/>
  <c r="M76" i="118" s="1"/>
  <c r="N78" i="118" s="1"/>
  <c r="S66" i="76"/>
  <c r="V18" i="33"/>
  <c r="V11" i="33"/>
  <c r="V67" i="33"/>
  <c r="V30" i="33"/>
  <c r="V28" i="33"/>
  <c r="V47" i="33"/>
  <c r="V58" i="33"/>
  <c r="V60" i="33"/>
  <c r="V24" i="33"/>
  <c r="V75" i="33"/>
  <c r="K55" i="33"/>
  <c r="V55" i="33"/>
  <c r="T11" i="46"/>
  <c r="K39" i="33"/>
  <c r="V39" i="33"/>
  <c r="K70" i="33"/>
  <c r="V70" i="33"/>
  <c r="R61" i="116"/>
  <c r="R34" i="116"/>
  <c r="R54" i="115"/>
  <c r="R57" i="116"/>
  <c r="R35" i="113"/>
  <c r="R36" i="115"/>
  <c r="R20" i="117"/>
  <c r="R56" i="116"/>
  <c r="R70" i="113"/>
  <c r="R53" i="117"/>
  <c r="R18" i="118"/>
  <c r="R19" i="114"/>
  <c r="L15" i="80"/>
  <c r="M15" i="80" s="1"/>
  <c r="J74" i="80"/>
  <c r="R32" i="118"/>
  <c r="R14" i="115"/>
  <c r="S9" i="80"/>
  <c r="R49" i="117"/>
  <c r="V41" i="33"/>
  <c r="K41" i="33"/>
  <c r="R71" i="117"/>
  <c r="P15" i="67"/>
  <c r="V63" i="33"/>
  <c r="K63" i="33"/>
  <c r="S67" i="80"/>
  <c r="N71" i="80"/>
  <c r="O71" i="80" s="1"/>
  <c r="Q71" i="80" s="1"/>
  <c r="T73" i="33"/>
  <c r="V73" i="33" s="1"/>
  <c r="S43" i="80"/>
  <c r="S54" i="80"/>
  <c r="R69" i="115"/>
  <c r="R47" i="117"/>
  <c r="R45" i="117"/>
  <c r="S58" i="76"/>
  <c r="R23" i="117"/>
  <c r="R26" i="116"/>
  <c r="R51" i="116"/>
  <c r="S51" i="76"/>
  <c r="R51" i="117"/>
  <c r="R68" i="118"/>
  <c r="R46" i="118"/>
  <c r="R60" i="113"/>
  <c r="R74" i="114"/>
  <c r="S31" i="76"/>
  <c r="L12" i="31"/>
  <c r="K69" i="31"/>
  <c r="K70" i="31" s="1"/>
  <c r="K72" i="31" s="1"/>
  <c r="R68" i="114"/>
  <c r="R63" i="118"/>
  <c r="R17" i="116"/>
  <c r="R72" i="118"/>
  <c r="R23" i="114"/>
  <c r="R18" i="117"/>
  <c r="V57" i="33"/>
  <c r="K57" i="33"/>
  <c r="R64" i="118"/>
  <c r="S22" i="80"/>
  <c r="S70" i="80"/>
  <c r="S26" i="76"/>
  <c r="R57" i="117"/>
  <c r="R50" i="117"/>
  <c r="R40" i="115"/>
  <c r="S62" i="76"/>
  <c r="S60" i="80"/>
  <c r="R22" i="115"/>
  <c r="S34" i="80"/>
  <c r="R64" i="114"/>
  <c r="R63" i="115"/>
  <c r="R67" i="115"/>
  <c r="I76" i="113"/>
  <c r="S66" i="80"/>
  <c r="R55" i="117"/>
  <c r="R40" i="113"/>
  <c r="S64" i="80"/>
  <c r="R9" i="116"/>
  <c r="R28" i="117"/>
  <c r="R44" i="118"/>
  <c r="R11" i="116"/>
  <c r="R56" i="115"/>
  <c r="R60" i="114"/>
  <c r="R46" i="115"/>
  <c r="V53" i="33"/>
  <c r="R20" i="115"/>
  <c r="R11" i="115"/>
  <c r="R64" i="113"/>
  <c r="K61" i="33"/>
  <c r="V61" i="33"/>
  <c r="K62" i="33"/>
  <c r="V62" i="33"/>
  <c r="R71" i="116"/>
  <c r="S63" i="76"/>
  <c r="R25" i="113"/>
  <c r="R29" i="113"/>
  <c r="R13" i="113"/>
  <c r="S44" i="76"/>
  <c r="S65" i="76"/>
  <c r="S6" i="76"/>
  <c r="R30" i="113"/>
  <c r="R73" i="113"/>
  <c r="R42" i="115"/>
  <c r="R33" i="116"/>
  <c r="R44" i="113"/>
  <c r="T37" i="33"/>
  <c r="V37" i="33" s="1"/>
  <c r="N35" i="80"/>
  <c r="O35" i="80" s="1"/>
  <c r="Q35" i="80" s="1"/>
  <c r="R9" i="114"/>
  <c r="R63" i="114"/>
  <c r="S12" i="76"/>
  <c r="R33" i="115"/>
  <c r="S10" i="76"/>
  <c r="R48" i="118"/>
  <c r="R57" i="113"/>
  <c r="R75" i="116"/>
  <c r="S47" i="80"/>
  <c r="I23" i="33"/>
  <c r="K23" i="33" s="1"/>
  <c r="V49" i="33"/>
  <c r="K49" i="33"/>
  <c r="V71" i="33"/>
  <c r="K71" i="33"/>
  <c r="V38" i="33"/>
  <c r="K38" i="33"/>
  <c r="S39" i="80"/>
  <c r="R68" i="116"/>
  <c r="S41" i="80"/>
  <c r="R20" i="116"/>
  <c r="R55" i="116"/>
  <c r="V36" i="33"/>
  <c r="S6" i="80"/>
  <c r="S50" i="76"/>
  <c r="S37" i="80"/>
  <c r="R57" i="115"/>
  <c r="S24" i="80"/>
  <c r="R72" i="115"/>
  <c r="P76" i="120"/>
  <c r="R7" i="120"/>
  <c r="S7" i="120" s="1"/>
  <c r="R53" i="114"/>
  <c r="R10" i="114"/>
  <c r="R58" i="114"/>
  <c r="R11" i="114"/>
  <c r="R75" i="115"/>
  <c r="R34" i="117"/>
  <c r="R18" i="114"/>
  <c r="R60" i="118"/>
  <c r="R24" i="117"/>
  <c r="R69" i="113"/>
  <c r="R29" i="115"/>
  <c r="R61" i="115"/>
  <c r="R56" i="118"/>
  <c r="S57" i="76"/>
  <c r="K73" i="33"/>
  <c r="V27" i="33"/>
  <c r="K27" i="33"/>
  <c r="K16" i="33"/>
  <c r="V16" i="33"/>
  <c r="S52" i="76"/>
  <c r="M7" i="115"/>
  <c r="N7" i="115" s="1"/>
  <c r="O7" i="33"/>
  <c r="L77" i="115"/>
  <c r="R7" i="33"/>
  <c r="M7" i="118"/>
  <c r="N7" i="118" s="1"/>
  <c r="P7" i="118" s="1"/>
  <c r="K53" i="33"/>
  <c r="S61" i="76"/>
  <c r="R9" i="115"/>
  <c r="S32" i="80"/>
  <c r="R15" i="113"/>
  <c r="R67" i="118"/>
  <c r="S34" i="76"/>
  <c r="R31" i="113"/>
  <c r="K76" i="113"/>
  <c r="R17" i="113"/>
  <c r="R32" i="117"/>
  <c r="R30" i="118"/>
  <c r="R25" i="115"/>
  <c r="R8" i="114"/>
  <c r="K7" i="117"/>
  <c r="L7" i="117" s="1"/>
  <c r="I76" i="117"/>
  <c r="K76" i="117" s="1"/>
  <c r="L76" i="117" s="1"/>
  <c r="R48" i="117"/>
  <c r="R39" i="117"/>
  <c r="R41" i="116"/>
  <c r="S46" i="80"/>
  <c r="R43" i="117"/>
  <c r="S55" i="80"/>
  <c r="S38" i="76"/>
  <c r="R65" i="114"/>
  <c r="S44" i="80"/>
  <c r="S46" i="76"/>
  <c r="R44" i="116"/>
  <c r="R74" i="118"/>
  <c r="R58" i="116"/>
  <c r="R29" i="116"/>
  <c r="R54" i="116"/>
  <c r="S48" i="80"/>
  <c r="R71" i="118"/>
  <c r="S26" i="80"/>
  <c r="R37" i="116"/>
  <c r="R42" i="116"/>
  <c r="R40" i="114"/>
  <c r="S52" i="80"/>
  <c r="S20" i="80"/>
  <c r="R48" i="116"/>
  <c r="S27" i="76"/>
  <c r="K30" i="46"/>
  <c r="L28" i="46"/>
  <c r="V50" i="33"/>
  <c r="S28" i="76"/>
  <c r="R10" i="116"/>
  <c r="R32" i="116"/>
  <c r="R27" i="118"/>
  <c r="R13" i="115"/>
  <c r="R67" i="116"/>
  <c r="V48" i="33"/>
  <c r="K48" i="33"/>
  <c r="S31" i="80"/>
  <c r="R31" i="116"/>
  <c r="S7" i="80"/>
  <c r="R35" i="118"/>
  <c r="M5" i="80"/>
  <c r="L74" i="80"/>
  <c r="S49" i="80"/>
  <c r="R22" i="114"/>
  <c r="S8" i="80"/>
  <c r="R13" i="118"/>
  <c r="R40" i="116"/>
  <c r="R31" i="117"/>
  <c r="R14" i="114"/>
  <c r="R47" i="115"/>
  <c r="S17" i="80"/>
  <c r="S36" i="80"/>
  <c r="R74" i="115"/>
  <c r="R74" i="113"/>
  <c r="K77" i="114"/>
  <c r="L7" i="114"/>
  <c r="R69" i="116"/>
  <c r="R44" i="115"/>
  <c r="R45" i="116"/>
  <c r="R43" i="115"/>
  <c r="R56" i="114"/>
  <c r="R37" i="115"/>
  <c r="T23" i="46"/>
  <c r="R54" i="118"/>
  <c r="R66" i="114"/>
  <c r="R11" i="118"/>
  <c r="R35" i="117"/>
  <c r="R11" i="113"/>
  <c r="S37" i="76"/>
  <c r="V8" i="33"/>
  <c r="R27" i="115"/>
  <c r="P35" i="46"/>
  <c r="R35" i="46" s="1"/>
  <c r="L52" i="33"/>
  <c r="U52" i="33" s="1"/>
  <c r="V65" i="33"/>
  <c r="K65" i="33"/>
  <c r="R28" i="114"/>
  <c r="S58" i="80"/>
  <c r="S21" i="80"/>
  <c r="S14" i="76"/>
  <c r="R13" i="117"/>
  <c r="S25" i="76"/>
  <c r="R65" i="117"/>
  <c r="S19" i="76"/>
  <c r="R66" i="117"/>
  <c r="R37" i="113"/>
  <c r="S49" i="76"/>
  <c r="R24" i="118"/>
  <c r="R67" i="117"/>
  <c r="R30" i="117"/>
  <c r="R29" i="118"/>
  <c r="S12" i="80"/>
  <c r="R28" i="115"/>
  <c r="S10" i="80"/>
  <c r="S72" i="80"/>
  <c r="R38" i="115"/>
  <c r="R63" i="117"/>
  <c r="S18" i="80"/>
  <c r="S28" i="80"/>
  <c r="R25" i="114"/>
  <c r="M54" i="33"/>
  <c r="M54" i="113"/>
  <c r="N54" i="113" s="1"/>
  <c r="P54" i="113" s="1"/>
  <c r="R27" i="117"/>
  <c r="S40" i="80"/>
  <c r="O17" i="46"/>
  <c r="M18" i="46"/>
  <c r="V32" i="33"/>
  <c r="K32" i="33"/>
  <c r="R13" i="114"/>
  <c r="R52" i="114"/>
  <c r="R14" i="116"/>
  <c r="R20" i="114"/>
  <c r="R60" i="117"/>
  <c r="R15" i="118"/>
  <c r="R35" i="114"/>
  <c r="R17" i="114"/>
  <c r="R69" i="114"/>
  <c r="R39" i="118"/>
  <c r="M7" i="113"/>
  <c r="M7" i="33"/>
  <c r="L76" i="113"/>
  <c r="S36" i="76"/>
  <c r="R42" i="114"/>
  <c r="R17" i="118"/>
  <c r="S33" i="76"/>
  <c r="R34" i="115"/>
  <c r="O29" i="46"/>
  <c r="M30" i="46"/>
  <c r="N48" i="46" s="1"/>
  <c r="N53" i="46" s="1"/>
  <c r="R61" i="114"/>
  <c r="I18" i="46"/>
  <c r="I38" i="46" s="1"/>
  <c r="V29" i="33"/>
  <c r="I52" i="33"/>
  <c r="K52" i="33" s="1"/>
  <c r="R63" i="116"/>
  <c r="R64" i="116"/>
  <c r="R31" i="118"/>
  <c r="R48" i="115"/>
  <c r="S68" i="80"/>
  <c r="R45" i="113"/>
  <c r="P76" i="119"/>
  <c r="R7" i="119"/>
  <c r="S7" i="119" s="1"/>
  <c r="R50" i="114"/>
  <c r="R9" i="117"/>
  <c r="R71" i="114"/>
  <c r="R50" i="118"/>
  <c r="R45" i="118"/>
  <c r="R59" i="117"/>
  <c r="R24" i="113"/>
  <c r="R10" i="118"/>
  <c r="R68" i="115"/>
  <c r="R17" i="115"/>
  <c r="R14" i="117"/>
  <c r="R50" i="115"/>
  <c r="R61" i="113"/>
  <c r="K21" i="33"/>
  <c r="V21" i="33"/>
  <c r="R56" i="117"/>
  <c r="R59" i="118"/>
  <c r="K31" i="33"/>
  <c r="V31" i="33"/>
  <c r="K64" i="33"/>
  <c r="V64" i="33"/>
  <c r="R26" i="113"/>
  <c r="J76" i="33"/>
  <c r="R12" i="114"/>
  <c r="R51" i="115"/>
  <c r="R73" i="116"/>
  <c r="R25" i="116"/>
  <c r="S15" i="76"/>
  <c r="R68" i="113"/>
  <c r="R8" i="117"/>
  <c r="R29" i="117"/>
  <c r="S42" i="80"/>
  <c r="S57" i="80"/>
  <c r="R20" i="118"/>
  <c r="K76" i="116"/>
  <c r="L76" i="116" s="1"/>
  <c r="R55" i="113"/>
  <c r="R17" i="117"/>
  <c r="R75" i="113"/>
  <c r="R53" i="116"/>
  <c r="S13" i="76"/>
  <c r="R49" i="113"/>
  <c r="S39" i="76"/>
  <c r="R40" i="117"/>
  <c r="R35" i="116"/>
  <c r="R16" i="113"/>
  <c r="R70" i="118"/>
  <c r="M25" i="118"/>
  <c r="N25" i="118" s="1"/>
  <c r="P25" i="118" s="1"/>
  <c r="R25" i="33"/>
  <c r="V25" i="33" s="1"/>
  <c r="R56" i="113"/>
  <c r="R38" i="114"/>
  <c r="R59" i="115"/>
  <c r="R11" i="117"/>
  <c r="M45" i="115"/>
  <c r="N45" i="115" s="1"/>
  <c r="P45" i="115" s="1"/>
  <c r="O45" i="33"/>
  <c r="V45" i="33" s="1"/>
  <c r="R19" i="116"/>
  <c r="R26" i="114"/>
  <c r="R59" i="114"/>
  <c r="I76" i="67"/>
  <c r="V13" i="33"/>
  <c r="S63" i="80"/>
  <c r="K7" i="33"/>
  <c r="T16" i="46"/>
  <c r="V33" i="33"/>
  <c r="K33" i="33"/>
  <c r="K22" i="33"/>
  <c r="V22" i="33"/>
  <c r="T14" i="46"/>
  <c r="L74" i="76"/>
  <c r="M5" i="76"/>
  <c r="R27" i="114"/>
  <c r="R30" i="115"/>
  <c r="S24" i="76"/>
  <c r="R50" i="116"/>
  <c r="S30" i="76"/>
  <c r="R13" i="116"/>
  <c r="S54" i="76"/>
  <c r="R43" i="113"/>
  <c r="R65" i="116"/>
  <c r="S73" i="76"/>
  <c r="P7" i="33"/>
  <c r="P76" i="33" s="1"/>
  <c r="M7" i="116"/>
  <c r="N7" i="116" s="1"/>
  <c r="P7" i="116" s="1"/>
  <c r="S29" i="76"/>
  <c r="R75" i="118"/>
  <c r="S53" i="80"/>
  <c r="R65" i="115"/>
  <c r="R70" i="115"/>
  <c r="R10" i="113"/>
  <c r="R57" i="114"/>
  <c r="R19" i="117"/>
  <c r="R33" i="117"/>
  <c r="R58" i="118"/>
  <c r="K25" i="33"/>
  <c r="R34" i="113"/>
  <c r="R53" i="113"/>
  <c r="R15" i="115"/>
  <c r="K56" i="33"/>
  <c r="V56" i="33"/>
  <c r="V26" i="33"/>
  <c r="K26" i="33"/>
  <c r="R12" i="117"/>
  <c r="S59" i="80"/>
  <c r="V69" i="33"/>
  <c r="S7" i="76"/>
  <c r="R55" i="114"/>
  <c r="R18" i="116"/>
  <c r="V20" i="33"/>
  <c r="R31" i="115"/>
  <c r="S11" i="80"/>
  <c r="R37" i="114"/>
  <c r="S21" i="76"/>
  <c r="R66" i="116"/>
  <c r="R26" i="115"/>
  <c r="R68" i="117"/>
  <c r="R47" i="118"/>
  <c r="R72" i="117"/>
  <c r="R48" i="114"/>
  <c r="R62" i="116"/>
  <c r="R71" i="115"/>
  <c r="I69" i="31"/>
  <c r="I70" i="31" s="1"/>
  <c r="I72" i="31" s="1"/>
  <c r="R36" i="118"/>
  <c r="S69" i="76"/>
  <c r="R54" i="114"/>
  <c r="O48" i="46"/>
  <c r="O53" i="46" s="1"/>
  <c r="N30" i="46"/>
  <c r="N38" i="46" s="1"/>
  <c r="K18" i="46"/>
  <c r="L10" i="46"/>
  <c r="R55" i="115"/>
  <c r="S51" i="80"/>
  <c r="R21" i="113"/>
  <c r="R38" i="118"/>
  <c r="R28" i="116"/>
  <c r="R30" i="116"/>
  <c r="R27" i="113"/>
  <c r="R51" i="118"/>
  <c r="R46" i="113"/>
  <c r="S53" i="76"/>
  <c r="R50" i="113"/>
  <c r="R19" i="118"/>
  <c r="V40" i="33"/>
  <c r="R41" i="118"/>
  <c r="R52" i="117"/>
  <c r="R58" i="115"/>
  <c r="R33" i="113"/>
  <c r="R19" i="115"/>
  <c r="P16" i="67"/>
  <c r="R12" i="116"/>
  <c r="R28" i="113"/>
  <c r="R47" i="114"/>
  <c r="K37" i="33"/>
  <c r="R53" i="115"/>
  <c r="R15" i="114"/>
  <c r="S59" i="76"/>
  <c r="K9" i="33"/>
  <c r="V9" i="33"/>
  <c r="V66" i="33"/>
  <c r="K66" i="33"/>
  <c r="S9" i="76"/>
  <c r="S56" i="76"/>
  <c r="R66" i="118"/>
  <c r="R43" i="118"/>
  <c r="R14" i="118"/>
  <c r="R63" i="113"/>
  <c r="R46" i="117"/>
  <c r="R73" i="117"/>
  <c r="R41" i="113"/>
  <c r="R61" i="118"/>
  <c r="R43" i="116"/>
  <c r="R18" i="113"/>
  <c r="R21" i="115"/>
  <c r="R52" i="118"/>
  <c r="R22" i="117"/>
  <c r="R21" i="116"/>
  <c r="R52" i="115"/>
  <c r="R41" i="115"/>
  <c r="K43" i="33"/>
  <c r="V43" i="33"/>
  <c r="R9" i="118"/>
  <c r="K76" i="67"/>
  <c r="L7" i="67"/>
  <c r="S64" i="76"/>
  <c r="S68" i="76"/>
  <c r="S25" i="80"/>
  <c r="R26" i="117"/>
  <c r="R8" i="116"/>
  <c r="I42" i="33"/>
  <c r="K42" i="33" s="1"/>
  <c r="AQ66" i="33" l="1"/>
  <c r="AQ40" i="33"/>
  <c r="AQ13" i="33"/>
  <c r="AQ31" i="33"/>
  <c r="AQ32" i="33"/>
  <c r="AQ8" i="33"/>
  <c r="AQ16" i="33"/>
  <c r="AQ62" i="33"/>
  <c r="AQ63" i="33"/>
  <c r="AQ55" i="33"/>
  <c r="AQ14" i="33"/>
  <c r="C13" i="72" s="1"/>
  <c r="AQ74" i="33"/>
  <c r="C73" i="72" s="1"/>
  <c r="AQ9" i="33"/>
  <c r="AQ69" i="33"/>
  <c r="AQ22" i="33"/>
  <c r="AQ45" i="33"/>
  <c r="AQ56" i="33"/>
  <c r="AQ64" i="33"/>
  <c r="AQ50" i="33"/>
  <c r="AQ38" i="33"/>
  <c r="AQ49" i="33"/>
  <c r="AQ37" i="33"/>
  <c r="AQ61" i="33"/>
  <c r="AQ47" i="33"/>
  <c r="C46" i="72" s="1"/>
  <c r="AQ68" i="33"/>
  <c r="C67" i="72" s="1"/>
  <c r="AQ33" i="33"/>
  <c r="AQ21" i="33"/>
  <c r="AQ29" i="33"/>
  <c r="AQ65" i="33"/>
  <c r="AQ71" i="33"/>
  <c r="AQ73" i="33"/>
  <c r="AQ41" i="33"/>
  <c r="AQ20" i="33"/>
  <c r="AQ26" i="33"/>
  <c r="AQ39" i="33"/>
  <c r="AQ43" i="33"/>
  <c r="AQ25" i="33"/>
  <c r="AQ48" i="33"/>
  <c r="AQ27" i="33"/>
  <c r="AQ36" i="33"/>
  <c r="AQ53" i="33"/>
  <c r="AQ57" i="33"/>
  <c r="AQ70" i="33"/>
  <c r="AQ72" i="33"/>
  <c r="C71" i="72" s="1"/>
  <c r="S52" i="115"/>
  <c r="S22" i="117"/>
  <c r="S21" i="115"/>
  <c r="S12" i="116"/>
  <c r="S62" i="116"/>
  <c r="T59" i="80"/>
  <c r="S70" i="115"/>
  <c r="T29" i="76"/>
  <c r="S13" i="116"/>
  <c r="T24" i="76"/>
  <c r="S8" i="116"/>
  <c r="S26" i="117"/>
  <c r="T25" i="80"/>
  <c r="T68" i="76"/>
  <c r="S9" i="118"/>
  <c r="S21" i="116"/>
  <c r="S61" i="118"/>
  <c r="S73" i="117"/>
  <c r="S46" i="117"/>
  <c r="S43" i="118"/>
  <c r="T56" i="76"/>
  <c r="T59" i="76"/>
  <c r="S53" i="115"/>
  <c r="Q16" i="67"/>
  <c r="AK16" i="67" s="1"/>
  <c r="S58" i="115"/>
  <c r="S52" i="117"/>
  <c r="S41" i="118"/>
  <c r="T53" i="76"/>
  <c r="S51" i="118"/>
  <c r="S30" i="116"/>
  <c r="S38" i="118"/>
  <c r="T51" i="80"/>
  <c r="S55" i="115"/>
  <c r="T69" i="76"/>
  <c r="S47" i="118"/>
  <c r="S68" i="117"/>
  <c r="T11" i="80"/>
  <c r="T7" i="76"/>
  <c r="S12" i="117"/>
  <c r="S58" i="118"/>
  <c r="S33" i="117"/>
  <c r="S65" i="115"/>
  <c r="T53" i="80"/>
  <c r="S75" i="118"/>
  <c r="T73" i="76"/>
  <c r="T54" i="76"/>
  <c r="T30" i="76"/>
  <c r="S30" i="115"/>
  <c r="S59" i="115"/>
  <c r="S70" i="118"/>
  <c r="S35" i="116"/>
  <c r="T13" i="76"/>
  <c r="S53" i="116"/>
  <c r="T57" i="80"/>
  <c r="T42" i="80"/>
  <c r="S8" i="117"/>
  <c r="T15" i="76"/>
  <c r="S73" i="116"/>
  <c r="S51" i="115"/>
  <c r="S59" i="118"/>
  <c r="S14" i="117"/>
  <c r="S17" i="115"/>
  <c r="S68" i="115"/>
  <c r="S45" i="118"/>
  <c r="S50" i="118"/>
  <c r="S9" i="117"/>
  <c r="S48" i="115"/>
  <c r="S31" i="118"/>
  <c r="S64" i="116"/>
  <c r="S63" i="116"/>
  <c r="T33" i="76"/>
  <c r="S17" i="118"/>
  <c r="T40" i="80"/>
  <c r="S27" i="117"/>
  <c r="T28" i="80"/>
  <c r="T18" i="80"/>
  <c r="S63" i="117"/>
  <c r="S38" i="115"/>
  <c r="S28" i="115"/>
  <c r="S29" i="118"/>
  <c r="T49" i="76"/>
  <c r="T19" i="76"/>
  <c r="S13" i="117"/>
  <c r="T58" i="80"/>
  <c r="S27" i="115"/>
  <c r="T37" i="76"/>
  <c r="S11" i="118"/>
  <c r="S54" i="118"/>
  <c r="S45" i="116"/>
  <c r="S69" i="116"/>
  <c r="T36" i="80"/>
  <c r="S47" i="115"/>
  <c r="S40" i="116"/>
  <c r="S13" i="118"/>
  <c r="T8" i="80"/>
  <c r="T49" i="80"/>
  <c r="S35" i="118"/>
  <c r="T7" i="80"/>
  <c r="S31" i="116"/>
  <c r="S67" i="116"/>
  <c r="S13" i="115"/>
  <c r="S32" i="116"/>
  <c r="T27" i="76"/>
  <c r="S48" i="116"/>
  <c r="T20" i="80"/>
  <c r="T52" i="80"/>
  <c r="S37" i="116"/>
  <c r="S71" i="118"/>
  <c r="T48" i="80"/>
  <c r="S58" i="116"/>
  <c r="T46" i="76"/>
  <c r="T38" i="76"/>
  <c r="T55" i="80"/>
  <c r="S43" i="117"/>
  <c r="T46" i="80"/>
  <c r="S41" i="116"/>
  <c r="S32" i="117"/>
  <c r="T32" i="80"/>
  <c r="T61" i="76"/>
  <c r="S24" i="117"/>
  <c r="S60" i="118"/>
  <c r="S34" i="117"/>
  <c r="S75" i="115"/>
  <c r="S57" i="115"/>
  <c r="T37" i="80"/>
  <c r="T6" i="80"/>
  <c r="T39" i="80"/>
  <c r="T47" i="80"/>
  <c r="T10" i="76"/>
  <c r="T12" i="76"/>
  <c r="T65" i="76"/>
  <c r="T44" i="76"/>
  <c r="T63" i="76"/>
  <c r="S71" i="116"/>
  <c r="S11" i="115"/>
  <c r="S11" i="116"/>
  <c r="S28" i="117"/>
  <c r="S9" i="116"/>
  <c r="S67" i="115"/>
  <c r="S63" i="115"/>
  <c r="S22" i="115"/>
  <c r="T60" i="80"/>
  <c r="T62" i="76"/>
  <c r="S50" i="117"/>
  <c r="S57" i="117"/>
  <c r="T26" i="76"/>
  <c r="T70" i="80"/>
  <c r="S64" i="118"/>
  <c r="S18" i="117"/>
  <c r="S17" i="116"/>
  <c r="S46" i="118"/>
  <c r="S51" i="117"/>
  <c r="T51" i="76"/>
  <c r="S23" i="117"/>
  <c r="T58" i="76"/>
  <c r="S69" i="115"/>
  <c r="T43" i="80"/>
  <c r="Q15" i="67"/>
  <c r="AK15" i="67" s="1"/>
  <c r="S49" i="117"/>
  <c r="T9" i="80"/>
  <c r="S32" i="118"/>
  <c r="S18" i="118"/>
  <c r="S53" i="117"/>
  <c r="S56" i="116"/>
  <c r="S20" i="117"/>
  <c r="S36" i="115"/>
  <c r="S57" i="116"/>
  <c r="S54" i="115"/>
  <c r="S34" i="116"/>
  <c r="S61" i="116"/>
  <c r="T66" i="76"/>
  <c r="S57" i="118"/>
  <c r="T64" i="76"/>
  <c r="S41" i="115"/>
  <c r="S52" i="118"/>
  <c r="S43" i="116"/>
  <c r="S14" i="118"/>
  <c r="S66" i="118"/>
  <c r="T9" i="76"/>
  <c r="S19" i="115"/>
  <c r="S19" i="118"/>
  <c r="S28" i="116"/>
  <c r="S36" i="118"/>
  <c r="S71" i="115"/>
  <c r="S72" i="117"/>
  <c r="S26" i="115"/>
  <c r="S66" i="116"/>
  <c r="T21" i="76"/>
  <c r="S31" i="115"/>
  <c r="S18" i="116"/>
  <c r="S15" i="115"/>
  <c r="S19" i="117"/>
  <c r="S65" i="116"/>
  <c r="S50" i="116"/>
  <c r="T63" i="80"/>
  <c r="S19" i="116"/>
  <c r="S11" i="117"/>
  <c r="S40" i="117"/>
  <c r="T39" i="76"/>
  <c r="S17" i="117"/>
  <c r="S20" i="118"/>
  <c r="S29" i="117"/>
  <c r="S25" i="116"/>
  <c r="S56" i="117"/>
  <c r="S50" i="115"/>
  <c r="S10" i="118"/>
  <c r="S59" i="117"/>
  <c r="T68" i="80"/>
  <c r="S34" i="115"/>
  <c r="T36" i="76"/>
  <c r="S39" i="118"/>
  <c r="S15" i="118"/>
  <c r="S60" i="117"/>
  <c r="S14" i="116"/>
  <c r="T72" i="80"/>
  <c r="T10" i="80"/>
  <c r="T12" i="80"/>
  <c r="S30" i="117"/>
  <c r="S67" i="117"/>
  <c r="S24" i="118"/>
  <c r="S66" i="117"/>
  <c r="S65" i="117"/>
  <c r="T25" i="76"/>
  <c r="T14" i="76"/>
  <c r="T21" i="80"/>
  <c r="S35" i="117"/>
  <c r="S37" i="115"/>
  <c r="S43" i="115"/>
  <c r="S44" i="115"/>
  <c r="S74" i="115"/>
  <c r="T17" i="80"/>
  <c r="S31" i="117"/>
  <c r="T31" i="80"/>
  <c r="S27" i="118"/>
  <c r="S10" i="116"/>
  <c r="T28" i="76"/>
  <c r="S42" i="116"/>
  <c r="T26" i="80"/>
  <c r="S54" i="116"/>
  <c r="S29" i="116"/>
  <c r="S74" i="118"/>
  <c r="S44" i="116"/>
  <c r="T44" i="80"/>
  <c r="S39" i="117"/>
  <c r="S48" i="117"/>
  <c r="S25" i="115"/>
  <c r="S30" i="118"/>
  <c r="T34" i="76"/>
  <c r="S67" i="118"/>
  <c r="S9" i="115"/>
  <c r="T52" i="76"/>
  <c r="T57" i="76"/>
  <c r="S56" i="118"/>
  <c r="S61" i="115"/>
  <c r="S29" i="115"/>
  <c r="S72" i="115"/>
  <c r="T24" i="80"/>
  <c r="T50" i="76"/>
  <c r="S55" i="116"/>
  <c r="S20" i="116"/>
  <c r="T41" i="80"/>
  <c r="S68" i="116"/>
  <c r="S75" i="116"/>
  <c r="S48" i="118"/>
  <c r="S33" i="115"/>
  <c r="S33" i="116"/>
  <c r="T6" i="76"/>
  <c r="S20" i="115"/>
  <c r="S46" i="115"/>
  <c r="S56" i="115"/>
  <c r="S44" i="118"/>
  <c r="T64" i="80"/>
  <c r="S55" i="117"/>
  <c r="T66" i="80"/>
  <c r="T34" i="80"/>
  <c r="S40" i="115"/>
  <c r="T22" i="80"/>
  <c r="S72" i="118"/>
  <c r="S63" i="118"/>
  <c r="T31" i="76"/>
  <c r="S68" i="118"/>
  <c r="S51" i="116"/>
  <c r="S26" i="116"/>
  <c r="S45" i="117"/>
  <c r="S47" i="117"/>
  <c r="T54" i="80"/>
  <c r="T67" i="80"/>
  <c r="S71" i="117"/>
  <c r="S14" i="115"/>
  <c r="S60" i="115"/>
  <c r="S42" i="115"/>
  <c r="S15" i="114"/>
  <c r="S48" i="114"/>
  <c r="S55" i="114"/>
  <c r="S25" i="114"/>
  <c r="S28" i="114"/>
  <c r="S66" i="114"/>
  <c r="S56" i="114"/>
  <c r="S65" i="114"/>
  <c r="S63" i="114"/>
  <c r="S74" i="114"/>
  <c r="S19" i="114"/>
  <c r="S47" i="114"/>
  <c r="S54" i="114"/>
  <c r="S26" i="114"/>
  <c r="S12" i="114"/>
  <c r="S71" i="114"/>
  <c r="S50" i="114"/>
  <c r="S61" i="114"/>
  <c r="S52" i="114"/>
  <c r="S11" i="114"/>
  <c r="S10" i="114"/>
  <c r="S37" i="114"/>
  <c r="S38" i="114"/>
  <c r="S17" i="114"/>
  <c r="S20" i="114"/>
  <c r="S14" i="114"/>
  <c r="S8" i="114"/>
  <c r="S18" i="114"/>
  <c r="S58" i="114"/>
  <c r="S60" i="114"/>
  <c r="S64" i="114"/>
  <c r="S68" i="114"/>
  <c r="S57" i="114"/>
  <c r="S27" i="114"/>
  <c r="S59" i="114"/>
  <c r="S42" i="114"/>
  <c r="S69" i="114"/>
  <c r="S35" i="114"/>
  <c r="S13" i="114"/>
  <c r="S22" i="114"/>
  <c r="S40" i="114"/>
  <c r="S53" i="114"/>
  <c r="S9" i="114"/>
  <c r="S23" i="114"/>
  <c r="AS72" i="33"/>
  <c r="S53" i="113"/>
  <c r="S57" i="113"/>
  <c r="AS75" i="33"/>
  <c r="AQ75" i="33"/>
  <c r="AS11" i="33"/>
  <c r="C10" i="100" s="1"/>
  <c r="AQ11" i="33"/>
  <c r="AS46" i="33"/>
  <c r="C45" i="100" s="1"/>
  <c r="AQ46" i="33"/>
  <c r="C45" i="72" s="1"/>
  <c r="S16" i="113"/>
  <c r="S37" i="113"/>
  <c r="S11" i="113"/>
  <c r="S69" i="113"/>
  <c r="S40" i="113"/>
  <c r="AV24" i="33"/>
  <c r="AW24" i="33" s="1"/>
  <c r="AQ24" i="33"/>
  <c r="C23" i="72" s="1"/>
  <c r="AS18" i="33"/>
  <c r="C17" i="100" s="1"/>
  <c r="AQ18" i="33"/>
  <c r="S18" i="113"/>
  <c r="S27" i="113"/>
  <c r="S41" i="113"/>
  <c r="S28" i="113"/>
  <c r="S33" i="113"/>
  <c r="S34" i="113"/>
  <c r="S43" i="113"/>
  <c r="S75" i="113"/>
  <c r="S74" i="113"/>
  <c r="S17" i="113"/>
  <c r="S15" i="113"/>
  <c r="S44" i="113"/>
  <c r="S30" i="113"/>
  <c r="S25" i="113"/>
  <c r="AV68" i="33"/>
  <c r="AW68" i="33" s="1"/>
  <c r="AV58" i="33"/>
  <c r="AW58" i="33" s="1"/>
  <c r="AQ58" i="33"/>
  <c r="AS67" i="33"/>
  <c r="AQ67" i="33"/>
  <c r="AV19" i="33"/>
  <c r="AW19" i="33" s="1"/>
  <c r="AQ19" i="33"/>
  <c r="C18" i="72" s="1"/>
  <c r="AV10" i="33"/>
  <c r="AW10" i="33" s="1"/>
  <c r="AQ10" i="33"/>
  <c r="C9" i="72" s="1"/>
  <c r="AV51" i="33"/>
  <c r="AW51" i="33" s="1"/>
  <c r="AQ51" i="33"/>
  <c r="C50" i="72" s="1"/>
  <c r="S49" i="113"/>
  <c r="S68" i="113"/>
  <c r="S61" i="113"/>
  <c r="S13" i="113"/>
  <c r="S60" i="113"/>
  <c r="S70" i="113"/>
  <c r="AV35" i="33"/>
  <c r="AW35" i="33" s="1"/>
  <c r="AQ35" i="33"/>
  <c r="C34" i="72" s="1"/>
  <c r="S63" i="113"/>
  <c r="S50" i="113"/>
  <c r="S46" i="113"/>
  <c r="S21" i="113"/>
  <c r="S10" i="113"/>
  <c r="S26" i="113"/>
  <c r="S24" i="113"/>
  <c r="S45" i="113"/>
  <c r="S29" i="113"/>
  <c r="S35" i="113"/>
  <c r="AV28" i="33"/>
  <c r="AW28" i="33" s="1"/>
  <c r="AQ28" i="33"/>
  <c r="C27" i="72" s="1"/>
  <c r="AV12" i="33"/>
  <c r="AW12" i="33" s="1"/>
  <c r="AQ12" i="33"/>
  <c r="AV44" i="33"/>
  <c r="AW44" i="33" s="1"/>
  <c r="AQ44" i="33"/>
  <c r="C43" i="72" s="1"/>
  <c r="S56" i="113"/>
  <c r="S55" i="113"/>
  <c r="S31" i="113"/>
  <c r="S73" i="113"/>
  <c r="S64" i="113"/>
  <c r="AS35" i="33"/>
  <c r="AV60" i="33"/>
  <c r="AW60" i="33" s="1"/>
  <c r="AQ60" i="33"/>
  <c r="AS30" i="33"/>
  <c r="AQ30" i="33"/>
  <c r="C29" i="72" s="1"/>
  <c r="AV34" i="33"/>
  <c r="AW34" i="33" s="1"/>
  <c r="AQ34" i="33"/>
  <c r="AV59" i="33"/>
  <c r="AW59" i="33" s="1"/>
  <c r="AQ59" i="33"/>
  <c r="C58" i="72" s="1"/>
  <c r="U23" i="46"/>
  <c r="U11" i="46"/>
  <c r="U14" i="46"/>
  <c r="U16" i="46"/>
  <c r="AS68" i="33"/>
  <c r="C67" i="100" s="1"/>
  <c r="AV74" i="33"/>
  <c r="AW74" i="33" s="1"/>
  <c r="AS51" i="33"/>
  <c r="AS34" i="33"/>
  <c r="AS19" i="33"/>
  <c r="C18" i="100" s="1"/>
  <c r="AV11" i="33"/>
  <c r="AW11" i="33" s="1"/>
  <c r="AV67" i="33"/>
  <c r="AW67" i="33" s="1"/>
  <c r="AS14" i="33"/>
  <c r="V54" i="33"/>
  <c r="U54" i="33"/>
  <c r="AS74" i="33"/>
  <c r="AS58" i="33"/>
  <c r="U37" i="33"/>
  <c r="AV14" i="33"/>
  <c r="AW14" i="33" s="1"/>
  <c r="AS59" i="33"/>
  <c r="U25" i="33"/>
  <c r="U45" i="33"/>
  <c r="M76" i="113"/>
  <c r="N80" i="113" s="1"/>
  <c r="AV47" i="33"/>
  <c r="AW47" i="33" s="1"/>
  <c r="U73" i="33"/>
  <c r="AS44" i="33"/>
  <c r="AV75" i="33"/>
  <c r="AW75" i="33" s="1"/>
  <c r="AS47" i="33"/>
  <c r="AS10" i="33"/>
  <c r="AS12" i="33"/>
  <c r="AS60" i="33"/>
  <c r="AV30" i="33"/>
  <c r="AW30" i="33" s="1"/>
  <c r="J56" i="46"/>
  <c r="AS24" i="33"/>
  <c r="AS28" i="33"/>
  <c r="AV46" i="33"/>
  <c r="AW46" i="33" s="1"/>
  <c r="K38" i="46"/>
  <c r="AV72" i="33"/>
  <c r="AW72" i="33" s="1"/>
  <c r="AV18" i="33"/>
  <c r="AW18" i="33" s="1"/>
  <c r="N76" i="118"/>
  <c r="AS37" i="33"/>
  <c r="AV37" i="33"/>
  <c r="AW37" i="33" s="1"/>
  <c r="AS66" i="33"/>
  <c r="AV66" i="33"/>
  <c r="AW66" i="33" s="1"/>
  <c r="N40" i="46"/>
  <c r="O40" i="46" s="1"/>
  <c r="T40" i="46" s="1"/>
  <c r="AS69" i="33"/>
  <c r="AV69" i="33"/>
  <c r="AW69" i="33" s="1"/>
  <c r="R7" i="116"/>
  <c r="S7" i="116" s="1"/>
  <c r="P76" i="116"/>
  <c r="AS22" i="33"/>
  <c r="AV22" i="33"/>
  <c r="AW22" i="33" s="1"/>
  <c r="AS33" i="33"/>
  <c r="AV33" i="33"/>
  <c r="AW33" i="33" s="1"/>
  <c r="I76" i="33"/>
  <c r="AS25" i="33"/>
  <c r="AV25" i="33"/>
  <c r="AW25" i="33" s="1"/>
  <c r="M76" i="116"/>
  <c r="N78" i="116" s="1"/>
  <c r="AS31" i="33"/>
  <c r="AV31" i="33"/>
  <c r="AW31" i="33" s="1"/>
  <c r="O18" i="46"/>
  <c r="P17" i="46"/>
  <c r="R17" i="46" s="1"/>
  <c r="V52" i="33"/>
  <c r="AS8" i="33"/>
  <c r="AV8" i="33"/>
  <c r="AW8" i="33" s="1"/>
  <c r="AS48" i="33"/>
  <c r="AV48" i="33"/>
  <c r="AW48" i="33" s="1"/>
  <c r="N77" i="115"/>
  <c r="P7" i="115"/>
  <c r="AS36" i="33"/>
  <c r="AV36" i="33"/>
  <c r="AW36" i="33" s="1"/>
  <c r="AS71" i="33"/>
  <c r="AV71" i="33"/>
  <c r="AW71" i="33" s="1"/>
  <c r="AS70" i="33"/>
  <c r="AV70" i="33"/>
  <c r="AW70" i="33" s="1"/>
  <c r="N7" i="67"/>
  <c r="AH7" i="67" s="1"/>
  <c r="AH76" i="67" s="1"/>
  <c r="L76" i="67"/>
  <c r="AS43" i="33"/>
  <c r="AV43" i="33"/>
  <c r="AW43" i="33" s="1"/>
  <c r="AS9" i="33"/>
  <c r="AV9" i="33"/>
  <c r="AW9" i="33" s="1"/>
  <c r="AS40" i="33"/>
  <c r="AV40" i="33"/>
  <c r="AW40" i="33" s="1"/>
  <c r="AS20" i="33"/>
  <c r="AV20" i="33"/>
  <c r="AW20" i="33" s="1"/>
  <c r="K76" i="33"/>
  <c r="R25" i="118"/>
  <c r="AS29" i="33"/>
  <c r="AV29" i="33"/>
  <c r="AW29" i="33" s="1"/>
  <c r="N7" i="113"/>
  <c r="R54" i="113"/>
  <c r="T35" i="46"/>
  <c r="AS50" i="33"/>
  <c r="AV50" i="33"/>
  <c r="AW50" i="33" s="1"/>
  <c r="AS61" i="33"/>
  <c r="AV61" i="33"/>
  <c r="AW61" i="33" s="1"/>
  <c r="AS53" i="33"/>
  <c r="AV53" i="33"/>
  <c r="AW53" i="33" s="1"/>
  <c r="AS41" i="33"/>
  <c r="AV41" i="33"/>
  <c r="AW41" i="33" s="1"/>
  <c r="P10" i="46"/>
  <c r="L18" i="46"/>
  <c r="AS26" i="33"/>
  <c r="AV26" i="33"/>
  <c r="AW26" i="33" s="1"/>
  <c r="M74" i="76"/>
  <c r="N5" i="76"/>
  <c r="N74" i="76" s="1"/>
  <c r="O77" i="76" s="1"/>
  <c r="S7" i="33"/>
  <c r="S76" i="33" s="1"/>
  <c r="AS13" i="33"/>
  <c r="AV13" i="33"/>
  <c r="AW13" i="33" s="1"/>
  <c r="AS45" i="33"/>
  <c r="AV45" i="33"/>
  <c r="AW45" i="33" s="1"/>
  <c r="AS64" i="33"/>
  <c r="AV64" i="33"/>
  <c r="AW64" i="33" s="1"/>
  <c r="AS21" i="33"/>
  <c r="AV21" i="33"/>
  <c r="AW21" i="33" s="1"/>
  <c r="R76" i="119"/>
  <c r="O30" i="46"/>
  <c r="P29" i="46"/>
  <c r="R29" i="46" s="1"/>
  <c r="AS32" i="33"/>
  <c r="AV32" i="33"/>
  <c r="AW32" i="33" s="1"/>
  <c r="T7" i="33"/>
  <c r="N5" i="80"/>
  <c r="O5" i="80" s="1"/>
  <c r="M74" i="80"/>
  <c r="L30" i="46"/>
  <c r="L15" i="33" s="1"/>
  <c r="U15" i="33" s="1"/>
  <c r="P28" i="46"/>
  <c r="M76" i="117"/>
  <c r="N78" i="117" s="1"/>
  <c r="P76" i="118"/>
  <c r="R7" i="118"/>
  <c r="S7" i="118" s="1"/>
  <c r="O76" i="33"/>
  <c r="AS16" i="33"/>
  <c r="AV16" i="33"/>
  <c r="AW16" i="33" s="1"/>
  <c r="R76" i="120"/>
  <c r="AS38" i="33"/>
  <c r="AV38" i="33"/>
  <c r="AW38" i="33" s="1"/>
  <c r="AS49" i="33"/>
  <c r="AV49" i="33"/>
  <c r="AW49" i="33" s="1"/>
  <c r="AS57" i="33"/>
  <c r="AV57" i="33"/>
  <c r="AW57" i="33" s="1"/>
  <c r="AS73" i="33"/>
  <c r="AV73" i="33"/>
  <c r="AW73" i="33" s="1"/>
  <c r="AS39" i="33"/>
  <c r="AV39" i="33"/>
  <c r="AW39" i="33" s="1"/>
  <c r="AS55" i="33"/>
  <c r="AV55" i="33"/>
  <c r="AW55" i="33" s="1"/>
  <c r="AS56" i="33"/>
  <c r="AV56" i="33"/>
  <c r="AW56" i="33" s="1"/>
  <c r="R45" i="115"/>
  <c r="M76" i="33"/>
  <c r="J48" i="46"/>
  <c r="J53" i="46" s="1"/>
  <c r="M38" i="46"/>
  <c r="AS65" i="33"/>
  <c r="AV65" i="33"/>
  <c r="AW65" i="33" s="1"/>
  <c r="M7" i="114"/>
  <c r="M77" i="114" s="1"/>
  <c r="O79" i="114" s="1"/>
  <c r="N7" i="33"/>
  <c r="L77" i="114"/>
  <c r="Q7" i="33"/>
  <c r="Q76" i="33" s="1"/>
  <c r="M7" i="117"/>
  <c r="N7" i="117" s="1"/>
  <c r="P7" i="117" s="1"/>
  <c r="U7" i="117" s="1"/>
  <c r="R76" i="33"/>
  <c r="M77" i="115"/>
  <c r="N79" i="115" s="1"/>
  <c r="AS27" i="33"/>
  <c r="AV27" i="33"/>
  <c r="AW27" i="33" s="1"/>
  <c r="S35" i="80"/>
  <c r="AS62" i="33"/>
  <c r="AV62" i="33"/>
  <c r="AW62" i="33" s="1"/>
  <c r="L69" i="31"/>
  <c r="L70" i="31" s="1"/>
  <c r="L42" i="33" s="1"/>
  <c r="U42" i="33" s="1"/>
  <c r="N12" i="31"/>
  <c r="S71" i="80"/>
  <c r="AS63" i="33"/>
  <c r="AV63" i="33"/>
  <c r="AW63" i="33" s="1"/>
  <c r="T17" i="33"/>
  <c r="N15" i="80"/>
  <c r="O15" i="80" s="1"/>
  <c r="Q15" i="80" s="1"/>
  <c r="AQ52" i="33" l="1"/>
  <c r="C71" i="100"/>
  <c r="U76" i="117"/>
  <c r="C74" i="100"/>
  <c r="C33" i="100"/>
  <c r="S25" i="118"/>
  <c r="T71" i="80"/>
  <c r="T35" i="80"/>
  <c r="S45" i="115"/>
  <c r="C34" i="100"/>
  <c r="C29" i="100"/>
  <c r="C66" i="100"/>
  <c r="C50" i="100"/>
  <c r="AV54" i="33"/>
  <c r="AW54" i="33" s="1"/>
  <c r="AQ54" i="33"/>
  <c r="C53" i="72" s="1"/>
  <c r="S54" i="113"/>
  <c r="U35" i="46"/>
  <c r="AS54" i="33"/>
  <c r="C61" i="100"/>
  <c r="C56" i="100"/>
  <c r="C44" i="100"/>
  <c r="C60" i="100"/>
  <c r="C49" i="100"/>
  <c r="C28" i="100"/>
  <c r="C8" i="100"/>
  <c r="C69" i="100"/>
  <c r="C47" i="100"/>
  <c r="C21" i="100"/>
  <c r="C9" i="100"/>
  <c r="C43" i="100"/>
  <c r="C57" i="100"/>
  <c r="C62" i="100"/>
  <c r="C26" i="100"/>
  <c r="C72" i="100"/>
  <c r="C63" i="100"/>
  <c r="C25" i="100"/>
  <c r="C52" i="100"/>
  <c r="C39" i="100"/>
  <c r="C30" i="100"/>
  <c r="C24" i="100"/>
  <c r="C32" i="100"/>
  <c r="C36" i="100"/>
  <c r="C46" i="100"/>
  <c r="C58" i="100"/>
  <c r="C38" i="100"/>
  <c r="C37" i="100"/>
  <c r="C20" i="100"/>
  <c r="C40" i="100"/>
  <c r="C19" i="100"/>
  <c r="C68" i="100"/>
  <c r="C65" i="100"/>
  <c r="C27" i="100"/>
  <c r="C59" i="100"/>
  <c r="C73" i="100"/>
  <c r="U7" i="33"/>
  <c r="C64" i="100"/>
  <c r="C55" i="100"/>
  <c r="C54" i="100"/>
  <c r="C48" i="100"/>
  <c r="C15" i="100"/>
  <c r="C31" i="100"/>
  <c r="C12" i="100"/>
  <c r="C42" i="100"/>
  <c r="C70" i="100"/>
  <c r="C35" i="100"/>
  <c r="C7" i="100"/>
  <c r="C23" i="100"/>
  <c r="C11" i="100"/>
  <c r="C13" i="100"/>
  <c r="C48" i="72"/>
  <c r="C40" i="72"/>
  <c r="C59" i="72"/>
  <c r="C55" i="72"/>
  <c r="C31" i="72"/>
  <c r="C20" i="72"/>
  <c r="C19" i="72"/>
  <c r="C42" i="72"/>
  <c r="C70" i="72"/>
  <c r="C35" i="72"/>
  <c r="C7" i="72"/>
  <c r="C11" i="72"/>
  <c r="C17" i="72"/>
  <c r="C66" i="72"/>
  <c r="C64" i="72"/>
  <c r="C24" i="72"/>
  <c r="C65" i="72"/>
  <c r="C54" i="72"/>
  <c r="C15" i="72"/>
  <c r="C26" i="72"/>
  <c r="C12" i="72"/>
  <c r="C60" i="72"/>
  <c r="C49" i="72"/>
  <c r="C28" i="72"/>
  <c r="C8" i="72"/>
  <c r="C69" i="72"/>
  <c r="C52" i="72"/>
  <c r="C39" i="72"/>
  <c r="C30" i="72"/>
  <c r="C32" i="72"/>
  <c r="C68" i="72"/>
  <c r="C36" i="72"/>
  <c r="C57" i="72"/>
  <c r="V17" i="33"/>
  <c r="U17" i="33"/>
  <c r="C61" i="72"/>
  <c r="C72" i="72"/>
  <c r="C56" i="72"/>
  <c r="C62" i="72"/>
  <c r="C38" i="72"/>
  <c r="C37" i="72"/>
  <c r="C63" i="72"/>
  <c r="C44" i="72"/>
  <c r="C25" i="72"/>
  <c r="C47" i="72"/>
  <c r="C21" i="72"/>
  <c r="C10" i="72"/>
  <c r="C74" i="72"/>
  <c r="C33" i="72"/>
  <c r="T76" i="33"/>
  <c r="S15" i="80"/>
  <c r="L72" i="31"/>
  <c r="V42" i="33"/>
  <c r="M42" i="46"/>
  <c r="O42" i="46" s="1"/>
  <c r="V15" i="33"/>
  <c r="T17" i="46"/>
  <c r="N7" i="114"/>
  <c r="J55" i="46"/>
  <c r="S44" i="46"/>
  <c r="S76" i="120"/>
  <c r="N76" i="117"/>
  <c r="O38" i="46"/>
  <c r="O44" i="46" s="1"/>
  <c r="N76" i="116"/>
  <c r="Q5" i="80"/>
  <c r="O74" i="80"/>
  <c r="S76" i="119"/>
  <c r="L23" i="33"/>
  <c r="L38" i="46"/>
  <c r="N76" i="113"/>
  <c r="P7" i="113"/>
  <c r="P7" i="67"/>
  <c r="Q7" i="67" s="1"/>
  <c r="N76" i="67"/>
  <c r="R76" i="116"/>
  <c r="N69" i="31"/>
  <c r="N70" i="31" s="1"/>
  <c r="R7" i="117"/>
  <c r="S7" i="117" s="1"/>
  <c r="P76" i="117"/>
  <c r="N76" i="33"/>
  <c r="V7" i="33"/>
  <c r="R76" i="118"/>
  <c r="R28" i="46"/>
  <c r="P30" i="46"/>
  <c r="N74" i="80"/>
  <c r="O76" i="80" s="1"/>
  <c r="T29" i="46"/>
  <c r="O5" i="76"/>
  <c r="P18" i="46"/>
  <c r="R10" i="46"/>
  <c r="P77" i="115"/>
  <c r="R7" i="115"/>
  <c r="S7" i="115" s="1"/>
  <c r="AS52" i="33"/>
  <c r="AV52" i="33"/>
  <c r="AW52" i="33" s="1"/>
  <c r="N44" i="46"/>
  <c r="AQ7" i="33" l="1"/>
  <c r="AQ42" i="33"/>
  <c r="AQ15" i="33"/>
  <c r="T15" i="80"/>
  <c r="AV17" i="33"/>
  <c r="AW17" i="33" s="1"/>
  <c r="AQ17" i="33"/>
  <c r="C16" i="72" s="1"/>
  <c r="U29" i="46"/>
  <c r="U17" i="46"/>
  <c r="C53" i="100"/>
  <c r="C51" i="100"/>
  <c r="AS17" i="33"/>
  <c r="M44" i="46"/>
  <c r="C51" i="72"/>
  <c r="V23" i="33"/>
  <c r="U23" i="33"/>
  <c r="U76" i="33" s="1"/>
  <c r="P38" i="46"/>
  <c r="R30" i="46"/>
  <c r="T28" i="46"/>
  <c r="U28" i="46" s="1"/>
  <c r="P76" i="67"/>
  <c r="S5" i="80"/>
  <c r="T5" i="80" s="1"/>
  <c r="Q74" i="80"/>
  <c r="N77" i="114"/>
  <c r="P7" i="114"/>
  <c r="L76" i="33"/>
  <c r="AS42" i="33"/>
  <c r="AV42" i="33"/>
  <c r="AW42" i="33" s="1"/>
  <c r="T10" i="46"/>
  <c r="U10" i="46" s="1"/>
  <c r="R18" i="46"/>
  <c r="R38" i="46" s="1"/>
  <c r="S76" i="116"/>
  <c r="R7" i="113"/>
  <c r="S7" i="113" s="1"/>
  <c r="P76" i="113"/>
  <c r="AS15" i="33"/>
  <c r="AV15" i="33"/>
  <c r="AW15" i="33" s="1"/>
  <c r="S76" i="118"/>
  <c r="R77" i="115"/>
  <c r="Q5" i="76"/>
  <c r="O74" i="76"/>
  <c r="AS7" i="33"/>
  <c r="AV7" i="33"/>
  <c r="AW7" i="33" s="1"/>
  <c r="R76" i="117"/>
  <c r="T42" i="46"/>
  <c r="U30" i="46" l="1"/>
  <c r="AS23" i="33"/>
  <c r="C22" i="100" s="1"/>
  <c r="AQ23" i="33"/>
  <c r="C41" i="100"/>
  <c r="C14" i="100"/>
  <c r="C16" i="100"/>
  <c r="C41" i="72"/>
  <c r="AV23" i="33"/>
  <c r="AW23" i="33" s="1"/>
  <c r="V76" i="33"/>
  <c r="C14" i="72"/>
  <c r="S76" i="117"/>
  <c r="S77" i="115"/>
  <c r="R76" i="113"/>
  <c r="T18" i="46"/>
  <c r="AK7" i="67"/>
  <c r="AK76" i="67" s="1"/>
  <c r="Q76" i="67"/>
  <c r="P77" i="114"/>
  <c r="R7" i="114"/>
  <c r="S7" i="114" s="1"/>
  <c r="T30" i="46"/>
  <c r="S74" i="80"/>
  <c r="C6" i="100"/>
  <c r="S5" i="76"/>
  <c r="T5" i="76" s="1"/>
  <c r="Q74" i="76"/>
  <c r="AS76" i="33" l="1"/>
  <c r="AP76" i="33"/>
  <c r="C22" i="72"/>
  <c r="S74" i="76"/>
  <c r="T74" i="80"/>
  <c r="R77" i="114"/>
  <c r="S77" i="114" s="1"/>
  <c r="U18" i="46"/>
  <c r="T38" i="46"/>
  <c r="T44" i="46" s="1"/>
  <c r="AQ76" i="33"/>
  <c r="C6" i="72"/>
  <c r="C75" i="100"/>
  <c r="S76" i="113"/>
  <c r="U38" i="46" l="1"/>
  <c r="C75" i="72"/>
  <c r="T74" i="76"/>
  <c r="T35" i="115" l="1"/>
  <c r="T67" i="115"/>
  <c r="T16" i="115"/>
  <c r="T32" i="115"/>
  <c r="T64" i="115"/>
  <c r="T17" i="115"/>
  <c r="T49" i="115"/>
  <c r="T65" i="115"/>
  <c r="T22" i="115"/>
  <c r="T38" i="115"/>
  <c r="T54" i="115"/>
  <c r="T70" i="115"/>
  <c r="T50" i="115"/>
  <c r="T39" i="115"/>
  <c r="T55" i="115"/>
  <c r="T71" i="115"/>
  <c r="T36" i="115"/>
  <c r="T21" i="115"/>
  <c r="T37" i="115"/>
  <c r="T53" i="115"/>
  <c r="T69" i="115"/>
  <c r="T26" i="115"/>
  <c r="T74" i="115"/>
  <c r="T13" i="115"/>
  <c r="T28" i="115"/>
  <c r="T60" i="115"/>
  <c r="T29" i="115"/>
  <c r="T61" i="115"/>
  <c r="T18" i="115"/>
  <c r="T34" i="115"/>
  <c r="T66" i="115"/>
  <c r="T10" i="115"/>
  <c r="T27" i="115"/>
  <c r="T59" i="115"/>
  <c r="T56" i="115"/>
  <c r="T25" i="115"/>
  <c r="T41" i="115"/>
  <c r="T57" i="115"/>
  <c r="T30" i="115"/>
  <c r="T46" i="115"/>
  <c r="T62" i="115"/>
  <c r="Y62" i="115" l="1"/>
  <c r="W62" i="115"/>
  <c r="U62" i="115"/>
  <c r="Y46" i="115"/>
  <c r="U46" i="115"/>
  <c r="W46" i="115"/>
  <c r="Z46" i="115" s="1"/>
  <c r="Y57" i="115"/>
  <c r="W57" i="115"/>
  <c r="U57" i="115"/>
  <c r="Y25" i="115"/>
  <c r="W25" i="115"/>
  <c r="Z25" i="115" s="1"/>
  <c r="U25" i="115"/>
  <c r="Y59" i="115"/>
  <c r="W59" i="115"/>
  <c r="U59" i="115"/>
  <c r="Y10" i="115"/>
  <c r="W10" i="115"/>
  <c r="Z10" i="115" s="1"/>
  <c r="U10" i="115"/>
  <c r="Y34" i="115"/>
  <c r="W34" i="115"/>
  <c r="U34" i="115"/>
  <c r="Y61" i="115"/>
  <c r="U61" i="115"/>
  <c r="W61" i="115"/>
  <c r="Z61" i="115" s="1"/>
  <c r="Y60" i="115"/>
  <c r="U60" i="115"/>
  <c r="W60" i="115"/>
  <c r="Z60" i="115" s="1"/>
  <c r="Y13" i="115"/>
  <c r="U13" i="115"/>
  <c r="W13" i="115"/>
  <c r="Z13" i="115" s="1"/>
  <c r="T42" i="115"/>
  <c r="D12" i="130"/>
  <c r="O5" i="31"/>
  <c r="Y69" i="115"/>
  <c r="U69" i="115"/>
  <c r="W69" i="115"/>
  <c r="Z69" i="115" s="1"/>
  <c r="Y37" i="115"/>
  <c r="W37" i="115"/>
  <c r="U37" i="115"/>
  <c r="T52" i="115"/>
  <c r="V35" i="46"/>
  <c r="Y71" i="115"/>
  <c r="W71" i="115"/>
  <c r="U71" i="115"/>
  <c r="Y39" i="115"/>
  <c r="U39" i="115"/>
  <c r="W39" i="115"/>
  <c r="Z39" i="115" s="1"/>
  <c r="Y50" i="115"/>
  <c r="W50" i="115"/>
  <c r="U50" i="115"/>
  <c r="Y54" i="115"/>
  <c r="W54" i="115"/>
  <c r="U54" i="115"/>
  <c r="Y22" i="115"/>
  <c r="W22" i="115"/>
  <c r="U22" i="115"/>
  <c r="Y49" i="115"/>
  <c r="W49" i="115"/>
  <c r="U49" i="115"/>
  <c r="Y64" i="115"/>
  <c r="W64" i="115"/>
  <c r="U64" i="115"/>
  <c r="Y16" i="115"/>
  <c r="U16" i="115"/>
  <c r="W16" i="115"/>
  <c r="Z16" i="115" s="1"/>
  <c r="Y35" i="115"/>
  <c r="W35" i="115"/>
  <c r="U35" i="115"/>
  <c r="Y30" i="115"/>
  <c r="U30" i="115"/>
  <c r="W30" i="115"/>
  <c r="Z30" i="115" s="1"/>
  <c r="Y41" i="115"/>
  <c r="W41" i="115"/>
  <c r="U41" i="115"/>
  <c r="Y56" i="115"/>
  <c r="U56" i="115"/>
  <c r="W56" i="115"/>
  <c r="Z56" i="115" s="1"/>
  <c r="Y27" i="115"/>
  <c r="U27" i="115"/>
  <c r="W27" i="115"/>
  <c r="Z27" i="115" s="1"/>
  <c r="Y66" i="115"/>
  <c r="U66" i="115"/>
  <c r="W66" i="115"/>
  <c r="Z66" i="115" s="1"/>
  <c r="Y18" i="115"/>
  <c r="U18" i="115"/>
  <c r="W18" i="115"/>
  <c r="Z18" i="115" s="1"/>
  <c r="Y29" i="115"/>
  <c r="W29" i="115"/>
  <c r="U29" i="115"/>
  <c r="Y28" i="115"/>
  <c r="W28" i="115"/>
  <c r="U28" i="115"/>
  <c r="Y74" i="115"/>
  <c r="W74" i="115"/>
  <c r="U74" i="115"/>
  <c r="Y26" i="115"/>
  <c r="W26" i="115"/>
  <c r="U26" i="115"/>
  <c r="Y53" i="115"/>
  <c r="U53" i="115"/>
  <c r="W53" i="115"/>
  <c r="Z53" i="115" s="1"/>
  <c r="Y21" i="115"/>
  <c r="W21" i="115"/>
  <c r="U21" i="115"/>
  <c r="Y36" i="115"/>
  <c r="W36" i="115"/>
  <c r="U36" i="115"/>
  <c r="Y55" i="115"/>
  <c r="U55" i="115"/>
  <c r="W55" i="115"/>
  <c r="Z55" i="115" s="1"/>
  <c r="V12" i="46"/>
  <c r="V16" i="46"/>
  <c r="V11" i="46"/>
  <c r="V15" i="46"/>
  <c r="T23" i="115"/>
  <c r="V14" i="46"/>
  <c r="V10" i="46"/>
  <c r="V13" i="46"/>
  <c r="V17" i="46"/>
  <c r="Y70" i="115"/>
  <c r="U70" i="115"/>
  <c r="W70" i="115"/>
  <c r="Z70" i="115" s="1"/>
  <c r="Y38" i="115"/>
  <c r="U38" i="115"/>
  <c r="W38" i="115"/>
  <c r="Z38" i="115" s="1"/>
  <c r="Y65" i="115"/>
  <c r="U65" i="115"/>
  <c r="W65" i="115"/>
  <c r="Z65" i="115" s="1"/>
  <c r="Y17" i="115"/>
  <c r="U17" i="115"/>
  <c r="W17" i="115"/>
  <c r="Z17" i="115" s="1"/>
  <c r="Y32" i="115"/>
  <c r="W32" i="115"/>
  <c r="U32" i="115"/>
  <c r="Y67" i="115"/>
  <c r="U67" i="115"/>
  <c r="W67" i="115"/>
  <c r="Z67" i="115" s="1"/>
  <c r="V23" i="46"/>
  <c r="T45" i="115"/>
  <c r="T43" i="115"/>
  <c r="T12" i="115"/>
  <c r="T63" i="115"/>
  <c r="T72" i="115"/>
  <c r="T40" i="115"/>
  <c r="T75" i="115"/>
  <c r="T14" i="115"/>
  <c r="T58" i="115"/>
  <c r="T20" i="115"/>
  <c r="T8" i="115"/>
  <c r="T33" i="115"/>
  <c r="T48" i="115"/>
  <c r="T51" i="115"/>
  <c r="T47" i="115"/>
  <c r="E12" i="130" l="1"/>
  <c r="H12" i="130" s="1"/>
  <c r="AA25" i="115"/>
  <c r="H24" i="100" s="1"/>
  <c r="AA67" i="115"/>
  <c r="Z32" i="115"/>
  <c r="AA32" i="115" s="1"/>
  <c r="AA17" i="115"/>
  <c r="AA46" i="115"/>
  <c r="H45" i="100" s="1"/>
  <c r="AA70" i="115"/>
  <c r="Z21" i="115"/>
  <c r="AA21" i="115" s="1"/>
  <c r="AB21" i="115" s="1"/>
  <c r="AL21" i="115" s="1"/>
  <c r="AO21" i="115" s="1"/>
  <c r="X20" i="72" s="1"/>
  <c r="AA53" i="115"/>
  <c r="Z26" i="115"/>
  <c r="AA26" i="115" s="1"/>
  <c r="Z28" i="115"/>
  <c r="AA18" i="115"/>
  <c r="AB18" i="115" s="1"/>
  <c r="AL18" i="115" s="1"/>
  <c r="AO18" i="115" s="1"/>
  <c r="X17" i="72" s="1"/>
  <c r="Z41" i="115"/>
  <c r="AA41" i="115" s="1"/>
  <c r="Z35" i="115"/>
  <c r="AA35" i="115" s="1"/>
  <c r="AB35" i="115" s="1"/>
  <c r="AL35" i="115" s="1"/>
  <c r="AO35" i="115" s="1"/>
  <c r="X34" i="72" s="1"/>
  <c r="Z64" i="115"/>
  <c r="Z22" i="115"/>
  <c r="AA22" i="115" s="1"/>
  <c r="Z50" i="115"/>
  <c r="AA39" i="115"/>
  <c r="AB39" i="115" s="1"/>
  <c r="AL39" i="115" s="1"/>
  <c r="AO39" i="115" s="1"/>
  <c r="X38" i="72" s="1"/>
  <c r="Z71" i="115"/>
  <c r="AA71" i="115" s="1"/>
  <c r="Y47" i="115"/>
  <c r="W47" i="115"/>
  <c r="U47" i="115"/>
  <c r="Y48" i="115"/>
  <c r="U48" i="115"/>
  <c r="W48" i="115"/>
  <c r="Z48" i="115" s="1"/>
  <c r="Y33" i="115"/>
  <c r="U33" i="115"/>
  <c r="W33" i="115"/>
  <c r="Z33" i="115" s="1"/>
  <c r="AA33" i="115" s="1"/>
  <c r="Y20" i="115"/>
  <c r="U20" i="115"/>
  <c r="W20" i="115"/>
  <c r="Z20" i="115" s="1"/>
  <c r="Y14" i="115"/>
  <c r="U14" i="115"/>
  <c r="W14" i="115"/>
  <c r="Z14" i="115" s="1"/>
  <c r="AA14" i="115" s="1"/>
  <c r="Y40" i="115"/>
  <c r="W40" i="115"/>
  <c r="Z40" i="115" s="1"/>
  <c r="U40" i="115"/>
  <c r="Y63" i="115"/>
  <c r="W63" i="115"/>
  <c r="U63" i="115"/>
  <c r="Y43" i="115"/>
  <c r="W43" i="115"/>
  <c r="Z43" i="115" s="1"/>
  <c r="AA43" i="115" s="1"/>
  <c r="U43" i="115"/>
  <c r="T73" i="115"/>
  <c r="T11" i="115"/>
  <c r="T68" i="115"/>
  <c r="T19" i="115"/>
  <c r="Y45" i="115"/>
  <c r="W45" i="115"/>
  <c r="U45" i="115"/>
  <c r="H66" i="100"/>
  <c r="AB67" i="115"/>
  <c r="AL67" i="115" s="1"/>
  <c r="AO67" i="115" s="1"/>
  <c r="X66" i="72" s="1"/>
  <c r="H16" i="100"/>
  <c r="AB17" i="115"/>
  <c r="AL17" i="115" s="1"/>
  <c r="AO17" i="115" s="1"/>
  <c r="X16" i="72" s="1"/>
  <c r="H69" i="100"/>
  <c r="AB70" i="115"/>
  <c r="AL70" i="115" s="1"/>
  <c r="AO70" i="115" s="1"/>
  <c r="X69" i="72" s="1"/>
  <c r="AA17" i="46"/>
  <c r="Y17" i="46"/>
  <c r="W17" i="46"/>
  <c r="AA10" i="46"/>
  <c r="Y10" i="46"/>
  <c r="W10" i="46"/>
  <c r="Y23" i="115"/>
  <c r="W23" i="115"/>
  <c r="U23" i="115"/>
  <c r="Y11" i="46"/>
  <c r="AA11" i="46"/>
  <c r="W11" i="46"/>
  <c r="Y12" i="46"/>
  <c r="AA12" i="46"/>
  <c r="W12" i="46"/>
  <c r="H20" i="100"/>
  <c r="H52" i="100"/>
  <c r="AB53" i="115"/>
  <c r="AL53" i="115" s="1"/>
  <c r="AO53" i="115" s="1"/>
  <c r="X52" i="72" s="1"/>
  <c r="H40" i="100"/>
  <c r="AB41" i="115"/>
  <c r="AL41" i="115" s="1"/>
  <c r="AO41" i="115" s="1"/>
  <c r="X40" i="72" s="1"/>
  <c r="H34" i="100"/>
  <c r="H70" i="100"/>
  <c r="AB71" i="115"/>
  <c r="AL71" i="115" s="1"/>
  <c r="AO71" i="115" s="1"/>
  <c r="X70" i="72" s="1"/>
  <c r="Y35" i="46"/>
  <c r="AA35" i="46"/>
  <c r="W35" i="46"/>
  <c r="O37" i="31"/>
  <c r="O38" i="31"/>
  <c r="O45" i="31"/>
  <c r="R22" i="31"/>
  <c r="R38" i="31"/>
  <c r="R55" i="31"/>
  <c r="T18" i="31"/>
  <c r="T35" i="31"/>
  <c r="T52" i="31"/>
  <c r="R12" i="31"/>
  <c r="R31" i="31"/>
  <c r="R48" i="31"/>
  <c r="R65" i="31"/>
  <c r="T28" i="31"/>
  <c r="T45" i="31"/>
  <c r="T62" i="31"/>
  <c r="R28" i="31"/>
  <c r="R45" i="31"/>
  <c r="R62" i="31"/>
  <c r="T25" i="31"/>
  <c r="T41" i="31"/>
  <c r="T58" i="31"/>
  <c r="R14" i="31"/>
  <c r="R33" i="31"/>
  <c r="R50" i="31"/>
  <c r="R67" i="31"/>
  <c r="T22" i="31"/>
  <c r="T38" i="31"/>
  <c r="T55" i="31"/>
  <c r="R15" i="31"/>
  <c r="R34" i="31"/>
  <c r="R51" i="31"/>
  <c r="R68" i="31"/>
  <c r="T23" i="31"/>
  <c r="T39" i="31"/>
  <c r="T56" i="31"/>
  <c r="R18" i="31"/>
  <c r="U18" i="31" s="1"/>
  <c r="R35" i="31"/>
  <c r="U35" i="31" s="1"/>
  <c r="R52" i="31"/>
  <c r="U52" i="31" s="1"/>
  <c r="T13" i="31"/>
  <c r="T32" i="31"/>
  <c r="T49" i="31"/>
  <c r="T66" i="31"/>
  <c r="R24" i="31"/>
  <c r="R40" i="31"/>
  <c r="R57" i="31"/>
  <c r="R9" i="31"/>
  <c r="T29" i="31"/>
  <c r="T46" i="31"/>
  <c r="T63" i="31"/>
  <c r="R29" i="31"/>
  <c r="R46" i="31"/>
  <c r="R63" i="31"/>
  <c r="T26" i="31"/>
  <c r="T42" i="31"/>
  <c r="T59" i="31"/>
  <c r="O40" i="31"/>
  <c r="O35" i="31"/>
  <c r="V35" i="31" s="1"/>
  <c r="O26" i="31"/>
  <c r="O65" i="31"/>
  <c r="O24" i="31"/>
  <c r="O49" i="31"/>
  <c r="O67" i="31"/>
  <c r="O46" i="31"/>
  <c r="O34" i="31"/>
  <c r="O51" i="31"/>
  <c r="O29" i="31"/>
  <c r="O52" i="31"/>
  <c r="V52" i="31" s="1"/>
  <c r="O27" i="31"/>
  <c r="O15" i="31"/>
  <c r="O36" i="31"/>
  <c r="O60" i="31"/>
  <c r="O18" i="31"/>
  <c r="T68" i="31"/>
  <c r="R30" i="31"/>
  <c r="R47" i="31"/>
  <c r="R64" i="31"/>
  <c r="T27" i="31"/>
  <c r="T44" i="31"/>
  <c r="T60" i="31"/>
  <c r="R23" i="31"/>
  <c r="R39" i="31"/>
  <c r="U39" i="31" s="1"/>
  <c r="R56" i="31"/>
  <c r="T19" i="31"/>
  <c r="T36" i="31"/>
  <c r="T53" i="31"/>
  <c r="R19" i="31"/>
  <c r="R36" i="31"/>
  <c r="R53" i="31"/>
  <c r="T14" i="31"/>
  <c r="T33" i="31"/>
  <c r="T50" i="31"/>
  <c r="T67" i="31"/>
  <c r="R25" i="31"/>
  <c r="U25" i="31" s="1"/>
  <c r="R41" i="31"/>
  <c r="U41" i="31" s="1"/>
  <c r="R58" i="31"/>
  <c r="U58" i="31" s="1"/>
  <c r="T9" i="31"/>
  <c r="T30" i="31"/>
  <c r="T47" i="31"/>
  <c r="T64" i="31"/>
  <c r="R26" i="31"/>
  <c r="R42" i="31"/>
  <c r="U42" i="31" s="1"/>
  <c r="R59" i="31"/>
  <c r="T12" i="31"/>
  <c r="T31" i="31"/>
  <c r="T48" i="31"/>
  <c r="T65" i="31"/>
  <c r="R27" i="31"/>
  <c r="U27" i="31" s="1"/>
  <c r="R44" i="31"/>
  <c r="U44" i="31" s="1"/>
  <c r="R60" i="31"/>
  <c r="U60" i="31" s="1"/>
  <c r="V60" i="31" s="1"/>
  <c r="T24" i="31"/>
  <c r="T40" i="31"/>
  <c r="T57" i="31"/>
  <c r="R13" i="31"/>
  <c r="U13" i="31" s="1"/>
  <c r="R32" i="31"/>
  <c r="U32" i="31" s="1"/>
  <c r="R49" i="31"/>
  <c r="U49" i="31" s="1"/>
  <c r="R66" i="31"/>
  <c r="U66" i="31" s="1"/>
  <c r="T20" i="31"/>
  <c r="T37" i="31"/>
  <c r="T54" i="31"/>
  <c r="R20" i="31"/>
  <c r="R37" i="31"/>
  <c r="R54" i="31"/>
  <c r="T15" i="31"/>
  <c r="T34" i="31"/>
  <c r="T51" i="31"/>
  <c r="O41" i="31"/>
  <c r="V41" i="31" s="1"/>
  <c r="O12" i="31"/>
  <c r="O68" i="31"/>
  <c r="O47" i="31"/>
  <c r="O32" i="31"/>
  <c r="V32" i="31" s="1"/>
  <c r="O13" i="31"/>
  <c r="V13" i="31" s="1"/>
  <c r="O57" i="31"/>
  <c r="O23" i="31"/>
  <c r="O58" i="31"/>
  <c r="O22" i="31"/>
  <c r="O39" i="31"/>
  <c r="O14" i="31"/>
  <c r="O62" i="31"/>
  <c r="O54" i="31"/>
  <c r="O55" i="31"/>
  <c r="O28" i="31"/>
  <c r="O42" i="31"/>
  <c r="O63" i="31"/>
  <c r="O19" i="31"/>
  <c r="O64" i="31"/>
  <c r="O44" i="31"/>
  <c r="V44" i="31" s="1"/>
  <c r="O33" i="31"/>
  <c r="O48" i="31"/>
  <c r="O66" i="31"/>
  <c r="V66" i="31" s="1"/>
  <c r="O20" i="31"/>
  <c r="O53" i="31"/>
  <c r="O31" i="31"/>
  <c r="O50" i="31"/>
  <c r="O30" i="31"/>
  <c r="O59" i="31"/>
  <c r="O25" i="31"/>
  <c r="O56" i="31"/>
  <c r="O9" i="31"/>
  <c r="Y42" i="115"/>
  <c r="U42" i="115"/>
  <c r="W42" i="115"/>
  <c r="Z42" i="115" s="1"/>
  <c r="AB46" i="115"/>
  <c r="AL46" i="115" s="1"/>
  <c r="AO46" i="115" s="1"/>
  <c r="X45" i="72" s="1"/>
  <c r="Y51" i="115"/>
  <c r="U51" i="115"/>
  <c r="W51" i="115"/>
  <c r="Z51" i="115" s="1"/>
  <c r="V29" i="46"/>
  <c r="T15" i="115"/>
  <c r="V28" i="46"/>
  <c r="Y8" i="115"/>
  <c r="W8" i="115"/>
  <c r="U8" i="115"/>
  <c r="Y58" i="115"/>
  <c r="U58" i="115"/>
  <c r="W58" i="115"/>
  <c r="Z58" i="115" s="1"/>
  <c r="Y75" i="115"/>
  <c r="U75" i="115"/>
  <c r="W75" i="115"/>
  <c r="Z75" i="115" s="1"/>
  <c r="Y72" i="115"/>
  <c r="U72" i="115"/>
  <c r="W72" i="115"/>
  <c r="Z72" i="115" s="1"/>
  <c r="Y12" i="115"/>
  <c r="U12" i="115"/>
  <c r="W12" i="115"/>
  <c r="Z12" i="115" s="1"/>
  <c r="T44" i="115"/>
  <c r="T31" i="115"/>
  <c r="T24" i="115"/>
  <c r="T9" i="115"/>
  <c r="AA23" i="46"/>
  <c r="Y23" i="46"/>
  <c r="W23" i="46"/>
  <c r="AA65" i="115"/>
  <c r="AA38" i="115"/>
  <c r="Y13" i="46"/>
  <c r="AA13" i="46"/>
  <c r="W13" i="46"/>
  <c r="Y14" i="46"/>
  <c r="AA14" i="46"/>
  <c r="W14" i="46"/>
  <c r="Y15" i="46"/>
  <c r="W15" i="46"/>
  <c r="AA15" i="46"/>
  <c r="Y16" i="46"/>
  <c r="AA16" i="46"/>
  <c r="W16" i="46"/>
  <c r="AA55" i="115"/>
  <c r="Z36" i="115"/>
  <c r="AA36" i="115" s="1"/>
  <c r="Z74" i="115"/>
  <c r="AA74" i="115" s="1"/>
  <c r="AA28" i="115"/>
  <c r="Z29" i="115"/>
  <c r="AA29" i="115" s="1"/>
  <c r="AA66" i="115"/>
  <c r="AA27" i="115"/>
  <c r="AA56" i="115"/>
  <c r="AA30" i="115"/>
  <c r="AA16" i="115"/>
  <c r="AA64" i="115"/>
  <c r="Z49" i="115"/>
  <c r="AA49" i="115" s="1"/>
  <c r="Z54" i="115"/>
  <c r="AA54" i="115" s="1"/>
  <c r="AA50" i="115"/>
  <c r="Y52" i="115"/>
  <c r="W52" i="115"/>
  <c r="U52" i="115"/>
  <c r="Z37" i="115"/>
  <c r="AA37" i="115" s="1"/>
  <c r="AA69" i="115"/>
  <c r="AA13" i="115"/>
  <c r="AA60" i="115"/>
  <c r="AA61" i="115"/>
  <c r="Z34" i="115"/>
  <c r="AA34" i="115" s="1"/>
  <c r="AA10" i="115"/>
  <c r="Z59" i="115"/>
  <c r="AA59" i="115" s="1"/>
  <c r="Z57" i="115"/>
  <c r="AA57" i="115" s="1"/>
  <c r="Z62" i="115"/>
  <c r="AA62" i="115" s="1"/>
  <c r="AB25" i="115" l="1"/>
  <c r="AL25" i="115" s="1"/>
  <c r="AO25" i="115" s="1"/>
  <c r="X24" i="72" s="1"/>
  <c r="H38" i="100"/>
  <c r="H17" i="100"/>
  <c r="AB13" i="46"/>
  <c r="AC13" i="46" s="1"/>
  <c r="AG13" i="46" s="1"/>
  <c r="AI13" i="46" s="1"/>
  <c r="V25" i="31"/>
  <c r="V42" i="31"/>
  <c r="V58" i="31"/>
  <c r="U54" i="31"/>
  <c r="V54" i="31" s="1"/>
  <c r="U20" i="31"/>
  <c r="V20" i="31" s="1"/>
  <c r="U59" i="31"/>
  <c r="U26" i="31"/>
  <c r="V26" i="31" s="1"/>
  <c r="U53" i="31"/>
  <c r="V53" i="31" s="1"/>
  <c r="U19" i="31"/>
  <c r="V19" i="31" s="1"/>
  <c r="U56" i="31"/>
  <c r="V56" i="31" s="1"/>
  <c r="U23" i="31"/>
  <c r="V23" i="31" s="1"/>
  <c r="U63" i="31"/>
  <c r="V63" i="31" s="1"/>
  <c r="U29" i="31"/>
  <c r="V29" i="31" s="1"/>
  <c r="U62" i="31"/>
  <c r="V62" i="31" s="1"/>
  <c r="U28" i="31"/>
  <c r="V28" i="31" s="1"/>
  <c r="AC41" i="115"/>
  <c r="AE41" i="115" s="1"/>
  <c r="AA20" i="115"/>
  <c r="AB12" i="46"/>
  <c r="AC12" i="46" s="1"/>
  <c r="AG12" i="46" s="1"/>
  <c r="AI12" i="46" s="1"/>
  <c r="AB10" i="46"/>
  <c r="AC10" i="46" s="1"/>
  <c r="AA48" i="115"/>
  <c r="Z8" i="115"/>
  <c r="AA8" i="115" s="1"/>
  <c r="AC46" i="115"/>
  <c r="AE46" i="115" s="1"/>
  <c r="AA42" i="115"/>
  <c r="AC71" i="115"/>
  <c r="AE71" i="115" s="1"/>
  <c r="AC21" i="115"/>
  <c r="AE21" i="115" s="1"/>
  <c r="AC17" i="115"/>
  <c r="AE17" i="115" s="1"/>
  <c r="H33" i="100"/>
  <c r="AB34" i="115"/>
  <c r="AL34" i="115" s="1"/>
  <c r="AO34" i="115" s="1"/>
  <c r="X33" i="72" s="1"/>
  <c r="H53" i="100"/>
  <c r="AB54" i="115"/>
  <c r="AL54" i="115" s="1"/>
  <c r="AO54" i="115" s="1"/>
  <c r="X53" i="72" s="1"/>
  <c r="H73" i="100"/>
  <c r="AB74" i="115"/>
  <c r="AL74" i="115" s="1"/>
  <c r="AO74" i="115" s="1"/>
  <c r="X73" i="72" s="1"/>
  <c r="H35" i="100"/>
  <c r="AB36" i="115"/>
  <c r="AL36" i="115" s="1"/>
  <c r="AO36" i="115" s="1"/>
  <c r="X35" i="72" s="1"/>
  <c r="U8" i="80"/>
  <c r="T10" i="120"/>
  <c r="T10" i="118"/>
  <c r="T10" i="113"/>
  <c r="T10" i="114"/>
  <c r="U8" i="76"/>
  <c r="T10" i="119"/>
  <c r="T10" i="116"/>
  <c r="V10" i="117"/>
  <c r="U30" i="80"/>
  <c r="T32" i="120"/>
  <c r="T32" i="118"/>
  <c r="T32" i="113"/>
  <c r="T32" i="114"/>
  <c r="U30" i="76"/>
  <c r="T32" i="119"/>
  <c r="T32" i="116"/>
  <c r="V32" i="117"/>
  <c r="U67" i="76"/>
  <c r="T69" i="120"/>
  <c r="T69" i="118"/>
  <c r="T69" i="114"/>
  <c r="T69" i="113"/>
  <c r="U67" i="80"/>
  <c r="T69" i="119"/>
  <c r="V69" i="117"/>
  <c r="T69" i="116"/>
  <c r="U15" i="80"/>
  <c r="T17" i="120"/>
  <c r="T17" i="118"/>
  <c r="T17" i="113"/>
  <c r="U15" i="76"/>
  <c r="T17" i="119"/>
  <c r="V17" i="117"/>
  <c r="T17" i="116"/>
  <c r="T17" i="114"/>
  <c r="U68" i="80"/>
  <c r="U68" i="76"/>
  <c r="T70" i="119"/>
  <c r="T70" i="113"/>
  <c r="T70" i="114"/>
  <c r="T70" i="120"/>
  <c r="T70" i="118"/>
  <c r="T70" i="116"/>
  <c r="V70" i="117"/>
  <c r="U35" i="80"/>
  <c r="T37" i="120"/>
  <c r="V37" i="117"/>
  <c r="T37" i="113"/>
  <c r="U35" i="76"/>
  <c r="T37" i="119"/>
  <c r="T37" i="118"/>
  <c r="T37" i="116"/>
  <c r="T37" i="114"/>
  <c r="U25" i="80"/>
  <c r="T27" i="120"/>
  <c r="V27" i="117"/>
  <c r="T27" i="113"/>
  <c r="U25" i="76"/>
  <c r="T27" i="119"/>
  <c r="T27" i="118"/>
  <c r="T27" i="116"/>
  <c r="T27" i="114"/>
  <c r="U43" i="76"/>
  <c r="T45" i="119"/>
  <c r="T45" i="118"/>
  <c r="T45" i="114"/>
  <c r="T45" i="113"/>
  <c r="U43" i="80"/>
  <c r="T45" i="120"/>
  <c r="V45" i="117"/>
  <c r="T45" i="116"/>
  <c r="U28" i="76"/>
  <c r="T30" i="119"/>
  <c r="T30" i="113"/>
  <c r="V30" i="117"/>
  <c r="U28" i="80"/>
  <c r="T30" i="120"/>
  <c r="T30" i="116"/>
  <c r="T30" i="118"/>
  <c r="T30" i="114"/>
  <c r="U40" i="80"/>
  <c r="T42" i="120"/>
  <c r="T42" i="116"/>
  <c r="T42" i="118"/>
  <c r="T42" i="114"/>
  <c r="D16" i="130"/>
  <c r="U40" i="76"/>
  <c r="T42" i="119"/>
  <c r="T42" i="113"/>
  <c r="V42" i="117"/>
  <c r="P5" i="31"/>
  <c r="U20" i="80"/>
  <c r="T22" i="120"/>
  <c r="T22" i="118"/>
  <c r="T22" i="113"/>
  <c r="T22" i="114"/>
  <c r="U20" i="76"/>
  <c r="T22" i="119"/>
  <c r="T22" i="116"/>
  <c r="V22" i="117"/>
  <c r="U71" i="76"/>
  <c r="T73" i="120"/>
  <c r="T73" i="118"/>
  <c r="T73" i="114"/>
  <c r="T73" i="113"/>
  <c r="U71" i="80"/>
  <c r="T73" i="119"/>
  <c r="V73" i="117"/>
  <c r="T73" i="116"/>
  <c r="U48" i="80"/>
  <c r="T50" i="120"/>
  <c r="T50" i="116"/>
  <c r="T50" i="118"/>
  <c r="T50" i="114"/>
  <c r="U48" i="76"/>
  <c r="T50" i="119"/>
  <c r="T50" i="113"/>
  <c r="V50" i="117"/>
  <c r="U54" i="76"/>
  <c r="T56" i="118"/>
  <c r="T56" i="116"/>
  <c r="V56" i="117"/>
  <c r="U54" i="80"/>
  <c r="T56" i="120"/>
  <c r="T56" i="119"/>
  <c r="T56" i="113"/>
  <c r="T56" i="114"/>
  <c r="U29" i="76"/>
  <c r="T31" i="119"/>
  <c r="T31" i="118"/>
  <c r="T31" i="116"/>
  <c r="T31" i="114"/>
  <c r="U29" i="80"/>
  <c r="T31" i="120"/>
  <c r="V31" i="117"/>
  <c r="T31" i="113"/>
  <c r="U44" i="76"/>
  <c r="T46" i="119"/>
  <c r="T46" i="113"/>
  <c r="V46" i="117"/>
  <c r="U44" i="80"/>
  <c r="T46" i="120"/>
  <c r="T46" i="116"/>
  <c r="T46" i="118"/>
  <c r="T46" i="114"/>
  <c r="U27" i="80"/>
  <c r="T29" i="120"/>
  <c r="V29" i="117"/>
  <c r="T29" i="113"/>
  <c r="U27" i="76"/>
  <c r="T29" i="119"/>
  <c r="T29" i="118"/>
  <c r="T29" i="116"/>
  <c r="T29" i="114"/>
  <c r="U21" i="76"/>
  <c r="T23" i="119"/>
  <c r="V23" i="117"/>
  <c r="T23" i="116"/>
  <c r="T23" i="114"/>
  <c r="U21" i="80"/>
  <c r="T23" i="120"/>
  <c r="T23" i="118"/>
  <c r="T23" i="113"/>
  <c r="T64" i="120"/>
  <c r="T64" i="118"/>
  <c r="T64" i="116"/>
  <c r="V64" i="117"/>
  <c r="U62" i="80"/>
  <c r="U62" i="76"/>
  <c r="T64" i="119"/>
  <c r="T64" i="113"/>
  <c r="T64" i="114"/>
  <c r="U33" i="80"/>
  <c r="T35" i="120"/>
  <c r="V35" i="117"/>
  <c r="T35" i="113"/>
  <c r="D17" i="130"/>
  <c r="U33" i="76"/>
  <c r="T35" i="119"/>
  <c r="T35" i="118"/>
  <c r="T35" i="116"/>
  <c r="T35" i="114"/>
  <c r="U7" i="76"/>
  <c r="T9" i="119"/>
  <c r="V9" i="117"/>
  <c r="T9" i="116"/>
  <c r="T9" i="114"/>
  <c r="U7" i="80"/>
  <c r="T9" i="120"/>
  <c r="T9" i="118"/>
  <c r="T9" i="113"/>
  <c r="U69" i="76"/>
  <c r="T71" i="120"/>
  <c r="T71" i="118"/>
  <c r="T71" i="114"/>
  <c r="T71" i="113"/>
  <c r="U69" i="80"/>
  <c r="T71" i="119"/>
  <c r="V71" i="117"/>
  <c r="T71" i="116"/>
  <c r="D10" i="130"/>
  <c r="U23" i="80"/>
  <c r="T25" i="120"/>
  <c r="V25" i="117"/>
  <c r="T25" i="113"/>
  <c r="U23" i="76"/>
  <c r="T25" i="119"/>
  <c r="T25" i="118"/>
  <c r="T25" i="116"/>
  <c r="T25" i="114"/>
  <c r="U57" i="80"/>
  <c r="T59" i="119"/>
  <c r="V59" i="117"/>
  <c r="T59" i="116"/>
  <c r="U57" i="76"/>
  <c r="T59" i="120"/>
  <c r="T59" i="118"/>
  <c r="T59" i="114"/>
  <c r="T59" i="113"/>
  <c r="U26" i="76"/>
  <c r="T28" i="119"/>
  <c r="T28" i="116"/>
  <c r="V28" i="117"/>
  <c r="U26" i="80"/>
  <c r="T28" i="120"/>
  <c r="T28" i="118"/>
  <c r="T28" i="113"/>
  <c r="T28" i="114"/>
  <c r="U63" i="76"/>
  <c r="T65" i="120"/>
  <c r="T65" i="118"/>
  <c r="T65" i="114"/>
  <c r="T65" i="113"/>
  <c r="U63" i="80"/>
  <c r="T65" i="119"/>
  <c r="V65" i="117"/>
  <c r="T65" i="116"/>
  <c r="U34" i="80"/>
  <c r="T36" i="120"/>
  <c r="T36" i="118"/>
  <c r="T36" i="113"/>
  <c r="T36" i="114"/>
  <c r="U34" i="76"/>
  <c r="T36" i="119"/>
  <c r="T36" i="116"/>
  <c r="V36" i="117"/>
  <c r="U52" i="80"/>
  <c r="T54" i="120"/>
  <c r="T54" i="119"/>
  <c r="T54" i="113"/>
  <c r="T54" i="114"/>
  <c r="U52" i="76"/>
  <c r="T54" i="118"/>
  <c r="T54" i="116"/>
  <c r="V54" i="117"/>
  <c r="U39" i="80"/>
  <c r="T41" i="120"/>
  <c r="V41" i="117"/>
  <c r="T41" i="113"/>
  <c r="U39" i="76"/>
  <c r="T41" i="119"/>
  <c r="T41" i="118"/>
  <c r="T41" i="116"/>
  <c r="T41" i="114"/>
  <c r="U11" i="76"/>
  <c r="T13" i="119"/>
  <c r="V13" i="117"/>
  <c r="T13" i="116"/>
  <c r="T13" i="114"/>
  <c r="U11" i="80"/>
  <c r="T13" i="120"/>
  <c r="T13" i="118"/>
  <c r="T13" i="113"/>
  <c r="U24" i="80"/>
  <c r="T26" i="120"/>
  <c r="T26" i="116"/>
  <c r="T26" i="118"/>
  <c r="T26" i="114"/>
  <c r="U24" i="76"/>
  <c r="T26" i="119"/>
  <c r="T26" i="113"/>
  <c r="V26" i="117"/>
  <c r="U36" i="76"/>
  <c r="T38" i="119"/>
  <c r="T38" i="113"/>
  <c r="V38" i="117"/>
  <c r="U36" i="80"/>
  <c r="T38" i="120"/>
  <c r="T38" i="116"/>
  <c r="T38" i="118"/>
  <c r="T38" i="114"/>
  <c r="U65" i="76"/>
  <c r="T67" i="120"/>
  <c r="T67" i="118"/>
  <c r="T67" i="114"/>
  <c r="T67" i="113"/>
  <c r="U65" i="80"/>
  <c r="T67" i="119"/>
  <c r="V67" i="117"/>
  <c r="T67" i="116"/>
  <c r="H56" i="100"/>
  <c r="AB57" i="115"/>
  <c r="AL57" i="115" s="1"/>
  <c r="AO57" i="115" s="1"/>
  <c r="X56" i="72" s="1"/>
  <c r="H9" i="100"/>
  <c r="AB10" i="115"/>
  <c r="AL10" i="115" s="1"/>
  <c r="AO10" i="115" s="1"/>
  <c r="X9" i="72" s="1"/>
  <c r="H60" i="100"/>
  <c r="AB61" i="115"/>
  <c r="AL61" i="115" s="1"/>
  <c r="AO61" i="115" s="1"/>
  <c r="X60" i="72" s="1"/>
  <c r="H12" i="100"/>
  <c r="AB13" i="115"/>
  <c r="AL13" i="115" s="1"/>
  <c r="AO13" i="115" s="1"/>
  <c r="X12" i="72" s="1"/>
  <c r="H36" i="100"/>
  <c r="AB37" i="115"/>
  <c r="AL37" i="115" s="1"/>
  <c r="AO37" i="115" s="1"/>
  <c r="X36" i="72" s="1"/>
  <c r="Z52" i="115"/>
  <c r="H49" i="100"/>
  <c r="AB50" i="115"/>
  <c r="AL50" i="115" s="1"/>
  <c r="AO50" i="115" s="1"/>
  <c r="X49" i="72" s="1"/>
  <c r="H21" i="100"/>
  <c r="AB22" i="115"/>
  <c r="AL22" i="115" s="1"/>
  <c r="AO22" i="115" s="1"/>
  <c r="X21" i="72" s="1"/>
  <c r="H63" i="100"/>
  <c r="AB64" i="115"/>
  <c r="AL64" i="115" s="1"/>
  <c r="AO64" i="115" s="1"/>
  <c r="X63" i="72" s="1"/>
  <c r="H29" i="100"/>
  <c r="AB30" i="115"/>
  <c r="AL30" i="115" s="1"/>
  <c r="AO30" i="115" s="1"/>
  <c r="X29" i="72" s="1"/>
  <c r="H26" i="100"/>
  <c r="AB27" i="115"/>
  <c r="AL27" i="115" s="1"/>
  <c r="AO27" i="115" s="1"/>
  <c r="X26" i="72" s="1"/>
  <c r="H28" i="100"/>
  <c r="AB29" i="115"/>
  <c r="AL29" i="115" s="1"/>
  <c r="AO29" i="115" s="1"/>
  <c r="X28" i="72" s="1"/>
  <c r="AB16" i="46"/>
  <c r="AC16" i="46" s="1"/>
  <c r="AG16" i="46" s="1"/>
  <c r="AI16" i="46" s="1"/>
  <c r="AB14" i="46"/>
  <c r="AC14" i="46" s="1"/>
  <c r="AG14" i="46" s="1"/>
  <c r="AI14" i="46" s="1"/>
  <c r="H37" i="100"/>
  <c r="AB38" i="115"/>
  <c r="AL38" i="115" s="1"/>
  <c r="AO38" i="115" s="1"/>
  <c r="X37" i="72" s="1"/>
  <c r="H31" i="100"/>
  <c r="AB32" i="115"/>
  <c r="AL32" i="115" s="1"/>
  <c r="AO32" i="115" s="1"/>
  <c r="X31" i="72" s="1"/>
  <c r="AB23" i="46"/>
  <c r="AC23" i="46" s="1"/>
  <c r="Y9" i="115"/>
  <c r="W9" i="115"/>
  <c r="U9" i="115"/>
  <c r="Y24" i="115"/>
  <c r="U24" i="115"/>
  <c r="W24" i="115"/>
  <c r="Z24" i="115" s="1"/>
  <c r="Y31" i="115"/>
  <c r="U31" i="115"/>
  <c r="W31" i="115"/>
  <c r="Z31" i="115" s="1"/>
  <c r="Y44" i="115"/>
  <c r="W44" i="115"/>
  <c r="U44" i="115"/>
  <c r="AA12" i="115"/>
  <c r="AA72" i="115"/>
  <c r="AA75" i="115"/>
  <c r="AA58" i="115"/>
  <c r="Y15" i="115"/>
  <c r="W15" i="115"/>
  <c r="U15" i="115"/>
  <c r="AA51" i="115"/>
  <c r="AC25" i="115"/>
  <c r="AE25" i="115" s="1"/>
  <c r="W66" i="31"/>
  <c r="X66" i="31"/>
  <c r="W13" i="31"/>
  <c r="X13" i="31"/>
  <c r="O69" i="31"/>
  <c r="O70" i="31" s="1"/>
  <c r="U37" i="31"/>
  <c r="V37" i="31" s="1"/>
  <c r="X60" i="31"/>
  <c r="W60" i="31"/>
  <c r="U36" i="31"/>
  <c r="V36" i="31" s="1"/>
  <c r="V39" i="31"/>
  <c r="U47" i="31"/>
  <c r="V47" i="31" s="1"/>
  <c r="X52" i="31"/>
  <c r="W52" i="31"/>
  <c r="V49" i="31"/>
  <c r="X35" i="31"/>
  <c r="W35" i="31"/>
  <c r="U46" i="31"/>
  <c r="V46" i="31" s="1"/>
  <c r="U57" i="31"/>
  <c r="U24" i="31"/>
  <c r="V24" i="31" s="1"/>
  <c r="U51" i="31"/>
  <c r="V51" i="31" s="1"/>
  <c r="U15" i="31"/>
  <c r="V15" i="31" s="1"/>
  <c r="U67" i="31"/>
  <c r="U33" i="31"/>
  <c r="V33" i="31" s="1"/>
  <c r="U45" i="31"/>
  <c r="U48" i="31"/>
  <c r="U12" i="31"/>
  <c r="V12" i="31" s="1"/>
  <c r="U55" i="31"/>
  <c r="V55" i="31" s="1"/>
  <c r="U22" i="31"/>
  <c r="V22" i="31" s="1"/>
  <c r="AB35" i="46"/>
  <c r="AC35" i="46" s="1"/>
  <c r="AC39" i="115"/>
  <c r="AE39" i="115" s="1"/>
  <c r="AC35" i="115"/>
  <c r="AE35" i="115" s="1"/>
  <c r="AC18" i="115"/>
  <c r="AE18" i="115" s="1"/>
  <c r="AC53" i="115"/>
  <c r="AE53" i="115" s="1"/>
  <c r="AB11" i="46"/>
  <c r="AC11" i="46" s="1"/>
  <c r="AG11" i="46" s="1"/>
  <c r="AI11" i="46" s="1"/>
  <c r="Z23" i="115"/>
  <c r="AA23" i="115" s="1"/>
  <c r="W18" i="46"/>
  <c r="AA18" i="46"/>
  <c r="AB17" i="46"/>
  <c r="AC70" i="115"/>
  <c r="AE70" i="115" s="1"/>
  <c r="AC67" i="115"/>
  <c r="AE67" i="115" s="1"/>
  <c r="Z45" i="115"/>
  <c r="AA45" i="115" s="1"/>
  <c r="Y19" i="115"/>
  <c r="W19" i="115"/>
  <c r="U19" i="115"/>
  <c r="Y68" i="115"/>
  <c r="U68" i="115"/>
  <c r="W68" i="115"/>
  <c r="Z68" i="115" s="1"/>
  <c r="Y11" i="115"/>
  <c r="U11" i="115"/>
  <c r="W11" i="115"/>
  <c r="Z11" i="115" s="1"/>
  <c r="AA11" i="115" s="1"/>
  <c r="Y73" i="115"/>
  <c r="U73" i="115"/>
  <c r="W73" i="115"/>
  <c r="Z73" i="115" s="1"/>
  <c r="Z63" i="115"/>
  <c r="AA63" i="115" s="1"/>
  <c r="AA40" i="115"/>
  <c r="Z47" i="115"/>
  <c r="AA47" i="115" s="1"/>
  <c r="U51" i="80"/>
  <c r="T53" i="120"/>
  <c r="V53" i="117"/>
  <c r="T53" i="116"/>
  <c r="U51" i="76"/>
  <c r="T53" i="119"/>
  <c r="T53" i="118"/>
  <c r="T53" i="114"/>
  <c r="T53" i="113"/>
  <c r="U72" i="80"/>
  <c r="U72" i="76"/>
  <c r="T74" i="119"/>
  <c r="T74" i="113"/>
  <c r="T74" i="114"/>
  <c r="T74" i="120"/>
  <c r="T74" i="118"/>
  <c r="T74" i="116"/>
  <c r="V74" i="117"/>
  <c r="U47" i="76"/>
  <c r="T49" i="119"/>
  <c r="T49" i="118"/>
  <c r="T49" i="114"/>
  <c r="T49" i="113"/>
  <c r="U47" i="80"/>
  <c r="T49" i="120"/>
  <c r="V49" i="117"/>
  <c r="T49" i="116"/>
  <c r="U14" i="76"/>
  <c r="T16" i="119"/>
  <c r="T16" i="116"/>
  <c r="V16" i="117"/>
  <c r="U14" i="80"/>
  <c r="T16" i="120"/>
  <c r="T16" i="118"/>
  <c r="T16" i="113"/>
  <c r="T16" i="114"/>
  <c r="T60" i="120"/>
  <c r="T60" i="118"/>
  <c r="T60" i="116"/>
  <c r="V60" i="117"/>
  <c r="U58" i="80"/>
  <c r="U58" i="76"/>
  <c r="T60" i="119"/>
  <c r="T60" i="113"/>
  <c r="T60" i="114"/>
  <c r="U16" i="76"/>
  <c r="T18" i="119"/>
  <c r="T18" i="116"/>
  <c r="V18" i="117"/>
  <c r="U16" i="80"/>
  <c r="T18" i="120"/>
  <c r="T18" i="118"/>
  <c r="T18" i="113"/>
  <c r="T18" i="114"/>
  <c r="U19" i="80"/>
  <c r="T21" i="120"/>
  <c r="T21" i="118"/>
  <c r="T21" i="113"/>
  <c r="U19" i="76"/>
  <c r="T21" i="119"/>
  <c r="V21" i="117"/>
  <c r="T21" i="116"/>
  <c r="T21" i="114"/>
  <c r="U59" i="76"/>
  <c r="T61" i="120"/>
  <c r="T61" i="118"/>
  <c r="T61" i="114"/>
  <c r="T61" i="113"/>
  <c r="U59" i="80"/>
  <c r="T61" i="119"/>
  <c r="V61" i="117"/>
  <c r="T61" i="116"/>
  <c r="T66" i="120"/>
  <c r="T66" i="118"/>
  <c r="T66" i="116"/>
  <c r="V66" i="117"/>
  <c r="U64" i="80"/>
  <c r="U64" i="76"/>
  <c r="T66" i="119"/>
  <c r="T66" i="113"/>
  <c r="T66" i="114"/>
  <c r="U42" i="80"/>
  <c r="T44" i="120"/>
  <c r="T44" i="118"/>
  <c r="T44" i="113"/>
  <c r="T44" i="114"/>
  <c r="U42" i="76"/>
  <c r="T44" i="119"/>
  <c r="T44" i="116"/>
  <c r="V44" i="117"/>
  <c r="D15" i="130"/>
  <c r="U50" i="76"/>
  <c r="T52" i="119"/>
  <c r="T52" i="116"/>
  <c r="V52" i="117"/>
  <c r="U50" i="80"/>
  <c r="T52" i="120"/>
  <c r="T52" i="118"/>
  <c r="T52" i="113"/>
  <c r="T52" i="114"/>
  <c r="U53" i="80"/>
  <c r="T55" i="120"/>
  <c r="V55" i="117"/>
  <c r="T55" i="116"/>
  <c r="U53" i="76"/>
  <c r="T55" i="119"/>
  <c r="T55" i="118"/>
  <c r="T55" i="114"/>
  <c r="T55" i="113"/>
  <c r="U55" i="76"/>
  <c r="T57" i="120"/>
  <c r="T57" i="118"/>
  <c r="T57" i="114"/>
  <c r="T57" i="113"/>
  <c r="U55" i="80"/>
  <c r="T57" i="119"/>
  <c r="V57" i="117"/>
  <c r="T57" i="116"/>
  <c r="D11" i="130"/>
  <c r="U32" i="80"/>
  <c r="T34" i="120"/>
  <c r="T34" i="116"/>
  <c r="T34" i="118"/>
  <c r="T34" i="114"/>
  <c r="U32" i="76"/>
  <c r="T34" i="119"/>
  <c r="T34" i="113"/>
  <c r="V34" i="117"/>
  <c r="T62" i="120"/>
  <c r="T62" i="118"/>
  <c r="T62" i="116"/>
  <c r="V62" i="117"/>
  <c r="U60" i="80"/>
  <c r="U60" i="76"/>
  <c r="T62" i="119"/>
  <c r="T62" i="113"/>
  <c r="T62" i="114"/>
  <c r="U37" i="80"/>
  <c r="T39" i="120"/>
  <c r="U37" i="76"/>
  <c r="T39" i="119"/>
  <c r="T39" i="118"/>
  <c r="T39" i="116"/>
  <c r="T39" i="114"/>
  <c r="V39" i="117"/>
  <c r="T39" i="113"/>
  <c r="AB62" i="115"/>
  <c r="AL62" i="115" s="1"/>
  <c r="AO62" i="115" s="1"/>
  <c r="X61" i="72" s="1"/>
  <c r="H61" i="100"/>
  <c r="AC62" i="115"/>
  <c r="AE62" i="115" s="1"/>
  <c r="H58" i="100"/>
  <c r="AB59" i="115"/>
  <c r="AL59" i="115" s="1"/>
  <c r="AO59" i="115" s="1"/>
  <c r="X58" i="72" s="1"/>
  <c r="H59" i="100"/>
  <c r="AB60" i="115"/>
  <c r="AL60" i="115" s="1"/>
  <c r="AO60" i="115" s="1"/>
  <c r="X59" i="72" s="1"/>
  <c r="H68" i="100"/>
  <c r="AB69" i="115"/>
  <c r="AL69" i="115" s="1"/>
  <c r="AO69" i="115" s="1"/>
  <c r="X68" i="72" s="1"/>
  <c r="AA52" i="115"/>
  <c r="H48" i="100"/>
  <c r="AB49" i="115"/>
  <c r="AL49" i="115" s="1"/>
  <c r="AO49" i="115" s="1"/>
  <c r="X48" i="72" s="1"/>
  <c r="H15" i="100"/>
  <c r="AB16" i="115"/>
  <c r="AL16" i="115" s="1"/>
  <c r="AO16" i="115" s="1"/>
  <c r="X15" i="72" s="1"/>
  <c r="H55" i="100"/>
  <c r="AB56" i="115"/>
  <c r="AL56" i="115" s="1"/>
  <c r="AO56" i="115" s="1"/>
  <c r="X55" i="72" s="1"/>
  <c r="H65" i="100"/>
  <c r="AB66" i="115"/>
  <c r="AL66" i="115" s="1"/>
  <c r="AO66" i="115" s="1"/>
  <c r="X65" i="72" s="1"/>
  <c r="H27" i="100"/>
  <c r="AB28" i="115"/>
  <c r="AL28" i="115" s="1"/>
  <c r="AO28" i="115" s="1"/>
  <c r="X27" i="72" s="1"/>
  <c r="H25" i="100"/>
  <c r="AB26" i="115"/>
  <c r="AL26" i="115" s="1"/>
  <c r="AO26" i="115" s="1"/>
  <c r="X25" i="72" s="1"/>
  <c r="H54" i="100"/>
  <c r="AB55" i="115"/>
  <c r="AL55" i="115" s="1"/>
  <c r="AO55" i="115" s="1"/>
  <c r="X54" i="72" s="1"/>
  <c r="AB15" i="46"/>
  <c r="AC15" i="46" s="1"/>
  <c r="AG15" i="46" s="1"/>
  <c r="AI15" i="46" s="1"/>
  <c r="H64" i="100"/>
  <c r="AB65" i="115"/>
  <c r="AL65" i="115" s="1"/>
  <c r="AO65" i="115" s="1"/>
  <c r="X64" i="72" s="1"/>
  <c r="AB8" i="115"/>
  <c r="H7" i="100"/>
  <c r="Y28" i="46"/>
  <c r="AA28" i="46"/>
  <c r="W28" i="46"/>
  <c r="Y29" i="46"/>
  <c r="AA29" i="46"/>
  <c r="W29" i="46"/>
  <c r="AG46" i="115"/>
  <c r="AH46" i="115" s="1"/>
  <c r="AI46" i="115"/>
  <c r="H41" i="100"/>
  <c r="AB42" i="115"/>
  <c r="AL42" i="115" s="1"/>
  <c r="AO42" i="115" s="1"/>
  <c r="X41" i="72" s="1"/>
  <c r="W25" i="31"/>
  <c r="X25" i="31"/>
  <c r="V48" i="31"/>
  <c r="X44" i="31"/>
  <c r="W44" i="31"/>
  <c r="W42" i="31"/>
  <c r="X42" i="31"/>
  <c r="X58" i="31"/>
  <c r="W58" i="31"/>
  <c r="V57" i="31"/>
  <c r="W32" i="31"/>
  <c r="X32" i="31"/>
  <c r="W41" i="31"/>
  <c r="X41" i="31"/>
  <c r="V59" i="31"/>
  <c r="W26" i="31"/>
  <c r="X26" i="31"/>
  <c r="U64" i="31"/>
  <c r="V64" i="31" s="1"/>
  <c r="U30" i="31"/>
  <c r="V30" i="31" s="1"/>
  <c r="V27" i="31"/>
  <c r="V67" i="31"/>
  <c r="U9" i="31"/>
  <c r="V9" i="31" s="1"/>
  <c r="U40" i="31"/>
  <c r="V40" i="31" s="1"/>
  <c r="V18" i="31"/>
  <c r="U68" i="31"/>
  <c r="V68" i="31" s="1"/>
  <c r="U34" i="31"/>
  <c r="V34" i="31" s="1"/>
  <c r="U50" i="31"/>
  <c r="V50" i="31" s="1"/>
  <c r="U14" i="31"/>
  <c r="V14" i="31" s="1"/>
  <c r="U65" i="31"/>
  <c r="V65" i="31" s="1"/>
  <c r="U31" i="31"/>
  <c r="V31" i="31" s="1"/>
  <c r="U38" i="31"/>
  <c r="V38" i="31" s="1"/>
  <c r="V45" i="31"/>
  <c r="AG71" i="115"/>
  <c r="AH71" i="115" s="1"/>
  <c r="AI71" i="115"/>
  <c r="AG41" i="115"/>
  <c r="AH41" i="115" s="1"/>
  <c r="AI41" i="115"/>
  <c r="AG21" i="115"/>
  <c r="AH21" i="115" s="1"/>
  <c r="AI21" i="115"/>
  <c r="AC17" i="46"/>
  <c r="AG17" i="115"/>
  <c r="AH17" i="115" s="1"/>
  <c r="AI17" i="115"/>
  <c r="H42" i="100"/>
  <c r="AB43" i="115"/>
  <c r="AL43" i="115" s="1"/>
  <c r="AO43" i="115" s="1"/>
  <c r="X42" i="72" s="1"/>
  <c r="H13" i="100"/>
  <c r="AB14" i="115"/>
  <c r="AL14" i="115" s="1"/>
  <c r="AO14" i="115" s="1"/>
  <c r="X13" i="72" s="1"/>
  <c r="H19" i="100"/>
  <c r="AB20" i="115"/>
  <c r="AL20" i="115" s="1"/>
  <c r="AO20" i="115" s="1"/>
  <c r="X19" i="72" s="1"/>
  <c r="H32" i="100"/>
  <c r="AB33" i="115"/>
  <c r="AL33" i="115" s="1"/>
  <c r="AO33" i="115" s="1"/>
  <c r="X32" i="72" s="1"/>
  <c r="H47" i="100"/>
  <c r="AB48" i="115"/>
  <c r="AL48" i="115" s="1"/>
  <c r="AO48" i="115" s="1"/>
  <c r="X47" i="72" s="1"/>
  <c r="AB18" i="46" l="1"/>
  <c r="AC66" i="115"/>
  <c r="AE66" i="115" s="1"/>
  <c r="E17" i="130"/>
  <c r="H17" i="130" s="1"/>
  <c r="E11" i="130"/>
  <c r="H11" i="130" s="1"/>
  <c r="E15" i="130"/>
  <c r="H15" i="130" s="1"/>
  <c r="E10" i="130"/>
  <c r="E16" i="130"/>
  <c r="H16" i="130" s="1"/>
  <c r="J12" i="130"/>
  <c r="AK12" i="46"/>
  <c r="AL12" i="46" s="1"/>
  <c r="AN12" i="46" s="1"/>
  <c r="AM12" i="46"/>
  <c r="AK13" i="46"/>
  <c r="AL13" i="46" s="1"/>
  <c r="AN13" i="46" s="1"/>
  <c r="AM13" i="46"/>
  <c r="X62" i="31"/>
  <c r="W62" i="31"/>
  <c r="X63" i="31"/>
  <c r="W63" i="31"/>
  <c r="X56" i="31"/>
  <c r="W56" i="31"/>
  <c r="X53" i="31"/>
  <c r="W53" i="31"/>
  <c r="X54" i="31"/>
  <c r="W54" i="31"/>
  <c r="W28" i="31"/>
  <c r="X28" i="31"/>
  <c r="W29" i="31"/>
  <c r="X29" i="31"/>
  <c r="W23" i="31"/>
  <c r="X23" i="31"/>
  <c r="X19" i="31"/>
  <c r="W19" i="31"/>
  <c r="X20" i="31"/>
  <c r="W20" i="31"/>
  <c r="AC29" i="115"/>
  <c r="AE29" i="115" s="1"/>
  <c r="AC54" i="115"/>
  <c r="AE54" i="115" s="1"/>
  <c r="AC14" i="115"/>
  <c r="AE14" i="115" s="1"/>
  <c r="AC43" i="115"/>
  <c r="AE43" i="115" s="1"/>
  <c r="Y42" i="31"/>
  <c r="Z42" i="31" s="1"/>
  <c r="AB42" i="31" s="1"/>
  <c r="Y13" i="31"/>
  <c r="Z13" i="31" s="1"/>
  <c r="AB13" i="31" s="1"/>
  <c r="Y66" i="31"/>
  <c r="Z66" i="31" s="1"/>
  <c r="AB66" i="31" s="1"/>
  <c r="AC22" i="115"/>
  <c r="AE22" i="115" s="1"/>
  <c r="AC13" i="115"/>
  <c r="AE13" i="115" s="1"/>
  <c r="AC36" i="115"/>
  <c r="AE36" i="115" s="1"/>
  <c r="Y35" i="31"/>
  <c r="Z35" i="31" s="1"/>
  <c r="AB35" i="31" s="1"/>
  <c r="AC33" i="115"/>
  <c r="AE33" i="115" s="1"/>
  <c r="Y26" i="31"/>
  <c r="Z26" i="31" s="1"/>
  <c r="AB26" i="31" s="1"/>
  <c r="AB29" i="46"/>
  <c r="AC29" i="46" s="1"/>
  <c r="AC26" i="115"/>
  <c r="AE26" i="115" s="1"/>
  <c r="AC16" i="115"/>
  <c r="AE16" i="115" s="1"/>
  <c r="AC60" i="115"/>
  <c r="AE60" i="115" s="1"/>
  <c r="AA68" i="115"/>
  <c r="Y53" i="31"/>
  <c r="Z53" i="31" s="1"/>
  <c r="AB53" i="31" s="1"/>
  <c r="AC74" i="115"/>
  <c r="AE74" i="115" s="1"/>
  <c r="AC34" i="115"/>
  <c r="AE34" i="115" s="1"/>
  <c r="Y28" i="31"/>
  <c r="Z28" i="31" s="1"/>
  <c r="AB28" i="31" s="1"/>
  <c r="Z44" i="115"/>
  <c r="AA24" i="115"/>
  <c r="AC32" i="115"/>
  <c r="AE32" i="115" s="1"/>
  <c r="AC30" i="115"/>
  <c r="AE30" i="115" s="1"/>
  <c r="AC10" i="115"/>
  <c r="AE10" i="115" s="1"/>
  <c r="X65" i="31"/>
  <c r="W65" i="31"/>
  <c r="Y65" i="31" s="1"/>
  <c r="Z65" i="31" s="1"/>
  <c r="AB65" i="31" s="1"/>
  <c r="X50" i="31"/>
  <c r="W50" i="31"/>
  <c r="Y50" i="31" s="1"/>
  <c r="Z50" i="31" s="1"/>
  <c r="AB50" i="31" s="1"/>
  <c r="W68" i="31"/>
  <c r="X68" i="31"/>
  <c r="Y68" i="31" s="1"/>
  <c r="Z68" i="31" s="1"/>
  <c r="AB68" i="31" s="1"/>
  <c r="X12" i="31"/>
  <c r="W12" i="31"/>
  <c r="AK16" i="46"/>
  <c r="AL16" i="46" s="1"/>
  <c r="AN16" i="46" s="1"/>
  <c r="AM16" i="46"/>
  <c r="W14" i="31"/>
  <c r="X14" i="31"/>
  <c r="X34" i="31"/>
  <c r="W34" i="31"/>
  <c r="W33" i="31"/>
  <c r="X33" i="31"/>
  <c r="AK14" i="46"/>
  <c r="AL14" i="46" s="1"/>
  <c r="AN14" i="46" s="1"/>
  <c r="AM14" i="46"/>
  <c r="U17" i="80"/>
  <c r="T19" i="120"/>
  <c r="T19" i="118"/>
  <c r="T19" i="113"/>
  <c r="U17" i="76"/>
  <c r="T19" i="119"/>
  <c r="V19" i="117"/>
  <c r="T19" i="116"/>
  <c r="T19" i="114"/>
  <c r="AG33" i="115"/>
  <c r="AH33" i="115" s="1"/>
  <c r="AI33" i="115"/>
  <c r="AG14" i="115"/>
  <c r="AH14" i="115" s="1"/>
  <c r="AI14" i="115"/>
  <c r="AG43" i="115"/>
  <c r="AH43" i="115" s="1"/>
  <c r="AI43" i="115"/>
  <c r="H16" i="72"/>
  <c r="AJ17" i="115"/>
  <c r="H20" i="72"/>
  <c r="AJ21" i="115"/>
  <c r="H40" i="72"/>
  <c r="AJ41" i="115"/>
  <c r="H70" i="72"/>
  <c r="AJ71" i="115"/>
  <c r="X38" i="31"/>
  <c r="W38" i="31"/>
  <c r="X40" i="31"/>
  <c r="W40" i="31"/>
  <c r="W67" i="31"/>
  <c r="X67" i="31"/>
  <c r="W27" i="31"/>
  <c r="X27" i="31"/>
  <c r="W30" i="31"/>
  <c r="X30" i="31"/>
  <c r="X59" i="31"/>
  <c r="W59" i="31"/>
  <c r="W57" i="31"/>
  <c r="X57" i="31"/>
  <c r="AG23" i="46"/>
  <c r="AI23" i="46" s="1"/>
  <c r="D44" i="100"/>
  <c r="AK15" i="46"/>
  <c r="AL15" i="46" s="1"/>
  <c r="AN15" i="46" s="1"/>
  <c r="AM15" i="46"/>
  <c r="AG26" i="115"/>
  <c r="AH26" i="115" s="1"/>
  <c r="AI26" i="115"/>
  <c r="AG66" i="115"/>
  <c r="AH66" i="115" s="1"/>
  <c r="AI66" i="115"/>
  <c r="AG16" i="115"/>
  <c r="AH16" i="115" s="1"/>
  <c r="AI16" i="115"/>
  <c r="H51" i="100"/>
  <c r="AB52" i="115"/>
  <c r="AL52" i="115" s="1"/>
  <c r="AO52" i="115" s="1"/>
  <c r="X51" i="72" s="1"/>
  <c r="AG60" i="115"/>
  <c r="AH60" i="115" s="1"/>
  <c r="AI60" i="115"/>
  <c r="AG62" i="115"/>
  <c r="AH62" i="115" s="1"/>
  <c r="AI62" i="115"/>
  <c r="AA39" i="117"/>
  <c r="Y39" i="117"/>
  <c r="W39" i="117"/>
  <c r="Y39" i="116"/>
  <c r="W39" i="116"/>
  <c r="Z39" i="116" s="1"/>
  <c r="U39" i="116"/>
  <c r="Y39" i="119"/>
  <c r="W39" i="119"/>
  <c r="U39" i="119"/>
  <c r="Y39" i="120"/>
  <c r="W39" i="120"/>
  <c r="Z39" i="120" s="1"/>
  <c r="U39" i="120"/>
  <c r="Y62" i="114"/>
  <c r="W62" i="114"/>
  <c r="U62" i="114"/>
  <c r="Y62" i="119"/>
  <c r="U62" i="119"/>
  <c r="W62" i="119"/>
  <c r="Z62" i="119" s="1"/>
  <c r="Z60" i="80"/>
  <c r="X60" i="80"/>
  <c r="V60" i="80"/>
  <c r="Y62" i="116"/>
  <c r="W62" i="116"/>
  <c r="Z62" i="116" s="1"/>
  <c r="U62" i="116"/>
  <c r="Y62" i="120"/>
  <c r="W62" i="120"/>
  <c r="U62" i="120"/>
  <c r="Y34" i="113"/>
  <c r="W34" i="113"/>
  <c r="Z34" i="113" s="1"/>
  <c r="U34" i="113"/>
  <c r="Z32" i="76"/>
  <c r="X32" i="76"/>
  <c r="V32" i="76"/>
  <c r="Y34" i="118"/>
  <c r="W34" i="118"/>
  <c r="Z34" i="118" s="1"/>
  <c r="U34" i="118"/>
  <c r="Y34" i="120"/>
  <c r="W34" i="120"/>
  <c r="U34" i="120"/>
  <c r="AA57" i="117"/>
  <c r="Y57" i="117"/>
  <c r="AB57" i="117" s="1"/>
  <c r="W57" i="117"/>
  <c r="Z55" i="80"/>
  <c r="X55" i="80"/>
  <c r="V55" i="80"/>
  <c r="Y57" i="114"/>
  <c r="W57" i="114"/>
  <c r="Z57" i="114" s="1"/>
  <c r="U57" i="114"/>
  <c r="Y57" i="120"/>
  <c r="W57" i="120"/>
  <c r="U57" i="120"/>
  <c r="Y55" i="113"/>
  <c r="W55" i="113"/>
  <c r="U55" i="113"/>
  <c r="Y55" i="118"/>
  <c r="W55" i="118"/>
  <c r="U55" i="118"/>
  <c r="Z53" i="76"/>
  <c r="X53" i="76"/>
  <c r="V53" i="76"/>
  <c r="AA55" i="117"/>
  <c r="Y55" i="117"/>
  <c r="W55" i="117"/>
  <c r="Z53" i="80"/>
  <c r="X53" i="80"/>
  <c r="V53" i="80"/>
  <c r="Y52" i="113"/>
  <c r="W52" i="113"/>
  <c r="U52" i="113"/>
  <c r="Y52" i="120"/>
  <c r="W52" i="120"/>
  <c r="U52" i="120"/>
  <c r="AA52" i="117"/>
  <c r="W52" i="117"/>
  <c r="Y52" i="117"/>
  <c r="AB52" i="117" s="1"/>
  <c r="Y52" i="119"/>
  <c r="W52" i="119"/>
  <c r="U52" i="119"/>
  <c r="Y44" i="116"/>
  <c r="W44" i="116"/>
  <c r="Z44" i="116" s="1"/>
  <c r="U44" i="116"/>
  <c r="Z42" i="76"/>
  <c r="X42" i="76"/>
  <c r="AA42" i="76" s="1"/>
  <c r="V42" i="76"/>
  <c r="AB42" i="76" s="1"/>
  <c r="Y44" i="113"/>
  <c r="W44" i="113"/>
  <c r="Z44" i="113" s="1"/>
  <c r="AA44" i="113" s="1"/>
  <c r="U44" i="113"/>
  <c r="Y44" i="120"/>
  <c r="W44" i="120"/>
  <c r="U44" i="120"/>
  <c r="Y66" i="114"/>
  <c r="U66" i="114"/>
  <c r="W66" i="114"/>
  <c r="Z66" i="114" s="1"/>
  <c r="Y66" i="119"/>
  <c r="W66" i="119"/>
  <c r="Z66" i="119" s="1"/>
  <c r="U66" i="119"/>
  <c r="Z64" i="80"/>
  <c r="X64" i="80"/>
  <c r="AA64" i="80" s="1"/>
  <c r="V64" i="80"/>
  <c r="Y66" i="116"/>
  <c r="W66" i="116"/>
  <c r="Z66" i="116" s="1"/>
  <c r="U66" i="116"/>
  <c r="AA66" i="116" s="1"/>
  <c r="Y66" i="120"/>
  <c r="U66" i="120"/>
  <c r="W66" i="120"/>
  <c r="Z66" i="120" s="1"/>
  <c r="AA66" i="120" s="1"/>
  <c r="AA61" i="117"/>
  <c r="Y61" i="117"/>
  <c r="AB61" i="117" s="1"/>
  <c r="W61" i="117"/>
  <c r="Z59" i="80"/>
  <c r="X59" i="80"/>
  <c r="V59" i="80"/>
  <c r="Y61" i="114"/>
  <c r="U61" i="114"/>
  <c r="W61" i="114"/>
  <c r="Z61" i="114" s="1"/>
  <c r="Y61" i="120"/>
  <c r="W61" i="120"/>
  <c r="U61" i="120"/>
  <c r="Y21" i="114"/>
  <c r="W21" i="114"/>
  <c r="Z21" i="114" s="1"/>
  <c r="U21" i="114"/>
  <c r="AA21" i="114" s="1"/>
  <c r="AA21" i="117"/>
  <c r="Y21" i="117"/>
  <c r="AB21" i="117" s="1"/>
  <c r="W21" i="117"/>
  <c r="AC21" i="117" s="1"/>
  <c r="Z19" i="76"/>
  <c r="X19" i="76"/>
  <c r="AA19" i="76" s="1"/>
  <c r="V19" i="76"/>
  <c r="AB19" i="76" s="1"/>
  <c r="Y21" i="118"/>
  <c r="W21" i="118"/>
  <c r="Z21" i="118" s="1"/>
  <c r="U21" i="118"/>
  <c r="Z19" i="80"/>
  <c r="X19" i="80"/>
  <c r="V19" i="80"/>
  <c r="Y18" i="113"/>
  <c r="W18" i="113"/>
  <c r="Z18" i="113" s="1"/>
  <c r="AA18" i="113" s="1"/>
  <c r="U18" i="113"/>
  <c r="Y18" i="120"/>
  <c r="W18" i="120"/>
  <c r="U18" i="120"/>
  <c r="AA18" i="117"/>
  <c r="Y18" i="117"/>
  <c r="AB18" i="117" s="1"/>
  <c r="W18" i="117"/>
  <c r="Y18" i="119"/>
  <c r="W18" i="119"/>
  <c r="U18" i="119"/>
  <c r="Y60" i="114"/>
  <c r="W60" i="114"/>
  <c r="Z60" i="114" s="1"/>
  <c r="U60" i="114"/>
  <c r="Y60" i="119"/>
  <c r="W60" i="119"/>
  <c r="U60" i="119"/>
  <c r="Z58" i="80"/>
  <c r="X58" i="80"/>
  <c r="AA58" i="80" s="1"/>
  <c r="V58" i="80"/>
  <c r="Y60" i="116"/>
  <c r="W60" i="116"/>
  <c r="U60" i="116"/>
  <c r="Y60" i="120"/>
  <c r="W60" i="120"/>
  <c r="Z60" i="120" s="1"/>
  <c r="AA60" i="120" s="1"/>
  <c r="U60" i="120"/>
  <c r="Y16" i="113"/>
  <c r="W16" i="113"/>
  <c r="U16" i="113"/>
  <c r="Y16" i="120"/>
  <c r="W16" i="120"/>
  <c r="Z16" i="120" s="1"/>
  <c r="AA16" i="120" s="1"/>
  <c r="U16" i="120"/>
  <c r="AA16" i="117"/>
  <c r="Y16" i="117"/>
  <c r="W16" i="117"/>
  <c r="Y16" i="119"/>
  <c r="W16" i="119"/>
  <c r="Z16" i="119" s="1"/>
  <c r="U16" i="119"/>
  <c r="Y49" i="116"/>
  <c r="W49" i="116"/>
  <c r="U49" i="116"/>
  <c r="Y49" i="120"/>
  <c r="W49" i="120"/>
  <c r="Z49" i="120" s="1"/>
  <c r="AA49" i="120" s="1"/>
  <c r="U49" i="120"/>
  <c r="Y49" i="113"/>
  <c r="W49" i="113"/>
  <c r="U49" i="113"/>
  <c r="Y49" i="118"/>
  <c r="W49" i="118"/>
  <c r="Z49" i="118" s="1"/>
  <c r="AA49" i="118" s="1"/>
  <c r="U49" i="118"/>
  <c r="Z47" i="76"/>
  <c r="X47" i="76"/>
  <c r="V47" i="76"/>
  <c r="Y74" i="116"/>
  <c r="W74" i="116"/>
  <c r="Z74" i="116" s="1"/>
  <c r="U74" i="116"/>
  <c r="Y74" i="120"/>
  <c r="U74" i="120"/>
  <c r="W74" i="120"/>
  <c r="Z74" i="120" s="1"/>
  <c r="AA74" i="120" s="1"/>
  <c r="Y74" i="113"/>
  <c r="W74" i="113"/>
  <c r="Z74" i="113" s="1"/>
  <c r="AA74" i="113" s="1"/>
  <c r="U74" i="113"/>
  <c r="Z72" i="76"/>
  <c r="X72" i="76"/>
  <c r="V72" i="76"/>
  <c r="Y53" i="113"/>
  <c r="W53" i="113"/>
  <c r="Z53" i="113" s="1"/>
  <c r="AA53" i="113" s="1"/>
  <c r="U53" i="113"/>
  <c r="Y53" i="118"/>
  <c r="W53" i="118"/>
  <c r="U53" i="118"/>
  <c r="Z51" i="76"/>
  <c r="X51" i="76"/>
  <c r="AA51" i="76" s="1"/>
  <c r="V51" i="76"/>
  <c r="AA53" i="117"/>
  <c r="W53" i="117"/>
  <c r="Y53" i="117"/>
  <c r="AB53" i="117" s="1"/>
  <c r="Z51" i="80"/>
  <c r="X51" i="80"/>
  <c r="AA51" i="80" s="1"/>
  <c r="V51" i="80"/>
  <c r="H39" i="100"/>
  <c r="AB40" i="115"/>
  <c r="AL40" i="115" s="1"/>
  <c r="AO40" i="115" s="1"/>
  <c r="X39" i="72" s="1"/>
  <c r="AC40" i="115"/>
  <c r="AE40" i="115" s="1"/>
  <c r="AA73" i="115"/>
  <c r="Z19" i="115"/>
  <c r="H44" i="100"/>
  <c r="AB45" i="115"/>
  <c r="AL45" i="115" s="1"/>
  <c r="AO45" i="115" s="1"/>
  <c r="X44" i="72" s="1"/>
  <c r="AG70" i="115"/>
  <c r="AH70" i="115" s="1"/>
  <c r="AI70" i="115"/>
  <c r="AG10" i="46"/>
  <c r="AC18" i="46"/>
  <c r="AG53" i="115"/>
  <c r="AH53" i="115" s="1"/>
  <c r="AI53" i="115"/>
  <c r="AG35" i="115"/>
  <c r="AH35" i="115" s="1"/>
  <c r="AI35" i="115"/>
  <c r="X22" i="31"/>
  <c r="W22" i="31"/>
  <c r="W15" i="31"/>
  <c r="X15" i="31"/>
  <c r="W24" i="31"/>
  <c r="X24" i="31"/>
  <c r="W49" i="31"/>
  <c r="X49" i="31"/>
  <c r="Y52" i="31"/>
  <c r="Z52" i="31" s="1"/>
  <c r="AB52" i="31" s="1"/>
  <c r="Y60" i="31"/>
  <c r="Z60" i="31" s="1"/>
  <c r="AB60" i="31" s="1"/>
  <c r="W37" i="31"/>
  <c r="X37" i="31"/>
  <c r="Y23" i="31"/>
  <c r="Z23" i="31" s="1"/>
  <c r="AB23" i="31" s="1"/>
  <c r="Y54" i="31"/>
  <c r="Z54" i="31" s="1"/>
  <c r="AB54" i="31" s="1"/>
  <c r="Y63" i="31"/>
  <c r="Z63" i="31" s="1"/>
  <c r="AB63" i="31" s="1"/>
  <c r="Y56" i="31"/>
  <c r="Z56" i="31" s="1"/>
  <c r="AB56" i="31" s="1"/>
  <c r="H50" i="100"/>
  <c r="AB51" i="115"/>
  <c r="AL51" i="115" s="1"/>
  <c r="AO51" i="115" s="1"/>
  <c r="X50" i="72" s="1"/>
  <c r="Z15" i="115"/>
  <c r="AA15" i="115" s="1"/>
  <c r="H57" i="100"/>
  <c r="AB58" i="115"/>
  <c r="AL58" i="115" s="1"/>
  <c r="AO58" i="115" s="1"/>
  <c r="X57" i="72" s="1"/>
  <c r="H71" i="100"/>
  <c r="AB72" i="115"/>
  <c r="AL72" i="115" s="1"/>
  <c r="AO72" i="115" s="1"/>
  <c r="X71" i="72" s="1"/>
  <c r="AA44" i="115"/>
  <c r="AA31" i="115"/>
  <c r="Z9" i="115"/>
  <c r="AA9" i="115" s="1"/>
  <c r="AC38" i="115"/>
  <c r="AE38" i="115" s="1"/>
  <c r="AC27" i="115"/>
  <c r="AE27" i="115" s="1"/>
  <c r="AC64" i="115"/>
  <c r="AE64" i="115" s="1"/>
  <c r="AC50" i="115"/>
  <c r="AE50" i="115" s="1"/>
  <c r="AC37" i="115"/>
  <c r="AE37" i="115" s="1"/>
  <c r="AC61" i="115"/>
  <c r="AE61" i="115" s="1"/>
  <c r="AC57" i="115"/>
  <c r="AE57" i="115" s="1"/>
  <c r="AA67" i="117"/>
  <c r="Y67" i="117"/>
  <c r="W67" i="117"/>
  <c r="Z65" i="80"/>
  <c r="X65" i="80"/>
  <c r="V65" i="80"/>
  <c r="Y67" i="114"/>
  <c r="W67" i="114"/>
  <c r="U67" i="114"/>
  <c r="Y67" i="120"/>
  <c r="W67" i="120"/>
  <c r="U67" i="120"/>
  <c r="Y38" i="114"/>
  <c r="U38" i="114"/>
  <c r="W38" i="114"/>
  <c r="Z38" i="114" s="1"/>
  <c r="Y38" i="116"/>
  <c r="W38" i="116"/>
  <c r="U38" i="116"/>
  <c r="Z36" i="80"/>
  <c r="X36" i="80"/>
  <c r="V36" i="80"/>
  <c r="Y38" i="113"/>
  <c r="W38" i="113"/>
  <c r="U38" i="113"/>
  <c r="Z36" i="76"/>
  <c r="X36" i="76"/>
  <c r="V36" i="76"/>
  <c r="Y26" i="113"/>
  <c r="W26" i="113"/>
  <c r="U26" i="113"/>
  <c r="Z24" i="76"/>
  <c r="X24" i="76"/>
  <c r="V24" i="76"/>
  <c r="Y26" i="118"/>
  <c r="W26" i="118"/>
  <c r="U26" i="118"/>
  <c r="Y26" i="120"/>
  <c r="W26" i="120"/>
  <c r="U26" i="120"/>
  <c r="Y13" i="113"/>
  <c r="W13" i="113"/>
  <c r="U13" i="113"/>
  <c r="Y13" i="120"/>
  <c r="W13" i="120"/>
  <c r="U13" i="120"/>
  <c r="Y13" i="114"/>
  <c r="U13" i="114"/>
  <c r="W13" i="114"/>
  <c r="Z13" i="114" s="1"/>
  <c r="AA13" i="117"/>
  <c r="Y13" i="117"/>
  <c r="W13" i="117"/>
  <c r="Z11" i="76"/>
  <c r="X11" i="76"/>
  <c r="V11" i="76"/>
  <c r="Y41" i="116"/>
  <c r="W41" i="116"/>
  <c r="U41" i="116"/>
  <c r="Y41" i="119"/>
  <c r="W41" i="119"/>
  <c r="U41" i="119"/>
  <c r="Y41" i="113"/>
  <c r="W41" i="113"/>
  <c r="U41" i="113"/>
  <c r="Y41" i="120"/>
  <c r="W41" i="120"/>
  <c r="U41" i="120"/>
  <c r="AA54" i="117"/>
  <c r="Y54" i="117"/>
  <c r="W54" i="117"/>
  <c r="Y54" i="118"/>
  <c r="W54" i="118"/>
  <c r="U54" i="118"/>
  <c r="Y54" i="114"/>
  <c r="W54" i="114"/>
  <c r="U54" i="114"/>
  <c r="Y54" i="119"/>
  <c r="W54" i="119"/>
  <c r="U54" i="119"/>
  <c r="Z52" i="80"/>
  <c r="X52" i="80"/>
  <c r="V52" i="80"/>
  <c r="Y36" i="116"/>
  <c r="W36" i="116"/>
  <c r="U36" i="116"/>
  <c r="Z34" i="76"/>
  <c r="X34" i="76"/>
  <c r="V34" i="76"/>
  <c r="Y36" i="113"/>
  <c r="W36" i="113"/>
  <c r="U36" i="113"/>
  <c r="Y36" i="120"/>
  <c r="W36" i="120"/>
  <c r="U36" i="120"/>
  <c r="Y65" i="116"/>
  <c r="W65" i="116"/>
  <c r="U65" i="116"/>
  <c r="Y65" i="119"/>
  <c r="W65" i="119"/>
  <c r="U65" i="119"/>
  <c r="Y65" i="113"/>
  <c r="W65" i="113"/>
  <c r="U65" i="113"/>
  <c r="Y65" i="118"/>
  <c r="W65" i="118"/>
  <c r="U65" i="118"/>
  <c r="Z63" i="76"/>
  <c r="X63" i="76"/>
  <c r="V63" i="76"/>
  <c r="Y28" i="113"/>
  <c r="W28" i="113"/>
  <c r="U28" i="113"/>
  <c r="Y28" i="120"/>
  <c r="W28" i="120"/>
  <c r="U28" i="120"/>
  <c r="AA28" i="117"/>
  <c r="Y28" i="117"/>
  <c r="W28" i="117"/>
  <c r="Y28" i="119"/>
  <c r="W28" i="119"/>
  <c r="U28" i="119"/>
  <c r="Y59" i="113"/>
  <c r="W59" i="113"/>
  <c r="U59" i="113"/>
  <c r="Y59" i="118"/>
  <c r="W59" i="118"/>
  <c r="U59" i="118"/>
  <c r="Z57" i="76"/>
  <c r="X57" i="76"/>
  <c r="V57" i="76"/>
  <c r="AA59" i="117"/>
  <c r="Y59" i="117"/>
  <c r="W59" i="117"/>
  <c r="Z57" i="80"/>
  <c r="X57" i="80"/>
  <c r="V57" i="80"/>
  <c r="Y25" i="116"/>
  <c r="W25" i="116"/>
  <c r="U25" i="116"/>
  <c r="Y25" i="119"/>
  <c r="W25" i="119"/>
  <c r="U25" i="119"/>
  <c r="Y25" i="113"/>
  <c r="W25" i="113"/>
  <c r="U25" i="113"/>
  <c r="Y25" i="120"/>
  <c r="W25" i="120"/>
  <c r="U25" i="120"/>
  <c r="H10" i="130"/>
  <c r="AA71" i="117"/>
  <c r="Y71" i="117"/>
  <c r="AB71" i="117" s="1"/>
  <c r="W71" i="117"/>
  <c r="Z69" i="80"/>
  <c r="X69" i="80"/>
  <c r="V69" i="80"/>
  <c r="Y71" i="114"/>
  <c r="U71" i="114"/>
  <c r="AA71" i="114" s="1"/>
  <c r="W71" i="114"/>
  <c r="Z71" i="114" s="1"/>
  <c r="Y71" i="120"/>
  <c r="W71" i="120"/>
  <c r="U71" i="120"/>
  <c r="Y9" i="113"/>
  <c r="W9" i="113"/>
  <c r="Z9" i="113" s="1"/>
  <c r="AA9" i="113" s="1"/>
  <c r="U9" i="113"/>
  <c r="Y9" i="120"/>
  <c r="W9" i="120"/>
  <c r="U9" i="120"/>
  <c r="Y9" i="114"/>
  <c r="U9" i="114"/>
  <c r="AA9" i="114" s="1"/>
  <c r="W9" i="114"/>
  <c r="Z9" i="114" s="1"/>
  <c r="AA9" i="117"/>
  <c r="Y9" i="117"/>
  <c r="W9" i="117"/>
  <c r="Z7" i="76"/>
  <c r="X7" i="76"/>
  <c r="AA7" i="76" s="1"/>
  <c r="V7" i="76"/>
  <c r="Y35" i="116"/>
  <c r="W35" i="116"/>
  <c r="U35" i="116"/>
  <c r="Y35" i="119"/>
  <c r="W35" i="119"/>
  <c r="Z35" i="119" s="1"/>
  <c r="U35" i="119"/>
  <c r="AA35" i="117"/>
  <c r="Y35" i="117"/>
  <c r="W35" i="117"/>
  <c r="Z33" i="80"/>
  <c r="X33" i="80"/>
  <c r="AA33" i="80" s="1"/>
  <c r="V33" i="80"/>
  <c r="Y64" i="113"/>
  <c r="W64" i="113"/>
  <c r="U64" i="113"/>
  <c r="Z62" i="76"/>
  <c r="X62" i="76"/>
  <c r="AA62" i="76" s="1"/>
  <c r="V62" i="76"/>
  <c r="AA64" i="117"/>
  <c r="Y64" i="117"/>
  <c r="W64" i="117"/>
  <c r="Y64" i="118"/>
  <c r="W64" i="118"/>
  <c r="Z64" i="118" s="1"/>
  <c r="AA64" i="118" s="1"/>
  <c r="U64" i="118"/>
  <c r="Y23" i="113"/>
  <c r="W23" i="113"/>
  <c r="U23" i="113"/>
  <c r="Y23" i="120"/>
  <c r="W23" i="120"/>
  <c r="Z23" i="120" s="1"/>
  <c r="AA23" i="120" s="1"/>
  <c r="U23" i="120"/>
  <c r="Y23" i="114"/>
  <c r="W23" i="114"/>
  <c r="U23" i="114"/>
  <c r="AA23" i="117"/>
  <c r="Y23" i="117"/>
  <c r="AB23" i="117" s="1"/>
  <c r="W23" i="117"/>
  <c r="Z21" i="76"/>
  <c r="X21" i="76"/>
  <c r="V21" i="76"/>
  <c r="Y29" i="116"/>
  <c r="W29" i="116"/>
  <c r="Z29" i="116" s="1"/>
  <c r="U29" i="116"/>
  <c r="Y29" i="119"/>
  <c r="W29" i="119"/>
  <c r="U29" i="119"/>
  <c r="Y29" i="113"/>
  <c r="W29" i="113"/>
  <c r="Z29" i="113" s="1"/>
  <c r="AA29" i="113" s="1"/>
  <c r="U29" i="113"/>
  <c r="Y29" i="120"/>
  <c r="W29" i="120"/>
  <c r="U29" i="120"/>
  <c r="Y46" i="114"/>
  <c r="W46" i="114"/>
  <c r="Z46" i="114" s="1"/>
  <c r="U46" i="114"/>
  <c r="Y46" i="116"/>
  <c r="W46" i="116"/>
  <c r="U46" i="116"/>
  <c r="Z44" i="80"/>
  <c r="X44" i="80"/>
  <c r="AA44" i="80" s="1"/>
  <c r="V44" i="80"/>
  <c r="Y46" i="113"/>
  <c r="W46" i="113"/>
  <c r="U46" i="113"/>
  <c r="Z44" i="76"/>
  <c r="X44" i="76"/>
  <c r="AA44" i="76" s="1"/>
  <c r="V44" i="76"/>
  <c r="AA31" i="117"/>
  <c r="Y31" i="117"/>
  <c r="W31" i="117"/>
  <c r="Z29" i="80"/>
  <c r="X29" i="80"/>
  <c r="AA29" i="80" s="1"/>
  <c r="V29" i="80"/>
  <c r="Y31" i="116"/>
  <c r="W31" i="116"/>
  <c r="U31" i="116"/>
  <c r="Y31" i="119"/>
  <c r="W31" i="119"/>
  <c r="Z31" i="119" s="1"/>
  <c r="U31" i="119"/>
  <c r="Y56" i="114"/>
  <c r="W56" i="114"/>
  <c r="U56" i="114"/>
  <c r="Y56" i="119"/>
  <c r="W56" i="119"/>
  <c r="Z56" i="119" s="1"/>
  <c r="U56" i="119"/>
  <c r="Z54" i="80"/>
  <c r="X54" i="80"/>
  <c r="V54" i="80"/>
  <c r="Y56" i="116"/>
  <c r="W56" i="116"/>
  <c r="Z56" i="116" s="1"/>
  <c r="U56" i="116"/>
  <c r="Z54" i="76"/>
  <c r="X54" i="76"/>
  <c r="V54" i="76"/>
  <c r="Y50" i="113"/>
  <c r="U50" i="113"/>
  <c r="W50" i="113"/>
  <c r="Z50" i="113" s="1"/>
  <c r="Z48" i="76"/>
  <c r="X48" i="76"/>
  <c r="V48" i="76"/>
  <c r="Y50" i="118"/>
  <c r="U50" i="118"/>
  <c r="W50" i="118"/>
  <c r="Z50" i="118" s="1"/>
  <c r="Y50" i="120"/>
  <c r="W50" i="120"/>
  <c r="U50" i="120"/>
  <c r="Y73" i="116"/>
  <c r="W73" i="116"/>
  <c r="Z73" i="116" s="1"/>
  <c r="U73" i="116"/>
  <c r="Y73" i="119"/>
  <c r="W73" i="119"/>
  <c r="U73" i="119"/>
  <c r="Y73" i="113"/>
  <c r="U73" i="113"/>
  <c r="W73" i="113"/>
  <c r="Z73" i="113" s="1"/>
  <c r="Y73" i="118"/>
  <c r="W73" i="118"/>
  <c r="U73" i="118"/>
  <c r="Z71" i="76"/>
  <c r="X71" i="76"/>
  <c r="AA71" i="76" s="1"/>
  <c r="V71" i="76"/>
  <c r="Y22" i="116"/>
  <c r="W22" i="116"/>
  <c r="U22" i="116"/>
  <c r="Z20" i="76"/>
  <c r="X20" i="76"/>
  <c r="AA20" i="76" s="1"/>
  <c r="V20" i="76"/>
  <c r="Y22" i="113"/>
  <c r="W22" i="113"/>
  <c r="U22" i="113"/>
  <c r="Y22" i="120"/>
  <c r="W22" i="120"/>
  <c r="Z22" i="120" s="1"/>
  <c r="AA22" i="120" s="1"/>
  <c r="U22" i="120"/>
  <c r="P16" i="31"/>
  <c r="T43" i="31"/>
  <c r="T16" i="31"/>
  <c r="T17" i="31"/>
  <c r="T61" i="31"/>
  <c r="T21" i="31"/>
  <c r="P43" i="31"/>
  <c r="P17" i="31"/>
  <c r="P61" i="31"/>
  <c r="R43" i="31"/>
  <c r="U43" i="31" s="1"/>
  <c r="R61" i="31"/>
  <c r="U61" i="31" s="1"/>
  <c r="V61" i="31" s="1"/>
  <c r="R17" i="31"/>
  <c r="U17" i="31" s="1"/>
  <c r="V17" i="31" s="1"/>
  <c r="R16" i="31"/>
  <c r="R21" i="31"/>
  <c r="U21" i="31" s="1"/>
  <c r="P21" i="31"/>
  <c r="V21" i="31" s="1"/>
  <c r="Y42" i="113"/>
  <c r="W42" i="113"/>
  <c r="Z42" i="113" s="1"/>
  <c r="U42" i="113"/>
  <c r="Z40" i="76"/>
  <c r="X40" i="76"/>
  <c r="V40" i="76"/>
  <c r="Y42" i="114"/>
  <c r="W42" i="114"/>
  <c r="Z42" i="114" s="1"/>
  <c r="U42" i="114"/>
  <c r="Y42" i="116"/>
  <c r="W42" i="116"/>
  <c r="U42" i="116"/>
  <c r="Z40" i="80"/>
  <c r="X40" i="80"/>
  <c r="AA40" i="80" s="1"/>
  <c r="V40" i="80"/>
  <c r="Y30" i="118"/>
  <c r="W30" i="118"/>
  <c r="U30" i="118"/>
  <c r="Y30" i="120"/>
  <c r="W30" i="120"/>
  <c r="Z30" i="120" s="1"/>
  <c r="AA30" i="120" s="1"/>
  <c r="U30" i="120"/>
  <c r="AA30" i="117"/>
  <c r="Y30" i="117"/>
  <c r="W30" i="117"/>
  <c r="Y30" i="119"/>
  <c r="W30" i="119"/>
  <c r="Z30" i="119" s="1"/>
  <c r="U30" i="119"/>
  <c r="Y45" i="116"/>
  <c r="W45" i="116"/>
  <c r="U45" i="116"/>
  <c r="Y45" i="120"/>
  <c r="U45" i="120"/>
  <c r="W45" i="120"/>
  <c r="Z45" i="120" s="1"/>
  <c r="Y45" i="113"/>
  <c r="W45" i="113"/>
  <c r="U45" i="113"/>
  <c r="Y45" i="118"/>
  <c r="W45" i="118"/>
  <c r="Z45" i="118" s="1"/>
  <c r="AA45" i="118" s="1"/>
  <c r="U45" i="118"/>
  <c r="Z43" i="76"/>
  <c r="X43" i="76"/>
  <c r="V43" i="76"/>
  <c r="Y27" i="116"/>
  <c r="W27" i="116"/>
  <c r="Z27" i="116" s="1"/>
  <c r="U27" i="116"/>
  <c r="Y27" i="119"/>
  <c r="W27" i="119"/>
  <c r="U27" i="119"/>
  <c r="Y27" i="113"/>
  <c r="W27" i="113"/>
  <c r="Z27" i="113" s="1"/>
  <c r="U27" i="113"/>
  <c r="Y27" i="120"/>
  <c r="W27" i="120"/>
  <c r="U27" i="120"/>
  <c r="Y37" i="114"/>
  <c r="U37" i="114"/>
  <c r="W37" i="114"/>
  <c r="Z37" i="114" s="1"/>
  <c r="Y37" i="118"/>
  <c r="W37" i="118"/>
  <c r="U37" i="118"/>
  <c r="Z35" i="76"/>
  <c r="X35" i="76"/>
  <c r="AA35" i="76" s="1"/>
  <c r="V35" i="76"/>
  <c r="AA37" i="117"/>
  <c r="Y37" i="117"/>
  <c r="W37" i="117"/>
  <c r="Z35" i="80"/>
  <c r="X35" i="80"/>
  <c r="AA35" i="80" s="1"/>
  <c r="V35" i="80"/>
  <c r="Y70" i="116"/>
  <c r="W70" i="116"/>
  <c r="U70" i="116"/>
  <c r="Y70" i="120"/>
  <c r="W70" i="120"/>
  <c r="Z70" i="120" s="1"/>
  <c r="AA70" i="120" s="1"/>
  <c r="U70" i="120"/>
  <c r="Y70" i="113"/>
  <c r="W70" i="113"/>
  <c r="U70" i="113"/>
  <c r="Z68" i="76"/>
  <c r="X68" i="76"/>
  <c r="AA68" i="76" s="1"/>
  <c r="V68" i="76"/>
  <c r="Y17" i="114"/>
  <c r="W17" i="114"/>
  <c r="U17" i="114"/>
  <c r="AA17" i="117"/>
  <c r="Y17" i="117"/>
  <c r="AB17" i="117" s="1"/>
  <c r="W17" i="117"/>
  <c r="Z15" i="76"/>
  <c r="X15" i="76"/>
  <c r="V15" i="76"/>
  <c r="Y17" i="118"/>
  <c r="W17" i="118"/>
  <c r="Z17" i="118" s="1"/>
  <c r="AA17" i="118" s="1"/>
  <c r="U17" i="118"/>
  <c r="Z15" i="80"/>
  <c r="X15" i="80"/>
  <c r="V15" i="80"/>
  <c r="AA69" i="117"/>
  <c r="Y69" i="117"/>
  <c r="AB69" i="117" s="1"/>
  <c r="W69" i="117"/>
  <c r="Z67" i="80"/>
  <c r="X67" i="80"/>
  <c r="V67" i="80"/>
  <c r="Y69" i="114"/>
  <c r="U69" i="114"/>
  <c r="W69" i="114"/>
  <c r="Z69" i="114" s="1"/>
  <c r="Y69" i="120"/>
  <c r="W69" i="120"/>
  <c r="U69" i="120"/>
  <c r="AA32" i="117"/>
  <c r="Y32" i="117"/>
  <c r="AB32" i="117" s="1"/>
  <c r="W32" i="117"/>
  <c r="Y32" i="119"/>
  <c r="W32" i="119"/>
  <c r="U32" i="119"/>
  <c r="Y32" i="114"/>
  <c r="U32" i="114"/>
  <c r="W32" i="114"/>
  <c r="Z32" i="114" s="1"/>
  <c r="Y32" i="118"/>
  <c r="W32" i="118"/>
  <c r="U32" i="118"/>
  <c r="Z30" i="80"/>
  <c r="X30" i="80"/>
  <c r="AA30" i="80" s="1"/>
  <c r="V30" i="80"/>
  <c r="Y10" i="116"/>
  <c r="W10" i="116"/>
  <c r="U10" i="116"/>
  <c r="Z8" i="76"/>
  <c r="X8" i="76"/>
  <c r="AA8" i="76" s="1"/>
  <c r="V8" i="76"/>
  <c r="Y10" i="113"/>
  <c r="W10" i="113"/>
  <c r="U10" i="113"/>
  <c r="Y10" i="120"/>
  <c r="W10" i="120"/>
  <c r="Z10" i="120" s="1"/>
  <c r="U10" i="120"/>
  <c r="AG36" i="115"/>
  <c r="AH36" i="115" s="1"/>
  <c r="AI36" i="115"/>
  <c r="AG54" i="115"/>
  <c r="AH54" i="115" s="1"/>
  <c r="AI54" i="115"/>
  <c r="U31" i="80"/>
  <c r="T33" i="120"/>
  <c r="V33" i="117"/>
  <c r="T33" i="113"/>
  <c r="U31" i="76"/>
  <c r="T33" i="119"/>
  <c r="T33" i="118"/>
  <c r="T33" i="116"/>
  <c r="T33" i="114"/>
  <c r="U73" i="76"/>
  <c r="T75" i="120"/>
  <c r="T75" i="118"/>
  <c r="T75" i="114"/>
  <c r="T75" i="113"/>
  <c r="U73" i="80"/>
  <c r="T75" i="119"/>
  <c r="V75" i="117"/>
  <c r="T75" i="116"/>
  <c r="U46" i="80"/>
  <c r="T48" i="120"/>
  <c r="T48" i="118"/>
  <c r="T48" i="113"/>
  <c r="T48" i="114"/>
  <c r="U46" i="76"/>
  <c r="T48" i="119"/>
  <c r="T48" i="116"/>
  <c r="V48" i="117"/>
  <c r="D14" i="130"/>
  <c r="U49" i="76"/>
  <c r="T51" i="119"/>
  <c r="T51" i="118"/>
  <c r="T51" i="114"/>
  <c r="T51" i="113"/>
  <c r="U49" i="80"/>
  <c r="T51" i="120"/>
  <c r="V51" i="117"/>
  <c r="T51" i="116"/>
  <c r="U61" i="76"/>
  <c r="T63" i="120"/>
  <c r="T63" i="118"/>
  <c r="T63" i="114"/>
  <c r="T63" i="113"/>
  <c r="U61" i="80"/>
  <c r="T63" i="119"/>
  <c r="V63" i="117"/>
  <c r="T63" i="116"/>
  <c r="U45" i="76"/>
  <c r="T47" i="119"/>
  <c r="T47" i="118"/>
  <c r="T47" i="114"/>
  <c r="T47" i="113"/>
  <c r="U45" i="80"/>
  <c r="T47" i="120"/>
  <c r="V47" i="117"/>
  <c r="T47" i="116"/>
  <c r="U13" i="76"/>
  <c r="T15" i="119"/>
  <c r="V15" i="117"/>
  <c r="T15" i="116"/>
  <c r="T15" i="114"/>
  <c r="U13" i="80"/>
  <c r="T15" i="120"/>
  <c r="T15" i="118"/>
  <c r="T15" i="113"/>
  <c r="U12" i="80"/>
  <c r="T14" i="120"/>
  <c r="T14" i="118"/>
  <c r="T14" i="113"/>
  <c r="T14" i="114"/>
  <c r="U12" i="76"/>
  <c r="T14" i="119"/>
  <c r="T14" i="116"/>
  <c r="V14" i="117"/>
  <c r="U38" i="76"/>
  <c r="T40" i="119"/>
  <c r="T40" i="116"/>
  <c r="V40" i="117"/>
  <c r="U38" i="80"/>
  <c r="T40" i="120"/>
  <c r="T40" i="118"/>
  <c r="T40" i="113"/>
  <c r="T40" i="114"/>
  <c r="T58" i="120"/>
  <c r="T58" i="118"/>
  <c r="T58" i="116"/>
  <c r="V58" i="117"/>
  <c r="U56" i="80"/>
  <c r="U56" i="76"/>
  <c r="T58" i="119"/>
  <c r="T58" i="113"/>
  <c r="T58" i="114"/>
  <c r="U10" i="80"/>
  <c r="T12" i="120"/>
  <c r="T12" i="118"/>
  <c r="T12" i="113"/>
  <c r="T12" i="114"/>
  <c r="U10" i="76"/>
  <c r="T12" i="119"/>
  <c r="T12" i="116"/>
  <c r="V12" i="117"/>
  <c r="T72" i="120"/>
  <c r="T72" i="118"/>
  <c r="T72" i="116"/>
  <c r="V72" i="117"/>
  <c r="U70" i="80"/>
  <c r="U70" i="76"/>
  <c r="T72" i="119"/>
  <c r="T72" i="113"/>
  <c r="T72" i="114"/>
  <c r="U41" i="76"/>
  <c r="T43" i="119"/>
  <c r="T43" i="118"/>
  <c r="T43" i="116"/>
  <c r="T43" i="114"/>
  <c r="U41" i="80"/>
  <c r="T43" i="120"/>
  <c r="V43" i="117"/>
  <c r="T43" i="113"/>
  <c r="U6" i="80"/>
  <c r="T8" i="120"/>
  <c r="T8" i="118"/>
  <c r="T8" i="113"/>
  <c r="T8" i="114"/>
  <c r="U6" i="76"/>
  <c r="T8" i="119"/>
  <c r="T8" i="116"/>
  <c r="V8" i="117"/>
  <c r="U18" i="80"/>
  <c r="U18" i="76"/>
  <c r="T20" i="120"/>
  <c r="T20" i="118"/>
  <c r="T20" i="113"/>
  <c r="T20" i="114"/>
  <c r="T20" i="119"/>
  <c r="T20" i="116"/>
  <c r="V20" i="117"/>
  <c r="T68" i="120"/>
  <c r="T68" i="118"/>
  <c r="T68" i="116"/>
  <c r="V68" i="117"/>
  <c r="U66" i="80"/>
  <c r="U66" i="76"/>
  <c r="T68" i="119"/>
  <c r="T68" i="113"/>
  <c r="T68" i="114"/>
  <c r="U22" i="80"/>
  <c r="T24" i="120"/>
  <c r="T24" i="118"/>
  <c r="T24" i="113"/>
  <c r="T24" i="114"/>
  <c r="U22" i="76"/>
  <c r="T24" i="119"/>
  <c r="T24" i="116"/>
  <c r="V24" i="117"/>
  <c r="U9" i="80"/>
  <c r="T11" i="120"/>
  <c r="T11" i="118"/>
  <c r="T11" i="113"/>
  <c r="D13" i="130"/>
  <c r="U9" i="76"/>
  <c r="T11" i="119"/>
  <c r="V11" i="117"/>
  <c r="T11" i="116"/>
  <c r="T11" i="114"/>
  <c r="AC48" i="115"/>
  <c r="AE48" i="115" s="1"/>
  <c r="AC20" i="115"/>
  <c r="AE20" i="115" s="1"/>
  <c r="H62" i="100"/>
  <c r="AB63" i="115"/>
  <c r="AL63" i="115" s="1"/>
  <c r="AO63" i="115" s="1"/>
  <c r="X62" i="72" s="1"/>
  <c r="AC63" i="115"/>
  <c r="AE63" i="115" s="1"/>
  <c r="AE17" i="46"/>
  <c r="AD17" i="46"/>
  <c r="X45" i="31"/>
  <c r="W45" i="31"/>
  <c r="X31" i="31"/>
  <c r="W31" i="31"/>
  <c r="X18" i="31"/>
  <c r="W18" i="31"/>
  <c r="Y29" i="31"/>
  <c r="Z29" i="31" s="1"/>
  <c r="AB29" i="31" s="1"/>
  <c r="X36" i="31"/>
  <c r="W36" i="31"/>
  <c r="W64" i="31"/>
  <c r="X64" i="31"/>
  <c r="Y41" i="31"/>
  <c r="Z41" i="31" s="1"/>
  <c r="AB41" i="31" s="1"/>
  <c r="Y32" i="31"/>
  <c r="Z32" i="31" s="1"/>
  <c r="AB32" i="31" s="1"/>
  <c r="Y58" i="31"/>
  <c r="Z58" i="31" s="1"/>
  <c r="AB58" i="31" s="1"/>
  <c r="Y62" i="31"/>
  <c r="Z62" i="31" s="1"/>
  <c r="AB62" i="31" s="1"/>
  <c r="Y19" i="31"/>
  <c r="Z19" i="31" s="1"/>
  <c r="AB19" i="31" s="1"/>
  <c r="Y44" i="31"/>
  <c r="Z44" i="31" s="1"/>
  <c r="AB44" i="31" s="1"/>
  <c r="X48" i="31"/>
  <c r="W48" i="31"/>
  <c r="Y20" i="31"/>
  <c r="Z20" i="31" s="1"/>
  <c r="AB20" i="31" s="1"/>
  <c r="Y25" i="31"/>
  <c r="Z25" i="31" s="1"/>
  <c r="AB25" i="31" s="1"/>
  <c r="AC42" i="115"/>
  <c r="AE42" i="115" s="1"/>
  <c r="H45" i="72"/>
  <c r="AJ46" i="115"/>
  <c r="W30" i="46"/>
  <c r="AB28" i="46"/>
  <c r="AC28" i="46" s="1"/>
  <c r="AC8" i="115"/>
  <c r="AE8" i="115" s="1"/>
  <c r="AL8" i="115"/>
  <c r="AO8" i="115" s="1"/>
  <c r="X7" i="72" s="1"/>
  <c r="AC65" i="115"/>
  <c r="AE65" i="115" s="1"/>
  <c r="AC55" i="115"/>
  <c r="AE55" i="115" s="1"/>
  <c r="AC28" i="115"/>
  <c r="AE28" i="115" s="1"/>
  <c r="AC56" i="115"/>
  <c r="AE56" i="115" s="1"/>
  <c r="AC49" i="115"/>
  <c r="AE49" i="115" s="1"/>
  <c r="AC69" i="115"/>
  <c r="AE69" i="115" s="1"/>
  <c r="AC59" i="115"/>
  <c r="AE59" i="115" s="1"/>
  <c r="Y39" i="113"/>
  <c r="W39" i="113"/>
  <c r="U39" i="113"/>
  <c r="Y39" i="114"/>
  <c r="W39" i="114"/>
  <c r="Z39" i="114" s="1"/>
  <c r="U39" i="114"/>
  <c r="Y39" i="118"/>
  <c r="W39" i="118"/>
  <c r="U39" i="118"/>
  <c r="Z37" i="76"/>
  <c r="X37" i="76"/>
  <c r="AA37" i="76" s="1"/>
  <c r="V37" i="76"/>
  <c r="Z37" i="80"/>
  <c r="X37" i="80"/>
  <c r="V37" i="80"/>
  <c r="Y62" i="113"/>
  <c r="W62" i="113"/>
  <c r="Z62" i="113" s="1"/>
  <c r="AA62" i="113" s="1"/>
  <c r="U62" i="113"/>
  <c r="Z60" i="76"/>
  <c r="X60" i="76"/>
  <c r="V60" i="76"/>
  <c r="AA62" i="117"/>
  <c r="Y62" i="117"/>
  <c r="AB62" i="117" s="1"/>
  <c r="W62" i="117"/>
  <c r="Y62" i="118"/>
  <c r="W62" i="118"/>
  <c r="U62" i="118"/>
  <c r="AA34" i="117"/>
  <c r="Y34" i="117"/>
  <c r="AB34" i="117" s="1"/>
  <c r="W34" i="117"/>
  <c r="Y34" i="119"/>
  <c r="W34" i="119"/>
  <c r="U34" i="119"/>
  <c r="Y34" i="114"/>
  <c r="W34" i="114"/>
  <c r="Z34" i="114" s="1"/>
  <c r="U34" i="114"/>
  <c r="Y34" i="116"/>
  <c r="W34" i="116"/>
  <c r="U34" i="116"/>
  <c r="Z32" i="80"/>
  <c r="X32" i="80"/>
  <c r="AA32" i="80" s="1"/>
  <c r="V32" i="80"/>
  <c r="Y57" i="116"/>
  <c r="W57" i="116"/>
  <c r="U57" i="116"/>
  <c r="Y57" i="119"/>
  <c r="W57" i="119"/>
  <c r="Z57" i="119" s="1"/>
  <c r="U57" i="119"/>
  <c r="Y57" i="113"/>
  <c r="W57" i="113"/>
  <c r="U57" i="113"/>
  <c r="Y57" i="118"/>
  <c r="W57" i="118"/>
  <c r="Z57" i="118" s="1"/>
  <c r="U57" i="118"/>
  <c r="Z55" i="76"/>
  <c r="X55" i="76"/>
  <c r="V55" i="76"/>
  <c r="Y55" i="114"/>
  <c r="W55" i="114"/>
  <c r="Z55" i="114" s="1"/>
  <c r="U55" i="114"/>
  <c r="Y55" i="119"/>
  <c r="W55" i="119"/>
  <c r="U55" i="119"/>
  <c r="Y55" i="116"/>
  <c r="W55" i="116"/>
  <c r="Z55" i="116" s="1"/>
  <c r="U55" i="116"/>
  <c r="Y55" i="120"/>
  <c r="W55" i="120"/>
  <c r="U55" i="120"/>
  <c r="Y52" i="114"/>
  <c r="U52" i="114"/>
  <c r="W52" i="114"/>
  <c r="Z52" i="114" s="1"/>
  <c r="Y52" i="118"/>
  <c r="W52" i="118"/>
  <c r="U52" i="118"/>
  <c r="Z50" i="80"/>
  <c r="X50" i="80"/>
  <c r="V50" i="80"/>
  <c r="Y52" i="116"/>
  <c r="W52" i="116"/>
  <c r="U52" i="116"/>
  <c r="Z50" i="76"/>
  <c r="X50" i="76"/>
  <c r="AA50" i="76" s="1"/>
  <c r="V50" i="76"/>
  <c r="AA44" i="117"/>
  <c r="Y44" i="117"/>
  <c r="W44" i="117"/>
  <c r="Y44" i="119"/>
  <c r="W44" i="119"/>
  <c r="Z44" i="119" s="1"/>
  <c r="U44" i="119"/>
  <c r="Y44" i="114"/>
  <c r="W44" i="114"/>
  <c r="U44" i="114"/>
  <c r="Y44" i="118"/>
  <c r="W44" i="118"/>
  <c r="Z44" i="118" s="1"/>
  <c r="AA44" i="118" s="1"/>
  <c r="U44" i="118"/>
  <c r="Z42" i="80"/>
  <c r="X42" i="80"/>
  <c r="V42" i="80"/>
  <c r="Y66" i="113"/>
  <c r="W66" i="113"/>
  <c r="Z66" i="113" s="1"/>
  <c r="AA66" i="113" s="1"/>
  <c r="U66" i="113"/>
  <c r="Z64" i="76"/>
  <c r="X64" i="76"/>
  <c r="V64" i="76"/>
  <c r="AA66" i="117"/>
  <c r="Y66" i="117"/>
  <c r="AB66" i="117" s="1"/>
  <c r="W66" i="117"/>
  <c r="Y66" i="118"/>
  <c r="W66" i="118"/>
  <c r="U66" i="118"/>
  <c r="Y61" i="116"/>
  <c r="W61" i="116"/>
  <c r="Z61" i="116" s="1"/>
  <c r="U61" i="116"/>
  <c r="Y61" i="119"/>
  <c r="W61" i="119"/>
  <c r="U61" i="119"/>
  <c r="Y61" i="113"/>
  <c r="W61" i="113"/>
  <c r="Z61" i="113" s="1"/>
  <c r="U61" i="113"/>
  <c r="Y61" i="118"/>
  <c r="W61" i="118"/>
  <c r="U61" i="118"/>
  <c r="Z59" i="76"/>
  <c r="X59" i="76"/>
  <c r="AA59" i="76" s="1"/>
  <c r="V59" i="76"/>
  <c r="Y21" i="116"/>
  <c r="W21" i="116"/>
  <c r="U21" i="116"/>
  <c r="Y21" i="119"/>
  <c r="W21" i="119"/>
  <c r="Z21" i="119" s="1"/>
  <c r="U21" i="119"/>
  <c r="Y21" i="113"/>
  <c r="W21" i="113"/>
  <c r="U21" i="113"/>
  <c r="Y21" i="120"/>
  <c r="W21" i="120"/>
  <c r="Z21" i="120" s="1"/>
  <c r="U21" i="120"/>
  <c r="Y18" i="114"/>
  <c r="U18" i="114"/>
  <c r="W18" i="114"/>
  <c r="Z18" i="114" s="1"/>
  <c r="Y18" i="118"/>
  <c r="W18" i="118"/>
  <c r="Z18" i="118" s="1"/>
  <c r="U18" i="118"/>
  <c r="Z16" i="80"/>
  <c r="X16" i="80"/>
  <c r="V16" i="80"/>
  <c r="Y18" i="116"/>
  <c r="W18" i="116"/>
  <c r="Z18" i="116" s="1"/>
  <c r="U18" i="116"/>
  <c r="Z16" i="76"/>
  <c r="X16" i="76"/>
  <c r="V16" i="76"/>
  <c r="Y60" i="113"/>
  <c r="W60" i="113"/>
  <c r="Z60" i="113" s="1"/>
  <c r="AA60" i="113" s="1"/>
  <c r="U60" i="113"/>
  <c r="Z58" i="76"/>
  <c r="X58" i="76"/>
  <c r="V58" i="76"/>
  <c r="AA60" i="117"/>
  <c r="Y60" i="117"/>
  <c r="AB60" i="117" s="1"/>
  <c r="W60" i="117"/>
  <c r="Y60" i="118"/>
  <c r="W60" i="118"/>
  <c r="U60" i="118"/>
  <c r="Y16" i="114"/>
  <c r="W16" i="114"/>
  <c r="U16" i="114"/>
  <c r="Y16" i="118"/>
  <c r="W16" i="118"/>
  <c r="U16" i="118"/>
  <c r="Z14" i="80"/>
  <c r="X14" i="80"/>
  <c r="V14" i="80"/>
  <c r="Y16" i="116"/>
  <c r="W16" i="116"/>
  <c r="U16" i="116"/>
  <c r="Z14" i="76"/>
  <c r="X14" i="76"/>
  <c r="V14" i="76"/>
  <c r="AA49" i="117"/>
  <c r="Y49" i="117"/>
  <c r="W49" i="117"/>
  <c r="Z47" i="80"/>
  <c r="X47" i="80"/>
  <c r="AA47" i="80" s="1"/>
  <c r="V47" i="80"/>
  <c r="Y49" i="114"/>
  <c r="W49" i="114"/>
  <c r="U49" i="114"/>
  <c r="Y49" i="119"/>
  <c r="W49" i="119"/>
  <c r="Z49" i="119" s="1"/>
  <c r="U49" i="119"/>
  <c r="AA74" i="117"/>
  <c r="Y74" i="117"/>
  <c r="W74" i="117"/>
  <c r="Y74" i="118"/>
  <c r="W74" i="118"/>
  <c r="Z74" i="118" s="1"/>
  <c r="AA74" i="118" s="1"/>
  <c r="U74" i="118"/>
  <c r="Y74" i="114"/>
  <c r="U74" i="114"/>
  <c r="W74" i="114"/>
  <c r="Z74" i="114" s="1"/>
  <c r="Y74" i="119"/>
  <c r="W74" i="119"/>
  <c r="Z74" i="119" s="1"/>
  <c r="U74" i="119"/>
  <c r="Z72" i="80"/>
  <c r="X72" i="80"/>
  <c r="V72" i="80"/>
  <c r="Y53" i="114"/>
  <c r="W53" i="114"/>
  <c r="Z53" i="114" s="1"/>
  <c r="U53" i="114"/>
  <c r="Y53" i="119"/>
  <c r="W53" i="119"/>
  <c r="U53" i="119"/>
  <c r="Y53" i="116"/>
  <c r="W53" i="116"/>
  <c r="Z53" i="116" s="1"/>
  <c r="U53" i="116"/>
  <c r="Y53" i="120"/>
  <c r="W53" i="120"/>
  <c r="U53" i="120"/>
  <c r="H46" i="100"/>
  <c r="AB47" i="115"/>
  <c r="AL47" i="115" s="1"/>
  <c r="AO47" i="115" s="1"/>
  <c r="X46" i="72" s="1"/>
  <c r="AB11" i="115"/>
  <c r="AL11" i="115" s="1"/>
  <c r="AO11" i="115" s="1"/>
  <c r="X10" i="72" s="1"/>
  <c r="H10" i="100"/>
  <c r="AC11" i="115"/>
  <c r="AE11" i="115" s="1"/>
  <c r="H67" i="100"/>
  <c r="AB68" i="115"/>
  <c r="AL68" i="115" s="1"/>
  <c r="AO68" i="115" s="1"/>
  <c r="X67" i="72" s="1"/>
  <c r="AA19" i="115"/>
  <c r="AG67" i="115"/>
  <c r="AH67" i="115" s="1"/>
  <c r="AI67" i="115"/>
  <c r="W38" i="46"/>
  <c r="H22" i="100"/>
  <c r="AB23" i="115"/>
  <c r="AL23" i="115" s="1"/>
  <c r="AO23" i="115" s="1"/>
  <c r="X22" i="72" s="1"/>
  <c r="AK11" i="46"/>
  <c r="AL11" i="46" s="1"/>
  <c r="AN11" i="46" s="1"/>
  <c r="AM11" i="46"/>
  <c r="AG18" i="115"/>
  <c r="AH18" i="115" s="1"/>
  <c r="AI18" i="115"/>
  <c r="AG39" i="115"/>
  <c r="AH39" i="115" s="1"/>
  <c r="AI39" i="115"/>
  <c r="AG35" i="46"/>
  <c r="AI35" i="46" s="1"/>
  <c r="D51" i="100"/>
  <c r="W55" i="31"/>
  <c r="X55" i="31"/>
  <c r="X51" i="31"/>
  <c r="W51" i="31"/>
  <c r="X46" i="31"/>
  <c r="W46" i="31"/>
  <c r="W39" i="31"/>
  <c r="X39" i="31"/>
  <c r="W47" i="31"/>
  <c r="X47" i="31"/>
  <c r="AG25" i="115"/>
  <c r="AH25" i="115" s="1"/>
  <c r="AI25" i="115"/>
  <c r="H74" i="100"/>
  <c r="AB75" i="115"/>
  <c r="AL75" i="115" s="1"/>
  <c r="AO75" i="115" s="1"/>
  <c r="X74" i="72" s="1"/>
  <c r="H11" i="100"/>
  <c r="AB12" i="115"/>
  <c r="H23" i="100"/>
  <c r="AB24" i="115"/>
  <c r="AL24" i="115" s="1"/>
  <c r="AO24" i="115" s="1"/>
  <c r="X23" i="72" s="1"/>
  <c r="AG32" i="115"/>
  <c r="AH32" i="115" s="1"/>
  <c r="AI32" i="115"/>
  <c r="AG29" i="115"/>
  <c r="AH29" i="115" s="1"/>
  <c r="AI29" i="115"/>
  <c r="AG30" i="115"/>
  <c r="AH30" i="115" s="1"/>
  <c r="AI30" i="115"/>
  <c r="AG22" i="115"/>
  <c r="AH22" i="115" s="1"/>
  <c r="AI22" i="115"/>
  <c r="AG13" i="115"/>
  <c r="AH13" i="115" s="1"/>
  <c r="AI13" i="115"/>
  <c r="AG10" i="115"/>
  <c r="AH10" i="115" s="1"/>
  <c r="AI10" i="115"/>
  <c r="Y67" i="116"/>
  <c r="W67" i="116"/>
  <c r="U67" i="116"/>
  <c r="Y67" i="119"/>
  <c r="W67" i="119"/>
  <c r="U67" i="119"/>
  <c r="Y67" i="113"/>
  <c r="W67" i="113"/>
  <c r="U67" i="113"/>
  <c r="Y67" i="118"/>
  <c r="W67" i="118"/>
  <c r="U67" i="118"/>
  <c r="Z65" i="76"/>
  <c r="X65" i="76"/>
  <c r="V65" i="76"/>
  <c r="Y38" i="118"/>
  <c r="U38" i="118"/>
  <c r="W38" i="118"/>
  <c r="Z38" i="118" s="1"/>
  <c r="Y38" i="120"/>
  <c r="W38" i="120"/>
  <c r="U38" i="120"/>
  <c r="AA38" i="117"/>
  <c r="Y38" i="117"/>
  <c r="W38" i="117"/>
  <c r="Y38" i="119"/>
  <c r="W38" i="119"/>
  <c r="Z38" i="119" s="1"/>
  <c r="U38" i="119"/>
  <c r="AA26" i="117"/>
  <c r="Y26" i="117"/>
  <c r="W26" i="117"/>
  <c r="Y26" i="119"/>
  <c r="W26" i="119"/>
  <c r="Z26" i="119" s="1"/>
  <c r="U26" i="119"/>
  <c r="Y26" i="114"/>
  <c r="W26" i="114"/>
  <c r="U26" i="114"/>
  <c r="Y26" i="116"/>
  <c r="W26" i="116"/>
  <c r="Z26" i="116" s="1"/>
  <c r="U26" i="116"/>
  <c r="Z24" i="80"/>
  <c r="X24" i="80"/>
  <c r="V24" i="80"/>
  <c r="Y13" i="118"/>
  <c r="W13" i="118"/>
  <c r="Z13" i="118" s="1"/>
  <c r="AA13" i="118" s="1"/>
  <c r="U13" i="118"/>
  <c r="Z11" i="80"/>
  <c r="X11" i="80"/>
  <c r="V11" i="80"/>
  <c r="Y13" i="116"/>
  <c r="W13" i="116"/>
  <c r="Z13" i="116" s="1"/>
  <c r="U13" i="116"/>
  <c r="Y13" i="119"/>
  <c r="W13" i="119"/>
  <c r="U13" i="119"/>
  <c r="Y41" i="114"/>
  <c r="U41" i="114"/>
  <c r="W41" i="114"/>
  <c r="Z41" i="114" s="1"/>
  <c r="Y41" i="118"/>
  <c r="W41" i="118"/>
  <c r="U41" i="118"/>
  <c r="Z39" i="76"/>
  <c r="X39" i="76"/>
  <c r="AA39" i="76" s="1"/>
  <c r="V39" i="76"/>
  <c r="AA41" i="117"/>
  <c r="Y41" i="117"/>
  <c r="W41" i="117"/>
  <c r="Z39" i="80"/>
  <c r="X39" i="80"/>
  <c r="AA39" i="80" s="1"/>
  <c r="V39" i="80"/>
  <c r="Y54" i="116"/>
  <c r="U54" i="116"/>
  <c r="W54" i="116"/>
  <c r="Z54" i="116" s="1"/>
  <c r="Z52" i="76"/>
  <c r="X52" i="76"/>
  <c r="AA52" i="76" s="1"/>
  <c r="V52" i="76"/>
  <c r="Y54" i="113"/>
  <c r="W54" i="113"/>
  <c r="U54" i="113"/>
  <c r="Y54" i="120"/>
  <c r="W54" i="120"/>
  <c r="U54" i="120"/>
  <c r="AA36" i="117"/>
  <c r="W36" i="117"/>
  <c r="Y36" i="117"/>
  <c r="AB36" i="117" s="1"/>
  <c r="Y36" i="119"/>
  <c r="W36" i="119"/>
  <c r="U36" i="119"/>
  <c r="Y36" i="114"/>
  <c r="W36" i="114"/>
  <c r="U36" i="114"/>
  <c r="Y36" i="118"/>
  <c r="W36" i="118"/>
  <c r="Z36" i="118" s="1"/>
  <c r="U36" i="118"/>
  <c r="Z34" i="80"/>
  <c r="X34" i="80"/>
  <c r="V34" i="80"/>
  <c r="AA65" i="117"/>
  <c r="Y65" i="117"/>
  <c r="AB65" i="117" s="1"/>
  <c r="W65" i="117"/>
  <c r="Z63" i="80"/>
  <c r="X63" i="80"/>
  <c r="V63" i="80"/>
  <c r="Y65" i="114"/>
  <c r="W65" i="114"/>
  <c r="Z65" i="114" s="1"/>
  <c r="U65" i="114"/>
  <c r="Y65" i="120"/>
  <c r="W65" i="120"/>
  <c r="U65" i="120"/>
  <c r="Y28" i="114"/>
  <c r="U28" i="114"/>
  <c r="W28" i="114"/>
  <c r="Z28" i="114" s="1"/>
  <c r="Y28" i="118"/>
  <c r="U28" i="118"/>
  <c r="W28" i="118"/>
  <c r="Z28" i="118" s="1"/>
  <c r="AA28" i="118" s="1"/>
  <c r="Z26" i="80"/>
  <c r="X26" i="80"/>
  <c r="AA26" i="80" s="1"/>
  <c r="V26" i="80"/>
  <c r="Y28" i="116"/>
  <c r="W28" i="116"/>
  <c r="U28" i="116"/>
  <c r="Z26" i="76"/>
  <c r="X26" i="76"/>
  <c r="AA26" i="76" s="1"/>
  <c r="V26" i="76"/>
  <c r="Y59" i="114"/>
  <c r="W59" i="114"/>
  <c r="U59" i="114"/>
  <c r="Y59" i="120"/>
  <c r="W59" i="120"/>
  <c r="Z59" i="120" s="1"/>
  <c r="AA59" i="120" s="1"/>
  <c r="U59" i="120"/>
  <c r="Y59" i="116"/>
  <c r="W59" i="116"/>
  <c r="U59" i="116"/>
  <c r="Y59" i="119"/>
  <c r="W59" i="119"/>
  <c r="Z59" i="119" s="1"/>
  <c r="U59" i="119"/>
  <c r="Y25" i="114"/>
  <c r="W25" i="114"/>
  <c r="U25" i="114"/>
  <c r="Y25" i="118"/>
  <c r="W25" i="118"/>
  <c r="Z25" i="118" s="1"/>
  <c r="U25" i="118"/>
  <c r="Z23" i="76"/>
  <c r="X23" i="76"/>
  <c r="V23" i="76"/>
  <c r="AA25" i="117"/>
  <c r="Y25" i="117"/>
  <c r="AB25" i="117" s="1"/>
  <c r="W25" i="117"/>
  <c r="Z23" i="80"/>
  <c r="X23" i="80"/>
  <c r="V23" i="80"/>
  <c r="Y71" i="116"/>
  <c r="U71" i="116"/>
  <c r="W71" i="116"/>
  <c r="Z71" i="116" s="1"/>
  <c r="Y71" i="119"/>
  <c r="W71" i="119"/>
  <c r="U71" i="119"/>
  <c r="Y71" i="113"/>
  <c r="U71" i="113"/>
  <c r="W71" i="113"/>
  <c r="Z71" i="113" s="1"/>
  <c r="Y71" i="118"/>
  <c r="W71" i="118"/>
  <c r="U71" i="118"/>
  <c r="Z69" i="76"/>
  <c r="X69" i="76"/>
  <c r="V69" i="76"/>
  <c r="Y9" i="118"/>
  <c r="W9" i="118"/>
  <c r="U9" i="118"/>
  <c r="Z7" i="80"/>
  <c r="X7" i="80"/>
  <c r="V7" i="80"/>
  <c r="Y9" i="116"/>
  <c r="W9" i="116"/>
  <c r="U9" i="116"/>
  <c r="Y9" i="119"/>
  <c r="W9" i="119"/>
  <c r="U9" i="119"/>
  <c r="Y35" i="114"/>
  <c r="W35" i="114"/>
  <c r="U35" i="114"/>
  <c r="Y35" i="118"/>
  <c r="W35" i="118"/>
  <c r="U35" i="118"/>
  <c r="Z33" i="76"/>
  <c r="X33" i="76"/>
  <c r="V33" i="76"/>
  <c r="Y35" i="113"/>
  <c r="W35" i="113"/>
  <c r="U35" i="113"/>
  <c r="Y35" i="120"/>
  <c r="W35" i="120"/>
  <c r="U35" i="120"/>
  <c r="Y64" i="114"/>
  <c r="W64" i="114"/>
  <c r="Z64" i="114" s="1"/>
  <c r="U64" i="114"/>
  <c r="Y64" i="119"/>
  <c r="W64" i="119"/>
  <c r="U64" i="119"/>
  <c r="Z62" i="80"/>
  <c r="X62" i="80"/>
  <c r="AA62" i="80" s="1"/>
  <c r="V62" i="80"/>
  <c r="Y64" i="116"/>
  <c r="W64" i="116"/>
  <c r="U64" i="116"/>
  <c r="Y64" i="120"/>
  <c r="W64" i="120"/>
  <c r="Z64" i="120" s="1"/>
  <c r="U64" i="120"/>
  <c r="Y23" i="118"/>
  <c r="W23" i="118"/>
  <c r="U23" i="118"/>
  <c r="Z21" i="80"/>
  <c r="X21" i="80"/>
  <c r="AA21" i="80" s="1"/>
  <c r="V21" i="80"/>
  <c r="Y23" i="116"/>
  <c r="W23" i="116"/>
  <c r="U23" i="116"/>
  <c r="Y23" i="119"/>
  <c r="W23" i="119"/>
  <c r="Z23" i="119" s="1"/>
  <c r="U23" i="119"/>
  <c r="Y29" i="114"/>
  <c r="U29" i="114"/>
  <c r="W29" i="114"/>
  <c r="Z29" i="114" s="1"/>
  <c r="Y29" i="118"/>
  <c r="W29" i="118"/>
  <c r="Z29" i="118" s="1"/>
  <c r="U29" i="118"/>
  <c r="Z27" i="76"/>
  <c r="X27" i="76"/>
  <c r="V27" i="76"/>
  <c r="AA29" i="117"/>
  <c r="Y29" i="117"/>
  <c r="AB29" i="117" s="1"/>
  <c r="W29" i="117"/>
  <c r="Z27" i="80"/>
  <c r="X27" i="80"/>
  <c r="V27" i="80"/>
  <c r="Y46" i="118"/>
  <c r="W46" i="118"/>
  <c r="Z46" i="118" s="1"/>
  <c r="U46" i="118"/>
  <c r="Y46" i="120"/>
  <c r="W46" i="120"/>
  <c r="U46" i="120"/>
  <c r="AA46" i="117"/>
  <c r="Y46" i="117"/>
  <c r="W46" i="117"/>
  <c r="Y46" i="119"/>
  <c r="W46" i="119"/>
  <c r="U46" i="119"/>
  <c r="Y31" i="113"/>
  <c r="W31" i="113"/>
  <c r="U31" i="113"/>
  <c r="Y31" i="120"/>
  <c r="W31" i="120"/>
  <c r="U31" i="120"/>
  <c r="Y31" i="114"/>
  <c r="W31" i="114"/>
  <c r="U31" i="114"/>
  <c r="Y31" i="118"/>
  <c r="W31" i="118"/>
  <c r="U31" i="118"/>
  <c r="Z29" i="76"/>
  <c r="X29" i="76"/>
  <c r="V29" i="76"/>
  <c r="Y56" i="113"/>
  <c r="W56" i="113"/>
  <c r="U56" i="113"/>
  <c r="Y56" i="120"/>
  <c r="W56" i="120"/>
  <c r="U56" i="120"/>
  <c r="AA56" i="117"/>
  <c r="Y56" i="117"/>
  <c r="W56" i="117"/>
  <c r="Y56" i="118"/>
  <c r="W56" i="118"/>
  <c r="U56" i="118"/>
  <c r="AA50" i="117"/>
  <c r="Y50" i="117"/>
  <c r="W50" i="117"/>
  <c r="Y50" i="119"/>
  <c r="W50" i="119"/>
  <c r="Z50" i="119" s="1"/>
  <c r="U50" i="119"/>
  <c r="Y50" i="114"/>
  <c r="U50" i="114"/>
  <c r="W50" i="114"/>
  <c r="Z50" i="114" s="1"/>
  <c r="Y50" i="116"/>
  <c r="W50" i="116"/>
  <c r="Z50" i="116" s="1"/>
  <c r="U50" i="116"/>
  <c r="Z48" i="80"/>
  <c r="X48" i="80"/>
  <c r="V48" i="80"/>
  <c r="AA73" i="117"/>
  <c r="Y73" i="117"/>
  <c r="AB73" i="117" s="1"/>
  <c r="W73" i="117"/>
  <c r="Z71" i="80"/>
  <c r="X71" i="80"/>
  <c r="V71" i="80"/>
  <c r="Y73" i="114"/>
  <c r="W73" i="114"/>
  <c r="Z73" i="114" s="1"/>
  <c r="U73" i="114"/>
  <c r="Y73" i="120"/>
  <c r="W73" i="120"/>
  <c r="U73" i="120"/>
  <c r="AA22" i="117"/>
  <c r="Y22" i="117"/>
  <c r="AB22" i="117" s="1"/>
  <c r="W22" i="117"/>
  <c r="Y22" i="119"/>
  <c r="W22" i="119"/>
  <c r="U22" i="119"/>
  <c r="Y22" i="114"/>
  <c r="W22" i="114"/>
  <c r="Z22" i="114" s="1"/>
  <c r="U22" i="114"/>
  <c r="Y22" i="118"/>
  <c r="W22" i="118"/>
  <c r="U22" i="118"/>
  <c r="Z20" i="80"/>
  <c r="X20" i="80"/>
  <c r="AA20" i="80" s="1"/>
  <c r="V20" i="80"/>
  <c r="AA42" i="117"/>
  <c r="W42" i="117"/>
  <c r="Y42" i="117"/>
  <c r="AB42" i="117" s="1"/>
  <c r="Y42" i="119"/>
  <c r="W42" i="119"/>
  <c r="Z42" i="119" s="1"/>
  <c r="U42" i="119"/>
  <c r="Y42" i="118"/>
  <c r="W42" i="118"/>
  <c r="U42" i="118"/>
  <c r="Y42" i="120"/>
  <c r="W42" i="120"/>
  <c r="U42" i="120"/>
  <c r="Y30" i="114"/>
  <c r="U30" i="114"/>
  <c r="W30" i="114"/>
  <c r="Z30" i="114" s="1"/>
  <c r="Y30" i="116"/>
  <c r="W30" i="116"/>
  <c r="Z30" i="116" s="1"/>
  <c r="U30" i="116"/>
  <c r="Z28" i="80"/>
  <c r="X28" i="80"/>
  <c r="V28" i="80"/>
  <c r="Y30" i="113"/>
  <c r="W30" i="113"/>
  <c r="Z30" i="113" s="1"/>
  <c r="U30" i="113"/>
  <c r="Z28" i="76"/>
  <c r="X28" i="76"/>
  <c r="V28" i="76"/>
  <c r="AA45" i="117"/>
  <c r="Y45" i="117"/>
  <c r="W45" i="117"/>
  <c r="Z43" i="80"/>
  <c r="X43" i="80"/>
  <c r="V43" i="80"/>
  <c r="Y45" i="114"/>
  <c r="W45" i="114"/>
  <c r="U45" i="114"/>
  <c r="Y45" i="119"/>
  <c r="U45" i="119"/>
  <c r="W45" i="119"/>
  <c r="Z45" i="119" s="1"/>
  <c r="Y27" i="114"/>
  <c r="W27" i="114"/>
  <c r="U27" i="114"/>
  <c r="Y27" i="118"/>
  <c r="W27" i="118"/>
  <c r="U27" i="118"/>
  <c r="Z25" i="76"/>
  <c r="X25" i="76"/>
  <c r="V25" i="76"/>
  <c r="AA27" i="117"/>
  <c r="Y27" i="117"/>
  <c r="W27" i="117"/>
  <c r="Z25" i="80"/>
  <c r="X25" i="80"/>
  <c r="V25" i="80"/>
  <c r="Y37" i="116"/>
  <c r="W37" i="116"/>
  <c r="U37" i="116"/>
  <c r="Y37" i="119"/>
  <c r="W37" i="119"/>
  <c r="U37" i="119"/>
  <c r="Y37" i="113"/>
  <c r="W37" i="113"/>
  <c r="U37" i="113"/>
  <c r="Y37" i="120"/>
  <c r="W37" i="120"/>
  <c r="U37" i="120"/>
  <c r="AA70" i="117"/>
  <c r="Y70" i="117"/>
  <c r="W70" i="117"/>
  <c r="Y70" i="118"/>
  <c r="W70" i="118"/>
  <c r="U70" i="118"/>
  <c r="Y70" i="114"/>
  <c r="U70" i="114"/>
  <c r="W70" i="114"/>
  <c r="Z70" i="114" s="1"/>
  <c r="Y70" i="119"/>
  <c r="W70" i="119"/>
  <c r="U70" i="119"/>
  <c r="Z68" i="80"/>
  <c r="X68" i="80"/>
  <c r="V68" i="80"/>
  <c r="Y17" i="116"/>
  <c r="W17" i="116"/>
  <c r="U17" i="116"/>
  <c r="Y17" i="119"/>
  <c r="W17" i="119"/>
  <c r="U17" i="119"/>
  <c r="Y17" i="113"/>
  <c r="W17" i="113"/>
  <c r="U17" i="113"/>
  <c r="Y17" i="120"/>
  <c r="W17" i="120"/>
  <c r="U17" i="120"/>
  <c r="Y69" i="116"/>
  <c r="W69" i="116"/>
  <c r="U69" i="116"/>
  <c r="Y69" i="119"/>
  <c r="W69" i="119"/>
  <c r="U69" i="119"/>
  <c r="Y69" i="113"/>
  <c r="W69" i="113"/>
  <c r="U69" i="113"/>
  <c r="Y69" i="118"/>
  <c r="W69" i="118"/>
  <c r="U69" i="118"/>
  <c r="Z67" i="76"/>
  <c r="X67" i="76"/>
  <c r="V67" i="76"/>
  <c r="Y32" i="116"/>
  <c r="W32" i="116"/>
  <c r="U32" i="116"/>
  <c r="Z30" i="76"/>
  <c r="X30" i="76"/>
  <c r="V30" i="76"/>
  <c r="Y32" i="113"/>
  <c r="W32" i="113"/>
  <c r="U32" i="113"/>
  <c r="Y32" i="120"/>
  <c r="W32" i="120"/>
  <c r="U32" i="120"/>
  <c r="AA10" i="117"/>
  <c r="Y10" i="117"/>
  <c r="W10" i="117"/>
  <c r="Y10" i="119"/>
  <c r="W10" i="119"/>
  <c r="U10" i="119"/>
  <c r="Y10" i="114"/>
  <c r="U10" i="114"/>
  <c r="W10" i="114"/>
  <c r="Z10" i="114" s="1"/>
  <c r="Y10" i="118"/>
  <c r="W10" i="118"/>
  <c r="U10" i="118"/>
  <c r="Z8" i="80"/>
  <c r="X8" i="80"/>
  <c r="V8" i="80"/>
  <c r="AG74" i="115"/>
  <c r="AH74" i="115" s="1"/>
  <c r="AI74" i="115"/>
  <c r="AG34" i="115"/>
  <c r="AH34" i="115" s="1"/>
  <c r="AI34" i="115"/>
  <c r="T7" i="115"/>
  <c r="AA8" i="80" l="1"/>
  <c r="AB10" i="117"/>
  <c r="Z32" i="113"/>
  <c r="AA32" i="113" s="1"/>
  <c r="Z32" i="116"/>
  <c r="Z69" i="118"/>
  <c r="AA69" i="118" s="1"/>
  <c r="Z69" i="119"/>
  <c r="Z17" i="120"/>
  <c r="AA17" i="120" s="1"/>
  <c r="Z17" i="119"/>
  <c r="AA68" i="80"/>
  <c r="AB70" i="117"/>
  <c r="Z37" i="113"/>
  <c r="AA37" i="113" s="1"/>
  <c r="AC52" i="117"/>
  <c r="Z52" i="113"/>
  <c r="AA52" i="113" s="1"/>
  <c r="AB55" i="117"/>
  <c r="Z55" i="118"/>
  <c r="AA55" i="118" s="1"/>
  <c r="Z57" i="120"/>
  <c r="AA55" i="80"/>
  <c r="Z37" i="116"/>
  <c r="AB27" i="117"/>
  <c r="Z27" i="118"/>
  <c r="AA27" i="118" s="1"/>
  <c r="AA43" i="80"/>
  <c r="AA28" i="76"/>
  <c r="AA28" i="80"/>
  <c r="AB28" i="80" s="1"/>
  <c r="AA30" i="116"/>
  <c r="Z42" i="118"/>
  <c r="AA42" i="119"/>
  <c r="AB20" i="80"/>
  <c r="Z22" i="118"/>
  <c r="AA22" i="114"/>
  <c r="Z22" i="119"/>
  <c r="AA22" i="119" s="1"/>
  <c r="Z73" i="120"/>
  <c r="AA73" i="120" s="1"/>
  <c r="AA73" i="114"/>
  <c r="AA71" i="80"/>
  <c r="AB71" i="80" s="1"/>
  <c r="AA48" i="80"/>
  <c r="AA50" i="116"/>
  <c r="AA50" i="119"/>
  <c r="AB50" i="117"/>
  <c r="AB56" i="117"/>
  <c r="Z56" i="113"/>
  <c r="AA56" i="113" s="1"/>
  <c r="Z31" i="118"/>
  <c r="AA31" i="118" s="1"/>
  <c r="Z31" i="120"/>
  <c r="AA31" i="120" s="1"/>
  <c r="Z46" i="119"/>
  <c r="Z46" i="120"/>
  <c r="AA27" i="80"/>
  <c r="AA27" i="76"/>
  <c r="AB27" i="76" s="1"/>
  <c r="AA23" i="119"/>
  <c r="Z23" i="116"/>
  <c r="AA23" i="116" s="1"/>
  <c r="Z64" i="116"/>
  <c r="AB62" i="80"/>
  <c r="Z64" i="119"/>
  <c r="AA64" i="119" s="1"/>
  <c r="AA64" i="114"/>
  <c r="AA33" i="76"/>
  <c r="Z35" i="114"/>
  <c r="Z9" i="116"/>
  <c r="Z9" i="118"/>
  <c r="AA9" i="118" s="1"/>
  <c r="Z71" i="118"/>
  <c r="AA71" i="118" s="1"/>
  <c r="AA71" i="113"/>
  <c r="Z71" i="119"/>
  <c r="AA71" i="119" s="1"/>
  <c r="AA23" i="80"/>
  <c r="AB23" i="80" s="1"/>
  <c r="AC25" i="117"/>
  <c r="AA23" i="76"/>
  <c r="AB23" i="76" s="1"/>
  <c r="Z25" i="114"/>
  <c r="AA25" i="114" s="1"/>
  <c r="Z59" i="114"/>
  <c r="AA59" i="114" s="1"/>
  <c r="AB26" i="76"/>
  <c r="Z28" i="116"/>
  <c r="AA28" i="116" s="1"/>
  <c r="Z65" i="120"/>
  <c r="AA65" i="114"/>
  <c r="AA63" i="80"/>
  <c r="AB63" i="80" s="1"/>
  <c r="AC65" i="117"/>
  <c r="AA34" i="80"/>
  <c r="AB34" i="80" s="1"/>
  <c r="Z36" i="114"/>
  <c r="AA36" i="114" s="1"/>
  <c r="Z54" i="113"/>
  <c r="AB52" i="76"/>
  <c r="AB39" i="80"/>
  <c r="AB41" i="117"/>
  <c r="AB39" i="76"/>
  <c r="Z41" i="118"/>
  <c r="Z13" i="119"/>
  <c r="AA13" i="119" s="1"/>
  <c r="AA24" i="80"/>
  <c r="AB24" i="80" s="1"/>
  <c r="AC47" i="115"/>
  <c r="AE47" i="115" s="1"/>
  <c r="Z53" i="120"/>
  <c r="AA53" i="116"/>
  <c r="AB74" i="117"/>
  <c r="AC74" i="117" s="1"/>
  <c r="Z49" i="114"/>
  <c r="AB47" i="80"/>
  <c r="AB49" i="117"/>
  <c r="Z16" i="116"/>
  <c r="Z16" i="118"/>
  <c r="Z60" i="118"/>
  <c r="AA16" i="76"/>
  <c r="AB16" i="76" s="1"/>
  <c r="Z21" i="113"/>
  <c r="AA21" i="113" s="1"/>
  <c r="Z21" i="116"/>
  <c r="AA21" i="116" s="1"/>
  <c r="AB59" i="76"/>
  <c r="Z61" i="119"/>
  <c r="AA61" i="119" s="1"/>
  <c r="Z13" i="113"/>
  <c r="Z26" i="118"/>
  <c r="AA26" i="118" s="1"/>
  <c r="Z26" i="113"/>
  <c r="AA26" i="113" s="1"/>
  <c r="Z38" i="113"/>
  <c r="AA38" i="113" s="1"/>
  <c r="AC51" i="115"/>
  <c r="AE51" i="115" s="1"/>
  <c r="Z60" i="116"/>
  <c r="AA60" i="116" s="1"/>
  <c r="Z18" i="119"/>
  <c r="AA18" i="119" s="1"/>
  <c r="AB55" i="80"/>
  <c r="E14" i="130"/>
  <c r="H14" i="130" s="1"/>
  <c r="I12" i="130"/>
  <c r="K12" i="130" s="1"/>
  <c r="L12" i="130" s="1"/>
  <c r="M12" i="130" s="1"/>
  <c r="N12" i="130" s="1"/>
  <c r="Q12" i="130" s="1"/>
  <c r="S12" i="130" s="1"/>
  <c r="T12" i="130" s="1"/>
  <c r="E13" i="130"/>
  <c r="H13" i="130" s="1"/>
  <c r="Z62" i="120"/>
  <c r="AA60" i="80"/>
  <c r="Z53" i="119"/>
  <c r="AA53" i="119" s="1"/>
  <c r="Z44" i="114"/>
  <c r="AA44" i="114" s="1"/>
  <c r="AB44" i="117"/>
  <c r="AC44" i="117" s="1"/>
  <c r="Z38" i="116"/>
  <c r="AA44" i="116"/>
  <c r="AB60" i="80"/>
  <c r="AC29" i="117"/>
  <c r="AA53" i="114"/>
  <c r="AA72" i="80"/>
  <c r="AB72" i="80" s="1"/>
  <c r="AA61" i="116"/>
  <c r="AA44" i="119"/>
  <c r="AB50" i="76"/>
  <c r="AA25" i="118"/>
  <c r="AA27" i="113"/>
  <c r="AA45" i="120"/>
  <c r="AA42" i="113"/>
  <c r="AC58" i="115"/>
  <c r="AE58" i="115" s="1"/>
  <c r="Y37" i="31"/>
  <c r="Z37" i="31" s="1"/>
  <c r="AB37" i="31" s="1"/>
  <c r="Z52" i="116"/>
  <c r="Y49" i="31"/>
  <c r="Z49" i="31" s="1"/>
  <c r="AB49" i="31" s="1"/>
  <c r="Z38" i="120"/>
  <c r="AA38" i="120" s="1"/>
  <c r="AA38" i="118"/>
  <c r="AA65" i="76"/>
  <c r="Z67" i="113"/>
  <c r="AA67" i="113" s="1"/>
  <c r="Z67" i="116"/>
  <c r="AC24" i="115"/>
  <c r="AE24" i="115" s="1"/>
  <c r="Y55" i="31"/>
  <c r="Z55" i="31" s="1"/>
  <c r="AB55" i="31" s="1"/>
  <c r="Z52" i="118"/>
  <c r="AA52" i="118" s="1"/>
  <c r="Z55" i="120"/>
  <c r="Z25" i="113"/>
  <c r="AA25" i="113" s="1"/>
  <c r="Z25" i="116"/>
  <c r="AB59" i="117"/>
  <c r="Z59" i="118"/>
  <c r="AA59" i="118" s="1"/>
  <c r="Z28" i="119"/>
  <c r="AA28" i="119" s="1"/>
  <c r="Z28" i="120"/>
  <c r="AA28" i="120" s="1"/>
  <c r="AA63" i="76"/>
  <c r="Z65" i="113"/>
  <c r="AA65" i="113" s="1"/>
  <c r="Z65" i="116"/>
  <c r="Z36" i="113"/>
  <c r="AA36" i="113" s="1"/>
  <c r="Z36" i="116"/>
  <c r="Z54" i="119"/>
  <c r="Z54" i="118"/>
  <c r="AA54" i="118" s="1"/>
  <c r="Z41" i="120"/>
  <c r="AA41" i="120" s="1"/>
  <c r="Z41" i="119"/>
  <c r="AA11" i="76"/>
  <c r="AA13" i="114"/>
  <c r="AA13" i="113"/>
  <c r="AA66" i="119"/>
  <c r="AA57" i="120"/>
  <c r="AA57" i="114"/>
  <c r="Y59" i="31"/>
  <c r="Z59" i="31" s="1"/>
  <c r="AB59" i="31" s="1"/>
  <c r="Y27" i="31"/>
  <c r="Z27" i="31" s="1"/>
  <c r="AB27" i="31" s="1"/>
  <c r="AA70" i="114"/>
  <c r="AA42" i="118"/>
  <c r="AA18" i="118"/>
  <c r="AA61" i="113"/>
  <c r="AA10" i="120"/>
  <c r="Y24" i="31"/>
  <c r="Z24" i="31" s="1"/>
  <c r="AB24" i="31" s="1"/>
  <c r="AA61" i="114"/>
  <c r="AA34" i="118"/>
  <c r="AE29" i="46"/>
  <c r="AE30" i="46" s="1"/>
  <c r="AD48" i="46" s="1"/>
  <c r="AD53" i="46" s="1"/>
  <c r="T14" i="72" s="1"/>
  <c r="AD29" i="46"/>
  <c r="AA10" i="114"/>
  <c r="AA22" i="118"/>
  <c r="AA46" i="120"/>
  <c r="AA54" i="113"/>
  <c r="Y46" i="31"/>
  <c r="Z46" i="31" s="1"/>
  <c r="AB46" i="31" s="1"/>
  <c r="Y51" i="31"/>
  <c r="Z51" i="31" s="1"/>
  <c r="AB51" i="31" s="1"/>
  <c r="AC23" i="115"/>
  <c r="AE23" i="115" s="1"/>
  <c r="AA53" i="120"/>
  <c r="AA74" i="119"/>
  <c r="AA16" i="118"/>
  <c r="AA55" i="120"/>
  <c r="AA55" i="116"/>
  <c r="Z55" i="119"/>
  <c r="Z57" i="113"/>
  <c r="Y48" i="31"/>
  <c r="Z48" i="31" s="1"/>
  <c r="AB48" i="31" s="1"/>
  <c r="Y36" i="31"/>
  <c r="Z36" i="31" s="1"/>
  <c r="AB36" i="31" s="1"/>
  <c r="Z67" i="120"/>
  <c r="AA67" i="120" s="1"/>
  <c r="AA65" i="80"/>
  <c r="AA21" i="118"/>
  <c r="Y40" i="31"/>
  <c r="Z40" i="31" s="1"/>
  <c r="AB40" i="31" s="1"/>
  <c r="Y38" i="31"/>
  <c r="Z38" i="31" s="1"/>
  <c r="AB38" i="31" s="1"/>
  <c r="Y33" i="31"/>
  <c r="Z33" i="31" s="1"/>
  <c r="AB33" i="31" s="1"/>
  <c r="Y14" i="31"/>
  <c r="Z14" i="31" s="1"/>
  <c r="AB14" i="31" s="1"/>
  <c r="AA30" i="113"/>
  <c r="AA64" i="120"/>
  <c r="AA64" i="116"/>
  <c r="Z35" i="113"/>
  <c r="AA35" i="113" s="1"/>
  <c r="AA52" i="116"/>
  <c r="AA55" i="119"/>
  <c r="AA32" i="114"/>
  <c r="AA69" i="114"/>
  <c r="AA37" i="114"/>
  <c r="AA73" i="116"/>
  <c r="Y15" i="31"/>
  <c r="Z15" i="31" s="1"/>
  <c r="AB15" i="31" s="1"/>
  <c r="Z60" i="119"/>
  <c r="AA60" i="119" s="1"/>
  <c r="AA39" i="120"/>
  <c r="AG28" i="46"/>
  <c r="AC30" i="46"/>
  <c r="D14" i="100" s="1"/>
  <c r="Y7" i="115"/>
  <c r="Y77" i="115" s="1"/>
  <c r="W7" i="115"/>
  <c r="U7" i="115"/>
  <c r="H73" i="72"/>
  <c r="AJ74" i="115"/>
  <c r="AB10" i="114"/>
  <c r="AL10" i="114" s="1"/>
  <c r="AO10" i="114" s="1"/>
  <c r="W9" i="72" s="1"/>
  <c r="G9" i="100"/>
  <c r="AC10" i="114"/>
  <c r="AE10" i="114" s="1"/>
  <c r="F31" i="100"/>
  <c r="AB32" i="113"/>
  <c r="AL32" i="113" s="1"/>
  <c r="AO32" i="113" s="1"/>
  <c r="V31" i="72" s="1"/>
  <c r="AC32" i="113"/>
  <c r="AE32" i="113" s="1"/>
  <c r="M16" i="100"/>
  <c r="AB17" i="120"/>
  <c r="AL17" i="120" s="1"/>
  <c r="AO17" i="120" s="1"/>
  <c r="AC16" i="72" s="1"/>
  <c r="G69" i="100"/>
  <c r="AB70" i="114"/>
  <c r="AL70" i="114" s="1"/>
  <c r="AO70" i="114" s="1"/>
  <c r="W69" i="72" s="1"/>
  <c r="AB8" i="80"/>
  <c r="Z10" i="118"/>
  <c r="AA10" i="118" s="1"/>
  <c r="Z10" i="119"/>
  <c r="AC10" i="117"/>
  <c r="Z32" i="120"/>
  <c r="AA32" i="120" s="1"/>
  <c r="AA30" i="76"/>
  <c r="AA32" i="116"/>
  <c r="AA67" i="76"/>
  <c r="AB67" i="76" s="1"/>
  <c r="Z69" i="113"/>
  <c r="AA69" i="113" s="1"/>
  <c r="AA69" i="119"/>
  <c r="Z69" i="116"/>
  <c r="Z17" i="113"/>
  <c r="AA17" i="113" s="1"/>
  <c r="AA17" i="119"/>
  <c r="Z17" i="116"/>
  <c r="AA17" i="116" s="1"/>
  <c r="AB68" i="80"/>
  <c r="Z70" i="119"/>
  <c r="Z70" i="118"/>
  <c r="AA70" i="118" s="1"/>
  <c r="AC70" i="117"/>
  <c r="Z37" i="120"/>
  <c r="AA37" i="120" s="1"/>
  <c r="Z37" i="119"/>
  <c r="AA37" i="116"/>
  <c r="AA25" i="80"/>
  <c r="AC27" i="117"/>
  <c r="AA25" i="76"/>
  <c r="Z27" i="114"/>
  <c r="AA45" i="119"/>
  <c r="Z45" i="114"/>
  <c r="AB43" i="80"/>
  <c r="AB45" i="117"/>
  <c r="AB28" i="76"/>
  <c r="F29" i="100"/>
  <c r="AB30" i="113"/>
  <c r="AL30" i="113" s="1"/>
  <c r="AO30" i="113" s="1"/>
  <c r="V29" i="72" s="1"/>
  <c r="Z42" i="120"/>
  <c r="AA42" i="120" s="1"/>
  <c r="AC73" i="117"/>
  <c r="AB48" i="80"/>
  <c r="AC50" i="117"/>
  <c r="Z56" i="118"/>
  <c r="AA56" i="118" s="1"/>
  <c r="AC56" i="117"/>
  <c r="Z56" i="120"/>
  <c r="AA56" i="120" s="1"/>
  <c r="AA29" i="76"/>
  <c r="Z31" i="114"/>
  <c r="Z31" i="113"/>
  <c r="AA31" i="113" s="1"/>
  <c r="AB46" i="117"/>
  <c r="AC46" i="117" s="1"/>
  <c r="AA46" i="118"/>
  <c r="AB27" i="80"/>
  <c r="AA29" i="118"/>
  <c r="M63" i="100"/>
  <c r="AB64" i="120"/>
  <c r="AL64" i="120" s="1"/>
  <c r="AO64" i="120" s="1"/>
  <c r="AC63" i="72" s="1"/>
  <c r="I63" i="100"/>
  <c r="AB64" i="116"/>
  <c r="AL64" i="116" s="1"/>
  <c r="AO64" i="116" s="1"/>
  <c r="Y63" i="72" s="1"/>
  <c r="F34" i="100"/>
  <c r="AB35" i="113"/>
  <c r="AL35" i="113" s="1"/>
  <c r="AO35" i="113" s="1"/>
  <c r="V34" i="72" s="1"/>
  <c r="AB33" i="76"/>
  <c r="Z35" i="118"/>
  <c r="AA35" i="118" s="1"/>
  <c r="AA35" i="114"/>
  <c r="Z9" i="119"/>
  <c r="AA9" i="116"/>
  <c r="AA7" i="80"/>
  <c r="AA69" i="76"/>
  <c r="AA71" i="116"/>
  <c r="AB25" i="118"/>
  <c r="AL25" i="118" s="1"/>
  <c r="AO25" i="118" s="1"/>
  <c r="AA24" i="72" s="1"/>
  <c r="K24" i="100"/>
  <c r="AC25" i="118"/>
  <c r="AE25" i="118" s="1"/>
  <c r="M58" i="100"/>
  <c r="AB59" i="120"/>
  <c r="AL59" i="120" s="1"/>
  <c r="AO59" i="120" s="1"/>
  <c r="AC58" i="72" s="1"/>
  <c r="K27" i="100"/>
  <c r="AB28" i="118"/>
  <c r="AL28" i="118" s="1"/>
  <c r="AO28" i="118" s="1"/>
  <c r="AA27" i="72" s="1"/>
  <c r="AA28" i="114"/>
  <c r="AA36" i="118"/>
  <c r="Z36" i="119"/>
  <c r="Z54" i="120"/>
  <c r="AA54" i="120" s="1"/>
  <c r="AC41" i="117"/>
  <c r="AA41" i="114"/>
  <c r="K12" i="100"/>
  <c r="AB13" i="118"/>
  <c r="AL13" i="118" s="1"/>
  <c r="AO13" i="118" s="1"/>
  <c r="AA12" i="72" s="1"/>
  <c r="M37" i="100"/>
  <c r="AB38" i="120"/>
  <c r="AL38" i="120" s="1"/>
  <c r="AO38" i="120" s="1"/>
  <c r="AC37" i="72" s="1"/>
  <c r="K37" i="100"/>
  <c r="AB38" i="118"/>
  <c r="AL38" i="118" s="1"/>
  <c r="AO38" i="118" s="1"/>
  <c r="AA37" i="72" s="1"/>
  <c r="F66" i="100"/>
  <c r="AB67" i="113"/>
  <c r="AL67" i="113" s="1"/>
  <c r="AO67" i="113" s="1"/>
  <c r="V66" i="72" s="1"/>
  <c r="AG24" i="115"/>
  <c r="AH24" i="115" s="1"/>
  <c r="AI24" i="115"/>
  <c r="AK35" i="46"/>
  <c r="AL35" i="46" s="1"/>
  <c r="AM35" i="46"/>
  <c r="H38" i="72"/>
  <c r="AJ39" i="115"/>
  <c r="H17" i="72"/>
  <c r="AJ18" i="115"/>
  <c r="H66" i="72"/>
  <c r="AJ67" i="115"/>
  <c r="AC68" i="115"/>
  <c r="AE68" i="115" s="1"/>
  <c r="AG47" i="115"/>
  <c r="AH47" i="115" s="1"/>
  <c r="AI47" i="115"/>
  <c r="M52" i="100"/>
  <c r="AB53" i="120"/>
  <c r="AL53" i="120" s="1"/>
  <c r="AO53" i="120" s="1"/>
  <c r="AC52" i="72" s="1"/>
  <c r="I52" i="100"/>
  <c r="AB53" i="116"/>
  <c r="AL53" i="116" s="1"/>
  <c r="AO53" i="116" s="1"/>
  <c r="Y52" i="72" s="1"/>
  <c r="G52" i="100"/>
  <c r="AB53" i="114"/>
  <c r="AL53" i="114" s="1"/>
  <c r="AO53" i="114" s="1"/>
  <c r="W52" i="72" s="1"/>
  <c r="L73" i="100"/>
  <c r="AB74" i="119"/>
  <c r="AL74" i="119" s="1"/>
  <c r="AO74" i="119" s="1"/>
  <c r="AB73" i="72" s="1"/>
  <c r="AA74" i="114"/>
  <c r="O48" i="100"/>
  <c r="AC47" i="80"/>
  <c r="AP47" i="80" s="1"/>
  <c r="AE48" i="72" s="1"/>
  <c r="K15" i="100"/>
  <c r="AB16" i="118"/>
  <c r="AL16" i="118" s="1"/>
  <c r="AO16" i="118" s="1"/>
  <c r="AA15" i="72" s="1"/>
  <c r="AA60" i="118"/>
  <c r="AC60" i="117"/>
  <c r="AA58" i="76"/>
  <c r="AA18" i="116"/>
  <c r="AA16" i="80"/>
  <c r="AA18" i="114"/>
  <c r="AA21" i="120"/>
  <c r="N60" i="100"/>
  <c r="AC59" i="76"/>
  <c r="AP59" i="76" s="1"/>
  <c r="AD60" i="72" s="1"/>
  <c r="Z61" i="118"/>
  <c r="AA61" i="118" s="1"/>
  <c r="AB61" i="116"/>
  <c r="AL61" i="116" s="1"/>
  <c r="AO61" i="116" s="1"/>
  <c r="Y60" i="72" s="1"/>
  <c r="I60" i="100"/>
  <c r="AC61" i="116"/>
  <c r="AE61" i="116" s="1"/>
  <c r="Z66" i="118"/>
  <c r="AA66" i="118" s="1"/>
  <c r="AC66" i="117"/>
  <c r="AA64" i="76"/>
  <c r="AA42" i="80"/>
  <c r="L43" i="100"/>
  <c r="AB44" i="119"/>
  <c r="AL44" i="119" s="1"/>
  <c r="AO44" i="119" s="1"/>
  <c r="AB43" i="72" s="1"/>
  <c r="N51" i="100"/>
  <c r="AC50" i="76"/>
  <c r="AP50" i="76" s="1"/>
  <c r="AD51" i="72" s="1"/>
  <c r="K51" i="100"/>
  <c r="AB52" i="118"/>
  <c r="AL52" i="118" s="1"/>
  <c r="AO52" i="118" s="1"/>
  <c r="AA51" i="72" s="1"/>
  <c r="M54" i="100"/>
  <c r="AB55" i="120"/>
  <c r="AL55" i="120" s="1"/>
  <c r="AO55" i="120" s="1"/>
  <c r="AC54" i="72" s="1"/>
  <c r="I54" i="100"/>
  <c r="AB55" i="116"/>
  <c r="AL55" i="116" s="1"/>
  <c r="AO55" i="116" s="1"/>
  <c r="Y54" i="72" s="1"/>
  <c r="AA55" i="114"/>
  <c r="AA55" i="76"/>
  <c r="AA57" i="113"/>
  <c r="AA57" i="119"/>
  <c r="Z57" i="116"/>
  <c r="AB32" i="80"/>
  <c r="Z34" i="116"/>
  <c r="AA34" i="114"/>
  <c r="Z34" i="119"/>
  <c r="AC34" i="117"/>
  <c r="Z62" i="118"/>
  <c r="AA62" i="118" s="1"/>
  <c r="AC62" i="117"/>
  <c r="AA60" i="76"/>
  <c r="AA37" i="80"/>
  <c r="AB37" i="76"/>
  <c r="Z39" i="118"/>
  <c r="AA39" i="118" s="1"/>
  <c r="AA39" i="114"/>
  <c r="Z39" i="113"/>
  <c r="AA39" i="113" s="1"/>
  <c r="AG59" i="115"/>
  <c r="AH59" i="115" s="1"/>
  <c r="AI59" i="115"/>
  <c r="AG49" i="115"/>
  <c r="AH49" i="115" s="1"/>
  <c r="AI49" i="115"/>
  <c r="AG28" i="115"/>
  <c r="AH28" i="115" s="1"/>
  <c r="AI28" i="115"/>
  <c r="AG65" i="115"/>
  <c r="AH65" i="115" s="1"/>
  <c r="AI65" i="115"/>
  <c r="AG8" i="115"/>
  <c r="AH8" i="115" s="1"/>
  <c r="AI8" i="115"/>
  <c r="AG42" i="115"/>
  <c r="AH42" i="115" s="1"/>
  <c r="AI42" i="115"/>
  <c r="Y64" i="31"/>
  <c r="Z64" i="31" s="1"/>
  <c r="AB64" i="31" s="1"/>
  <c r="Y18" i="31"/>
  <c r="Z18" i="31" s="1"/>
  <c r="AB18" i="31" s="1"/>
  <c r="Y31" i="31"/>
  <c r="Z31" i="31" s="1"/>
  <c r="AB31" i="31" s="1"/>
  <c r="Y45" i="31"/>
  <c r="Z45" i="31" s="1"/>
  <c r="AB45" i="31" s="1"/>
  <c r="Z48" i="46"/>
  <c r="Z53" i="46" s="1"/>
  <c r="AE18" i="46"/>
  <c r="AE38" i="46" s="1"/>
  <c r="AG20" i="115"/>
  <c r="AH20" i="115" s="1"/>
  <c r="AI20" i="115"/>
  <c r="Y11" i="114"/>
  <c r="W11" i="114"/>
  <c r="U11" i="114"/>
  <c r="AA11" i="117"/>
  <c r="W11" i="117"/>
  <c r="Y11" i="117"/>
  <c r="AB11" i="117" s="1"/>
  <c r="Z9" i="76"/>
  <c r="X9" i="76"/>
  <c r="V9" i="76"/>
  <c r="Y11" i="113"/>
  <c r="W11" i="113"/>
  <c r="U11" i="113"/>
  <c r="Y11" i="120"/>
  <c r="W11" i="120"/>
  <c r="Z11" i="120" s="1"/>
  <c r="U11" i="120"/>
  <c r="AA24" i="117"/>
  <c r="Y24" i="117"/>
  <c r="W24" i="117"/>
  <c r="Y24" i="119"/>
  <c r="W24" i="119"/>
  <c r="Z24" i="119" s="1"/>
  <c r="U24" i="119"/>
  <c r="Y24" i="114"/>
  <c r="U24" i="114"/>
  <c r="W24" i="114"/>
  <c r="Z24" i="114" s="1"/>
  <c r="Y24" i="118"/>
  <c r="U24" i="118"/>
  <c r="W24" i="118"/>
  <c r="Z24" i="118" s="1"/>
  <c r="Z22" i="80"/>
  <c r="X22" i="80"/>
  <c r="V22" i="80"/>
  <c r="Y68" i="113"/>
  <c r="W68" i="113"/>
  <c r="Z68" i="113" s="1"/>
  <c r="AA68" i="113" s="1"/>
  <c r="U68" i="113"/>
  <c r="Z66" i="76"/>
  <c r="X66" i="76"/>
  <c r="V66" i="76"/>
  <c r="AA68" i="117"/>
  <c r="Y68" i="117"/>
  <c r="AB68" i="117" s="1"/>
  <c r="W68" i="117"/>
  <c r="Y68" i="118"/>
  <c r="W68" i="118"/>
  <c r="U68" i="118"/>
  <c r="AA20" i="117"/>
  <c r="Y20" i="117"/>
  <c r="AB20" i="117" s="1"/>
  <c r="W20" i="117"/>
  <c r="Y20" i="119"/>
  <c r="W20" i="119"/>
  <c r="U20" i="119"/>
  <c r="Y20" i="113"/>
  <c r="W20" i="113"/>
  <c r="Z20" i="113" s="1"/>
  <c r="U20" i="113"/>
  <c r="Y20" i="120"/>
  <c r="W20" i="120"/>
  <c r="U20" i="120"/>
  <c r="Z18" i="80"/>
  <c r="X18" i="80"/>
  <c r="AA18" i="80" s="1"/>
  <c r="V18" i="80"/>
  <c r="Y8" i="116"/>
  <c r="W8" i="116"/>
  <c r="U8" i="116"/>
  <c r="Z6" i="76"/>
  <c r="X6" i="76"/>
  <c r="AA6" i="76" s="1"/>
  <c r="V6" i="76"/>
  <c r="Y8" i="113"/>
  <c r="W8" i="113"/>
  <c r="U8" i="113"/>
  <c r="Y8" i="120"/>
  <c r="U8" i="120"/>
  <c r="W8" i="120"/>
  <c r="Z8" i="120" s="1"/>
  <c r="Y43" i="113"/>
  <c r="W43" i="113"/>
  <c r="U43" i="113"/>
  <c r="Y43" i="120"/>
  <c r="W43" i="120"/>
  <c r="U43" i="120"/>
  <c r="Y43" i="114"/>
  <c r="W43" i="114"/>
  <c r="U43" i="114"/>
  <c r="Y43" i="118"/>
  <c r="W43" i="118"/>
  <c r="U43" i="118"/>
  <c r="Z41" i="76"/>
  <c r="X41" i="76"/>
  <c r="V41" i="76"/>
  <c r="Y72" i="113"/>
  <c r="W72" i="113"/>
  <c r="U72" i="113"/>
  <c r="Z70" i="76"/>
  <c r="X70" i="76"/>
  <c r="V70" i="76"/>
  <c r="AA72" i="117"/>
  <c r="Y72" i="117"/>
  <c r="AB72" i="117" s="1"/>
  <c r="W72" i="117"/>
  <c r="Y72" i="118"/>
  <c r="W72" i="118"/>
  <c r="U72" i="118"/>
  <c r="AA12" i="117"/>
  <c r="Y12" i="117"/>
  <c r="W12" i="117"/>
  <c r="Y12" i="119"/>
  <c r="W12" i="119"/>
  <c r="U12" i="119"/>
  <c r="Y12" i="114"/>
  <c r="U12" i="114"/>
  <c r="W12" i="114"/>
  <c r="Z12" i="114" s="1"/>
  <c r="Y12" i="118"/>
  <c r="W12" i="118"/>
  <c r="U12" i="118"/>
  <c r="Z10" i="80"/>
  <c r="X10" i="80"/>
  <c r="V10" i="80"/>
  <c r="Y58" i="113"/>
  <c r="W58" i="113"/>
  <c r="U58" i="113"/>
  <c r="Z56" i="76"/>
  <c r="X56" i="76"/>
  <c r="V56" i="76"/>
  <c r="AA58" i="117"/>
  <c r="Y58" i="117"/>
  <c r="W58" i="117"/>
  <c r="Y58" i="118"/>
  <c r="W58" i="118"/>
  <c r="U58" i="118"/>
  <c r="Y40" i="114"/>
  <c r="W40" i="114"/>
  <c r="U40" i="114"/>
  <c r="Y40" i="118"/>
  <c r="W40" i="118"/>
  <c r="Z40" i="118" s="1"/>
  <c r="U40" i="118"/>
  <c r="Z38" i="80"/>
  <c r="X38" i="80"/>
  <c r="V38" i="80"/>
  <c r="Y40" i="116"/>
  <c r="W40" i="116"/>
  <c r="Z40" i="116" s="1"/>
  <c r="U40" i="116"/>
  <c r="Z38" i="76"/>
  <c r="X38" i="76"/>
  <c r="V38" i="76"/>
  <c r="Y14" i="116"/>
  <c r="W14" i="116"/>
  <c r="Z14" i="116" s="1"/>
  <c r="U14" i="116"/>
  <c r="Z12" i="76"/>
  <c r="X12" i="76"/>
  <c r="V12" i="76"/>
  <c r="Y14" i="113"/>
  <c r="W14" i="113"/>
  <c r="Z14" i="113" s="1"/>
  <c r="AA14" i="113" s="1"/>
  <c r="U14" i="113"/>
  <c r="Y14" i="120"/>
  <c r="U14" i="120"/>
  <c r="W14" i="120"/>
  <c r="Z14" i="120" s="1"/>
  <c r="AA14" i="120" s="1"/>
  <c r="Y15" i="113"/>
  <c r="W15" i="113"/>
  <c r="Z15" i="113" s="1"/>
  <c r="AA15" i="113" s="1"/>
  <c r="U15" i="113"/>
  <c r="Y15" i="120"/>
  <c r="W15" i="120"/>
  <c r="U15" i="120"/>
  <c r="Y15" i="114"/>
  <c r="W15" i="114"/>
  <c r="Z15" i="114" s="1"/>
  <c r="U15" i="114"/>
  <c r="AA15" i="117"/>
  <c r="W15" i="117"/>
  <c r="Y15" i="117"/>
  <c r="AB15" i="117" s="1"/>
  <c r="Z13" i="76"/>
  <c r="X13" i="76"/>
  <c r="AA13" i="76" s="1"/>
  <c r="V13" i="76"/>
  <c r="AA47" i="117"/>
  <c r="Y47" i="117"/>
  <c r="W47" i="117"/>
  <c r="Z45" i="80"/>
  <c r="X45" i="80"/>
  <c r="AA45" i="80" s="1"/>
  <c r="V45" i="80"/>
  <c r="Y47" i="114"/>
  <c r="W47" i="114"/>
  <c r="U47" i="114"/>
  <c r="Y47" i="119"/>
  <c r="W47" i="119"/>
  <c r="Z47" i="119" s="1"/>
  <c r="U47" i="119"/>
  <c r="Y63" i="116"/>
  <c r="W63" i="116"/>
  <c r="U63" i="116"/>
  <c r="Y63" i="119"/>
  <c r="W63" i="119"/>
  <c r="Z63" i="119" s="1"/>
  <c r="U63" i="119"/>
  <c r="Y63" i="113"/>
  <c r="W63" i="113"/>
  <c r="U63" i="113"/>
  <c r="Y63" i="118"/>
  <c r="U63" i="118"/>
  <c r="W63" i="118"/>
  <c r="Z63" i="118" s="1"/>
  <c r="Z61" i="76"/>
  <c r="X61" i="76"/>
  <c r="V61" i="76"/>
  <c r="AA51" i="117"/>
  <c r="Y51" i="117"/>
  <c r="AB51" i="117" s="1"/>
  <c r="W51" i="117"/>
  <c r="Z49" i="80"/>
  <c r="X49" i="80"/>
  <c r="V49" i="80"/>
  <c r="Y51" i="114"/>
  <c r="U51" i="114"/>
  <c r="W51" i="114"/>
  <c r="Z51" i="114" s="1"/>
  <c r="Y51" i="119"/>
  <c r="W51" i="119"/>
  <c r="U51" i="119"/>
  <c r="Y48" i="116"/>
  <c r="W48" i="116"/>
  <c r="Z48" i="116" s="1"/>
  <c r="U48" i="116"/>
  <c r="Z46" i="76"/>
  <c r="X46" i="76"/>
  <c r="V46" i="76"/>
  <c r="Y48" i="113"/>
  <c r="W48" i="113"/>
  <c r="Z48" i="113" s="1"/>
  <c r="U48" i="113"/>
  <c r="Y48" i="120"/>
  <c r="W48" i="120"/>
  <c r="U48" i="120"/>
  <c r="Y75" i="116"/>
  <c r="W75" i="116"/>
  <c r="Z75" i="116" s="1"/>
  <c r="U75" i="116"/>
  <c r="Y75" i="119"/>
  <c r="U75" i="119"/>
  <c r="W75" i="119"/>
  <c r="Z75" i="119" s="1"/>
  <c r="AA75" i="119" s="1"/>
  <c r="Y75" i="113"/>
  <c r="W75" i="113"/>
  <c r="Z75" i="113" s="1"/>
  <c r="AA75" i="113" s="1"/>
  <c r="U75" i="113"/>
  <c r="Y75" i="118"/>
  <c r="W75" i="118"/>
  <c r="U75" i="118"/>
  <c r="Z73" i="76"/>
  <c r="X73" i="76"/>
  <c r="AA73" i="76" s="1"/>
  <c r="V73" i="76"/>
  <c r="Y33" i="116"/>
  <c r="W33" i="116"/>
  <c r="U33" i="116"/>
  <c r="Y33" i="119"/>
  <c r="W33" i="119"/>
  <c r="Z33" i="119" s="1"/>
  <c r="AA33" i="119" s="1"/>
  <c r="U33" i="119"/>
  <c r="Y33" i="113"/>
  <c r="W33" i="113"/>
  <c r="U33" i="113"/>
  <c r="Y33" i="120"/>
  <c r="W33" i="120"/>
  <c r="Z33" i="120" s="1"/>
  <c r="U33" i="120"/>
  <c r="Z10" i="113"/>
  <c r="AA10" i="113" s="1"/>
  <c r="AB8" i="76"/>
  <c r="Z10" i="116"/>
  <c r="AA10" i="116" s="1"/>
  <c r="AB30" i="80"/>
  <c r="Z32" i="118"/>
  <c r="AA32" i="118" s="1"/>
  <c r="Z32" i="119"/>
  <c r="AC32" i="117"/>
  <c r="Z69" i="120"/>
  <c r="AA69" i="120" s="1"/>
  <c r="AA67" i="80"/>
  <c r="AC69" i="117"/>
  <c r="AA15" i="80"/>
  <c r="AA15" i="76"/>
  <c r="AC17" i="117"/>
  <c r="Z17" i="114"/>
  <c r="AB68" i="76"/>
  <c r="Z70" i="113"/>
  <c r="AA70" i="113" s="1"/>
  <c r="Z70" i="116"/>
  <c r="AB35" i="80"/>
  <c r="AB37" i="117"/>
  <c r="AB35" i="76"/>
  <c r="Z37" i="118"/>
  <c r="AA37" i="118" s="1"/>
  <c r="Z27" i="120"/>
  <c r="AA27" i="120" s="1"/>
  <c r="Z27" i="119"/>
  <c r="AA27" i="116"/>
  <c r="AA43" i="76"/>
  <c r="Z45" i="113"/>
  <c r="Z45" i="116"/>
  <c r="AA30" i="119"/>
  <c r="AB30" i="117"/>
  <c r="Z30" i="118"/>
  <c r="AA30" i="118" s="1"/>
  <c r="AB40" i="80"/>
  <c r="Z42" i="116"/>
  <c r="AA42" i="114"/>
  <c r="AA40" i="76"/>
  <c r="W17" i="31"/>
  <c r="Y17" i="31" s="1"/>
  <c r="Z17" i="31" s="1"/>
  <c r="AB17" i="31" s="1"/>
  <c r="X17" i="31"/>
  <c r="V43" i="31"/>
  <c r="Z22" i="113"/>
  <c r="AA22" i="113" s="1"/>
  <c r="AB20" i="76"/>
  <c r="Z22" i="116"/>
  <c r="AB71" i="76"/>
  <c r="Z73" i="118"/>
  <c r="AA73" i="118" s="1"/>
  <c r="AA73" i="113"/>
  <c r="Z73" i="119"/>
  <c r="AA73" i="119" s="1"/>
  <c r="Z50" i="120"/>
  <c r="AA50" i="120" s="1"/>
  <c r="AA50" i="118"/>
  <c r="AA48" i="76"/>
  <c r="AA50" i="113"/>
  <c r="AA54" i="76"/>
  <c r="AA56" i="116"/>
  <c r="AA54" i="80"/>
  <c r="AA56" i="119"/>
  <c r="Z56" i="114"/>
  <c r="AA31" i="119"/>
  <c r="Z31" i="116"/>
  <c r="AB29" i="80"/>
  <c r="AB31" i="117"/>
  <c r="AB44" i="76"/>
  <c r="Z46" i="113"/>
  <c r="AA46" i="113" s="1"/>
  <c r="AB44" i="80"/>
  <c r="Z46" i="116"/>
  <c r="AA46" i="114"/>
  <c r="Z29" i="120"/>
  <c r="AA29" i="120" s="1"/>
  <c r="Z29" i="119"/>
  <c r="AA29" i="116"/>
  <c r="AA21" i="76"/>
  <c r="AC23" i="117"/>
  <c r="Z23" i="114"/>
  <c r="Z23" i="113"/>
  <c r="AA23" i="113" s="1"/>
  <c r="AB64" i="117"/>
  <c r="AB62" i="76"/>
  <c r="Z64" i="113"/>
  <c r="AA64" i="113" s="1"/>
  <c r="AB33" i="80"/>
  <c r="AB35" i="117"/>
  <c r="AA35" i="119"/>
  <c r="Z35" i="116"/>
  <c r="AB7" i="76"/>
  <c r="AB9" i="117"/>
  <c r="Z9" i="120"/>
  <c r="AA9" i="120" s="1"/>
  <c r="Z71" i="120"/>
  <c r="AA71" i="120" s="1"/>
  <c r="AA69" i="80"/>
  <c r="AC71" i="117"/>
  <c r="E18" i="130"/>
  <c r="E22" i="130" s="1"/>
  <c r="Z25" i="120"/>
  <c r="AA25" i="120" s="1"/>
  <c r="Z25" i="119"/>
  <c r="AA25" i="116"/>
  <c r="AA57" i="80"/>
  <c r="AC59" i="117"/>
  <c r="AA57" i="76"/>
  <c r="Z59" i="113"/>
  <c r="AA59" i="113" s="1"/>
  <c r="AB28" i="117"/>
  <c r="AC28" i="117" s="1"/>
  <c r="Z28" i="113"/>
  <c r="AA28" i="113" s="1"/>
  <c r="AB63" i="76"/>
  <c r="Z65" i="118"/>
  <c r="AA65" i="118" s="1"/>
  <c r="Z65" i="119"/>
  <c r="AA65" i="116"/>
  <c r="Z36" i="120"/>
  <c r="AA36" i="120" s="1"/>
  <c r="AA34" i="76"/>
  <c r="AA36" i="116"/>
  <c r="AA52" i="80"/>
  <c r="AA54" i="119"/>
  <c r="Z54" i="114"/>
  <c r="AB54" i="117"/>
  <c r="Z41" i="113"/>
  <c r="AA41" i="113" s="1"/>
  <c r="AA41" i="119"/>
  <c r="Z41" i="116"/>
  <c r="AB11" i="76"/>
  <c r="AB13" i="117"/>
  <c r="Z13" i="120"/>
  <c r="AA13" i="120" s="1"/>
  <c r="Z26" i="120"/>
  <c r="AA26" i="120" s="1"/>
  <c r="AA24" i="76"/>
  <c r="AA36" i="76"/>
  <c r="AA36" i="80"/>
  <c r="AA38" i="116"/>
  <c r="AA38" i="114"/>
  <c r="Z67" i="114"/>
  <c r="AB65" i="80"/>
  <c r="AB67" i="117"/>
  <c r="AG57" i="115"/>
  <c r="AH57" i="115" s="1"/>
  <c r="AI57" i="115"/>
  <c r="AG37" i="115"/>
  <c r="AH37" i="115" s="1"/>
  <c r="AI37" i="115"/>
  <c r="AG64" i="115"/>
  <c r="AH64" i="115" s="1"/>
  <c r="AI64" i="115"/>
  <c r="AG38" i="115"/>
  <c r="AH38" i="115" s="1"/>
  <c r="AI38" i="115"/>
  <c r="AB31" i="115"/>
  <c r="AL31" i="115" s="1"/>
  <c r="AO31" i="115" s="1"/>
  <c r="X30" i="72" s="1"/>
  <c r="H30" i="100"/>
  <c r="AC31" i="115"/>
  <c r="AE31" i="115" s="1"/>
  <c r="AC72" i="115"/>
  <c r="AE72" i="115" s="1"/>
  <c r="H14" i="100"/>
  <c r="AB15" i="115"/>
  <c r="Y22" i="31"/>
  <c r="Z22" i="31" s="1"/>
  <c r="AB22" i="31" s="1"/>
  <c r="D22" i="100"/>
  <c r="AC38" i="46"/>
  <c r="AC45" i="115"/>
  <c r="AE45" i="115" s="1"/>
  <c r="H72" i="100"/>
  <c r="AB73" i="115"/>
  <c r="AL73" i="115" s="1"/>
  <c r="AO73" i="115" s="1"/>
  <c r="X72" i="72" s="1"/>
  <c r="AC73" i="115"/>
  <c r="AE73" i="115" s="1"/>
  <c r="AB51" i="80"/>
  <c r="AC53" i="117"/>
  <c r="AB51" i="76"/>
  <c r="Z53" i="118"/>
  <c r="AA53" i="118" s="1"/>
  <c r="AA72" i="76"/>
  <c r="AA74" i="116"/>
  <c r="AA47" i="76"/>
  <c r="Z49" i="113"/>
  <c r="Z49" i="116"/>
  <c r="AA16" i="119"/>
  <c r="AB16" i="117"/>
  <c r="Z16" i="113"/>
  <c r="AA16" i="113" s="1"/>
  <c r="AB58" i="80"/>
  <c r="AA60" i="114"/>
  <c r="AC18" i="117"/>
  <c r="Z18" i="120"/>
  <c r="AA18" i="120" s="1"/>
  <c r="AA19" i="80"/>
  <c r="J20" i="100"/>
  <c r="AD21" i="117"/>
  <c r="AN21" i="117" s="1"/>
  <c r="AQ21" i="117" s="1"/>
  <c r="Z20" i="72" s="1"/>
  <c r="AE21" i="117"/>
  <c r="AG21" i="117" s="1"/>
  <c r="G60" i="100"/>
  <c r="AB61" i="114"/>
  <c r="AL61" i="114" s="1"/>
  <c r="AO61" i="114" s="1"/>
  <c r="W60" i="72" s="1"/>
  <c r="M65" i="100"/>
  <c r="AB66" i="120"/>
  <c r="AL66" i="120" s="1"/>
  <c r="AO66" i="120" s="1"/>
  <c r="AC65" i="72" s="1"/>
  <c r="AB64" i="80"/>
  <c r="Z44" i="120"/>
  <c r="AA44" i="120" s="1"/>
  <c r="I43" i="100"/>
  <c r="AB44" i="116"/>
  <c r="AL44" i="116" s="1"/>
  <c r="AO44" i="116" s="1"/>
  <c r="Y43" i="72" s="1"/>
  <c r="Z52" i="119"/>
  <c r="AA52" i="119" s="1"/>
  <c r="Z52" i="120"/>
  <c r="AA52" i="120" s="1"/>
  <c r="AA53" i="80"/>
  <c r="AC55" i="117"/>
  <c r="AA53" i="76"/>
  <c r="Z55" i="113"/>
  <c r="AA55" i="113" s="1"/>
  <c r="O56" i="100"/>
  <c r="AC55" i="80"/>
  <c r="AP55" i="80" s="1"/>
  <c r="AE56" i="72" s="1"/>
  <c r="K33" i="100"/>
  <c r="AB34" i="118"/>
  <c r="AL34" i="118" s="1"/>
  <c r="AO34" i="118" s="1"/>
  <c r="AA33" i="72" s="1"/>
  <c r="AA34" i="113"/>
  <c r="O61" i="100"/>
  <c r="AC60" i="80"/>
  <c r="AP60" i="80" s="1"/>
  <c r="AE61" i="72" s="1"/>
  <c r="AA62" i="119"/>
  <c r="M38" i="100"/>
  <c r="AB39" i="120"/>
  <c r="AL39" i="120" s="1"/>
  <c r="AO39" i="120" s="1"/>
  <c r="AC38" i="72" s="1"/>
  <c r="H61" i="72"/>
  <c r="AJ62" i="115"/>
  <c r="H59" i="72"/>
  <c r="AJ60" i="115"/>
  <c r="AF29" i="46"/>
  <c r="AD30" i="46"/>
  <c r="AC48" i="46" s="1"/>
  <c r="AC53" i="46" s="1"/>
  <c r="S14" i="72" s="1"/>
  <c r="Y19" i="114"/>
  <c r="W19" i="114"/>
  <c r="U19" i="114"/>
  <c r="AA19" i="117"/>
  <c r="Y19" i="117"/>
  <c r="W19" i="117"/>
  <c r="Z17" i="76"/>
  <c r="X17" i="76"/>
  <c r="V17" i="76"/>
  <c r="Y19" i="118"/>
  <c r="W19" i="118"/>
  <c r="U19" i="118"/>
  <c r="Z17" i="80"/>
  <c r="X17" i="80"/>
  <c r="V17" i="80"/>
  <c r="Y12" i="31"/>
  <c r="H33" i="72"/>
  <c r="AJ34" i="115"/>
  <c r="AA10" i="119"/>
  <c r="AB30" i="76"/>
  <c r="K68" i="100"/>
  <c r="AB69" i="118"/>
  <c r="AL69" i="118" s="1"/>
  <c r="AO69" i="118" s="1"/>
  <c r="AA68" i="72" s="1"/>
  <c r="AA69" i="116"/>
  <c r="AA70" i="119"/>
  <c r="F36" i="100"/>
  <c r="AB37" i="113"/>
  <c r="AL37" i="113" s="1"/>
  <c r="AO37" i="113" s="1"/>
  <c r="V36" i="72" s="1"/>
  <c r="AA37" i="119"/>
  <c r="AB25" i="80"/>
  <c r="AB25" i="76"/>
  <c r="K26" i="100"/>
  <c r="AB27" i="118"/>
  <c r="AL27" i="118" s="1"/>
  <c r="AO27" i="118" s="1"/>
  <c r="AA26" i="72" s="1"/>
  <c r="AA27" i="114"/>
  <c r="AA45" i="114"/>
  <c r="AC45" i="117"/>
  <c r="I29" i="100"/>
  <c r="AB30" i="116"/>
  <c r="AL30" i="116" s="1"/>
  <c r="AO30" i="116" s="1"/>
  <c r="Y29" i="72" s="1"/>
  <c r="AA30" i="114"/>
  <c r="K41" i="100"/>
  <c r="AB42" i="118"/>
  <c r="AL42" i="118" s="1"/>
  <c r="AO42" i="118" s="1"/>
  <c r="AA41" i="72" s="1"/>
  <c r="L41" i="100"/>
  <c r="AB42" i="119"/>
  <c r="AL42" i="119" s="1"/>
  <c r="AO42" i="119" s="1"/>
  <c r="AB41" i="72" s="1"/>
  <c r="AC42" i="117"/>
  <c r="O21" i="100"/>
  <c r="AC20" i="80"/>
  <c r="AP20" i="80" s="1"/>
  <c r="AE21" i="72" s="1"/>
  <c r="K21" i="100"/>
  <c r="AB22" i="118"/>
  <c r="AL22" i="118" s="1"/>
  <c r="AO22" i="118" s="1"/>
  <c r="AA21" i="72" s="1"/>
  <c r="G21" i="100"/>
  <c r="AB22" i="114"/>
  <c r="AL22" i="114" s="1"/>
  <c r="AO22" i="114" s="1"/>
  <c r="W21" i="72" s="1"/>
  <c r="AC22" i="117"/>
  <c r="G72" i="100"/>
  <c r="AB73" i="114"/>
  <c r="AL73" i="114" s="1"/>
  <c r="AO73" i="114" s="1"/>
  <c r="W72" i="72" s="1"/>
  <c r="AB50" i="116"/>
  <c r="AL50" i="116" s="1"/>
  <c r="AO50" i="116" s="1"/>
  <c r="Y49" i="72" s="1"/>
  <c r="I49" i="100"/>
  <c r="AC50" i="116"/>
  <c r="AE50" i="116" s="1"/>
  <c r="AA50" i="114"/>
  <c r="L49" i="100"/>
  <c r="AB50" i="119"/>
  <c r="AL50" i="119" s="1"/>
  <c r="AO50" i="119" s="1"/>
  <c r="AB49" i="72" s="1"/>
  <c r="F55" i="100"/>
  <c r="AB56" i="113"/>
  <c r="AL56" i="113" s="1"/>
  <c r="AO56" i="113" s="1"/>
  <c r="V55" i="72" s="1"/>
  <c r="AB29" i="76"/>
  <c r="K30" i="100"/>
  <c r="AB31" i="118"/>
  <c r="AL31" i="118" s="1"/>
  <c r="AO31" i="118" s="1"/>
  <c r="AA30" i="72" s="1"/>
  <c r="AA31" i="114"/>
  <c r="M30" i="100"/>
  <c r="AB31" i="120"/>
  <c r="AL31" i="120" s="1"/>
  <c r="AO31" i="120" s="1"/>
  <c r="AC30" i="72" s="1"/>
  <c r="AA46" i="119"/>
  <c r="M45" i="100"/>
  <c r="AB46" i="120"/>
  <c r="AL46" i="120" s="1"/>
  <c r="AO46" i="120" s="1"/>
  <c r="AC45" i="72" s="1"/>
  <c r="J28" i="100"/>
  <c r="AD29" i="117"/>
  <c r="AN29" i="117" s="1"/>
  <c r="AQ29" i="117" s="1"/>
  <c r="Z28" i="72" s="1"/>
  <c r="AA29" i="114"/>
  <c r="AB23" i="119"/>
  <c r="AL23" i="119" s="1"/>
  <c r="AO23" i="119" s="1"/>
  <c r="AB22" i="72" s="1"/>
  <c r="L22" i="100"/>
  <c r="AC23" i="119"/>
  <c r="AE23" i="119" s="1"/>
  <c r="AB21" i="80"/>
  <c r="Z23" i="118"/>
  <c r="AA23" i="118" s="1"/>
  <c r="O63" i="100"/>
  <c r="AC62" i="80"/>
  <c r="AP62" i="80" s="1"/>
  <c r="AE63" i="72" s="1"/>
  <c r="G63" i="100"/>
  <c r="AB64" i="114"/>
  <c r="AL64" i="114" s="1"/>
  <c r="AO64" i="114" s="1"/>
  <c r="W63" i="72" s="1"/>
  <c r="Z35" i="120"/>
  <c r="AA35" i="120" s="1"/>
  <c r="AA9" i="119"/>
  <c r="AB7" i="80"/>
  <c r="AB9" i="118"/>
  <c r="AL9" i="118" s="1"/>
  <c r="AO9" i="118" s="1"/>
  <c r="AA8" i="72" s="1"/>
  <c r="K8" i="100"/>
  <c r="AC9" i="118"/>
  <c r="AE9" i="118" s="1"/>
  <c r="AB69" i="76"/>
  <c r="K70" i="100"/>
  <c r="AB71" i="118"/>
  <c r="AL71" i="118" s="1"/>
  <c r="AO71" i="118" s="1"/>
  <c r="AA70" i="72" s="1"/>
  <c r="F70" i="100"/>
  <c r="AB71" i="113"/>
  <c r="AL71" i="113" s="1"/>
  <c r="AO71" i="113" s="1"/>
  <c r="V70" i="72" s="1"/>
  <c r="J24" i="100"/>
  <c r="AD25" i="117"/>
  <c r="AN25" i="117" s="1"/>
  <c r="AQ25" i="117" s="1"/>
  <c r="Z24" i="72" s="1"/>
  <c r="AE25" i="117"/>
  <c r="AG25" i="117" s="1"/>
  <c r="AA59" i="119"/>
  <c r="Z59" i="116"/>
  <c r="AA59" i="116" s="1"/>
  <c r="N27" i="100"/>
  <c r="AC26" i="76"/>
  <c r="AP26" i="76" s="1"/>
  <c r="AD27" i="72" s="1"/>
  <c r="AB26" i="80"/>
  <c r="AA65" i="120"/>
  <c r="G64" i="100"/>
  <c r="AB65" i="114"/>
  <c r="AL65" i="114" s="1"/>
  <c r="AO65" i="114" s="1"/>
  <c r="W64" i="72" s="1"/>
  <c r="J64" i="100"/>
  <c r="AD65" i="117"/>
  <c r="AN65" i="117" s="1"/>
  <c r="AQ65" i="117" s="1"/>
  <c r="Z64" i="72" s="1"/>
  <c r="AA36" i="119"/>
  <c r="AC36" i="117"/>
  <c r="F53" i="100"/>
  <c r="AB54" i="113"/>
  <c r="AL54" i="113" s="1"/>
  <c r="AO54" i="113" s="1"/>
  <c r="V53" i="72" s="1"/>
  <c r="N53" i="100"/>
  <c r="AC52" i="76"/>
  <c r="AP52" i="76" s="1"/>
  <c r="AD53" i="72" s="1"/>
  <c r="AA54" i="116"/>
  <c r="O40" i="100"/>
  <c r="AC39" i="80"/>
  <c r="AP39" i="80" s="1"/>
  <c r="AE40" i="72" s="1"/>
  <c r="N40" i="100"/>
  <c r="AC39" i="76"/>
  <c r="AP39" i="76" s="1"/>
  <c r="AD40" i="72" s="1"/>
  <c r="AA41" i="118"/>
  <c r="AA13" i="116"/>
  <c r="AA11" i="80"/>
  <c r="AB11" i="80" s="1"/>
  <c r="AA26" i="116"/>
  <c r="Z26" i="114"/>
  <c r="AA26" i="114" s="1"/>
  <c r="AA26" i="119"/>
  <c r="AB26" i="117"/>
  <c r="AC26" i="117" s="1"/>
  <c r="AA38" i="119"/>
  <c r="AB38" i="117"/>
  <c r="AC38" i="117" s="1"/>
  <c r="AB65" i="76"/>
  <c r="Z67" i="118"/>
  <c r="AA67" i="118" s="1"/>
  <c r="Z67" i="119"/>
  <c r="AA67" i="119" s="1"/>
  <c r="AA67" i="116"/>
  <c r="H9" i="72"/>
  <c r="AJ10" i="115"/>
  <c r="H12" i="72"/>
  <c r="AJ13" i="115"/>
  <c r="H21" i="72"/>
  <c r="AJ22" i="115"/>
  <c r="H29" i="72"/>
  <c r="AJ30" i="115"/>
  <c r="H28" i="72"/>
  <c r="AJ29" i="115"/>
  <c r="H31" i="72"/>
  <c r="AJ32" i="115"/>
  <c r="AC12" i="115"/>
  <c r="AE12" i="115" s="1"/>
  <c r="AL12" i="115"/>
  <c r="AO12" i="115" s="1"/>
  <c r="X11" i="72" s="1"/>
  <c r="AC75" i="115"/>
  <c r="AE75" i="115" s="1"/>
  <c r="H24" i="72"/>
  <c r="AJ25" i="115"/>
  <c r="Y47" i="31"/>
  <c r="Z47" i="31" s="1"/>
  <c r="AB47" i="31" s="1"/>
  <c r="Y39" i="31"/>
  <c r="Z39" i="31" s="1"/>
  <c r="AB39" i="31" s="1"/>
  <c r="AG23" i="115"/>
  <c r="AH23" i="115" s="1"/>
  <c r="AI23" i="115"/>
  <c r="AB19" i="115"/>
  <c r="AL19" i="115" s="1"/>
  <c r="AO19" i="115" s="1"/>
  <c r="X18" i="72" s="1"/>
  <c r="H18" i="100"/>
  <c r="AC19" i="115"/>
  <c r="AE19" i="115" s="1"/>
  <c r="AG11" i="115"/>
  <c r="AH11" i="115" s="1"/>
  <c r="AI11" i="115"/>
  <c r="K73" i="100"/>
  <c r="AB74" i="118"/>
  <c r="AL74" i="118" s="1"/>
  <c r="AO74" i="118" s="1"/>
  <c r="AA73" i="72" s="1"/>
  <c r="AA49" i="119"/>
  <c r="AA49" i="114"/>
  <c r="AC49" i="117"/>
  <c r="AA14" i="76"/>
  <c r="AB14" i="76" s="1"/>
  <c r="AA16" i="116"/>
  <c r="AA14" i="80"/>
  <c r="AB14" i="80" s="1"/>
  <c r="Z16" i="114"/>
  <c r="AA16" i="114" s="1"/>
  <c r="AB58" i="76"/>
  <c r="F59" i="100"/>
  <c r="AB60" i="113"/>
  <c r="AL60" i="113" s="1"/>
  <c r="AO60" i="113" s="1"/>
  <c r="V59" i="72" s="1"/>
  <c r="AB16" i="80"/>
  <c r="K17" i="100"/>
  <c r="AB18" i="118"/>
  <c r="AL18" i="118" s="1"/>
  <c r="AO18" i="118" s="1"/>
  <c r="AA17" i="72" s="1"/>
  <c r="AA21" i="119"/>
  <c r="F60" i="100"/>
  <c r="AB61" i="113"/>
  <c r="AL61" i="113" s="1"/>
  <c r="AO61" i="113" s="1"/>
  <c r="V60" i="72" s="1"/>
  <c r="AB64" i="76"/>
  <c r="F65" i="100"/>
  <c r="AB66" i="113"/>
  <c r="AL66" i="113" s="1"/>
  <c r="AO66" i="113" s="1"/>
  <c r="V65" i="72" s="1"/>
  <c r="AB42" i="80"/>
  <c r="K43" i="100"/>
  <c r="AB44" i="118"/>
  <c r="AL44" i="118" s="1"/>
  <c r="AO44" i="118" s="1"/>
  <c r="AA43" i="72" s="1"/>
  <c r="I51" i="100"/>
  <c r="AB52" i="116"/>
  <c r="AL52" i="116" s="1"/>
  <c r="AO52" i="116" s="1"/>
  <c r="Y51" i="72" s="1"/>
  <c r="AA50" i="80"/>
  <c r="AB50" i="80" s="1"/>
  <c r="AA52" i="114"/>
  <c r="AB55" i="119"/>
  <c r="AL55" i="119" s="1"/>
  <c r="AO55" i="119" s="1"/>
  <c r="AB54" i="72" s="1"/>
  <c r="L54" i="100"/>
  <c r="AC55" i="119"/>
  <c r="AE55" i="119" s="1"/>
  <c r="AB55" i="76"/>
  <c r="AA57" i="118"/>
  <c r="AA57" i="116"/>
  <c r="AA34" i="116"/>
  <c r="AA34" i="119"/>
  <c r="AB60" i="76"/>
  <c r="F61" i="100"/>
  <c r="AB62" i="113"/>
  <c r="AL62" i="113" s="1"/>
  <c r="AO62" i="113" s="1"/>
  <c r="V61" i="72" s="1"/>
  <c r="AB37" i="80"/>
  <c r="AG69" i="115"/>
  <c r="AH69" i="115" s="1"/>
  <c r="AI69" i="115"/>
  <c r="AG56" i="115"/>
  <c r="AH56" i="115" s="1"/>
  <c r="AI56" i="115"/>
  <c r="AG55" i="115"/>
  <c r="AH55" i="115" s="1"/>
  <c r="AI55" i="115"/>
  <c r="AD18" i="46"/>
  <c r="AF17" i="46"/>
  <c r="AG63" i="115"/>
  <c r="AH63" i="115" s="1"/>
  <c r="AI63" i="115"/>
  <c r="AG48" i="115"/>
  <c r="AH48" i="115" s="1"/>
  <c r="AI48" i="115"/>
  <c r="Y11" i="116"/>
  <c r="W11" i="116"/>
  <c r="U11" i="116"/>
  <c r="Y11" i="119"/>
  <c r="W11" i="119"/>
  <c r="U11" i="119"/>
  <c r="Y11" i="118"/>
  <c r="W11" i="118"/>
  <c r="U11" i="118"/>
  <c r="Z9" i="80"/>
  <c r="X9" i="80"/>
  <c r="V9" i="80"/>
  <c r="Y24" i="116"/>
  <c r="W24" i="116"/>
  <c r="U24" i="116"/>
  <c r="Z22" i="76"/>
  <c r="X22" i="76"/>
  <c r="V22" i="76"/>
  <c r="Y24" i="113"/>
  <c r="W24" i="113"/>
  <c r="U24" i="113"/>
  <c r="Y24" i="120"/>
  <c r="W24" i="120"/>
  <c r="U24" i="120"/>
  <c r="Y68" i="114"/>
  <c r="W68" i="114"/>
  <c r="U68" i="114"/>
  <c r="Y68" i="119"/>
  <c r="W68" i="119"/>
  <c r="U68" i="119"/>
  <c r="Z66" i="80"/>
  <c r="X66" i="80"/>
  <c r="V66" i="80"/>
  <c r="Y68" i="116"/>
  <c r="W68" i="116"/>
  <c r="U68" i="116"/>
  <c r="Y68" i="120"/>
  <c r="W68" i="120"/>
  <c r="U68" i="120"/>
  <c r="Y20" i="116"/>
  <c r="W20" i="116"/>
  <c r="U20" i="116"/>
  <c r="Y20" i="114"/>
  <c r="U20" i="114"/>
  <c r="W20" i="114"/>
  <c r="Z20" i="114" s="1"/>
  <c r="Y20" i="118"/>
  <c r="W20" i="118"/>
  <c r="U20" i="118"/>
  <c r="Z18" i="76"/>
  <c r="X18" i="76"/>
  <c r="V18" i="76"/>
  <c r="AA8" i="117"/>
  <c r="Y8" i="117"/>
  <c r="W8" i="117"/>
  <c r="Y8" i="119"/>
  <c r="U8" i="119"/>
  <c r="W8" i="119"/>
  <c r="Z8" i="119" s="1"/>
  <c r="Y8" i="114"/>
  <c r="W8" i="114"/>
  <c r="U8" i="114"/>
  <c r="Y8" i="118"/>
  <c r="W8" i="118"/>
  <c r="U8" i="118"/>
  <c r="Z6" i="80"/>
  <c r="X6" i="80"/>
  <c r="V6" i="80"/>
  <c r="AA43" i="117"/>
  <c r="Y43" i="117"/>
  <c r="W43" i="117"/>
  <c r="Z41" i="80"/>
  <c r="X41" i="80"/>
  <c r="V41" i="80"/>
  <c r="Y43" i="116"/>
  <c r="W43" i="116"/>
  <c r="U43" i="116"/>
  <c r="Y43" i="119"/>
  <c r="W43" i="119"/>
  <c r="U43" i="119"/>
  <c r="Y72" i="114"/>
  <c r="W72" i="114"/>
  <c r="U72" i="114"/>
  <c r="Y72" i="119"/>
  <c r="W72" i="119"/>
  <c r="U72" i="119"/>
  <c r="Z70" i="80"/>
  <c r="X70" i="80"/>
  <c r="V70" i="80"/>
  <c r="Y72" i="116"/>
  <c r="W72" i="116"/>
  <c r="U72" i="116"/>
  <c r="Y72" i="120"/>
  <c r="W72" i="120"/>
  <c r="U72" i="120"/>
  <c r="Y12" i="116"/>
  <c r="W12" i="116"/>
  <c r="U12" i="116"/>
  <c r="Z10" i="76"/>
  <c r="X10" i="76"/>
  <c r="V10" i="76"/>
  <c r="Y12" i="113"/>
  <c r="W12" i="113"/>
  <c r="U12" i="113"/>
  <c r="Y12" i="120"/>
  <c r="W12" i="120"/>
  <c r="U12" i="120"/>
  <c r="Y58" i="114"/>
  <c r="W58" i="114"/>
  <c r="U58" i="114"/>
  <c r="Y58" i="119"/>
  <c r="W58" i="119"/>
  <c r="U58" i="119"/>
  <c r="Z56" i="80"/>
  <c r="X56" i="80"/>
  <c r="V56" i="80"/>
  <c r="Y58" i="116"/>
  <c r="W58" i="116"/>
  <c r="U58" i="116"/>
  <c r="Y58" i="120"/>
  <c r="W58" i="120"/>
  <c r="U58" i="120"/>
  <c r="Y40" i="113"/>
  <c r="W40" i="113"/>
  <c r="U40" i="113"/>
  <c r="Y40" i="120"/>
  <c r="W40" i="120"/>
  <c r="U40" i="120"/>
  <c r="AA40" i="117"/>
  <c r="Y40" i="117"/>
  <c r="W40" i="117"/>
  <c r="Y40" i="119"/>
  <c r="W40" i="119"/>
  <c r="U40" i="119"/>
  <c r="AA14" i="117"/>
  <c r="W14" i="117"/>
  <c r="Y14" i="117"/>
  <c r="AB14" i="117" s="1"/>
  <c r="Y14" i="119"/>
  <c r="U14" i="119"/>
  <c r="W14" i="119"/>
  <c r="Z14" i="119" s="1"/>
  <c r="Y14" i="114"/>
  <c r="W14" i="114"/>
  <c r="U14" i="114"/>
  <c r="Y14" i="118"/>
  <c r="W14" i="118"/>
  <c r="U14" i="118"/>
  <c r="Z12" i="80"/>
  <c r="X12" i="80"/>
  <c r="V12" i="80"/>
  <c r="Y15" i="118"/>
  <c r="W15" i="118"/>
  <c r="U15" i="118"/>
  <c r="Z13" i="80"/>
  <c r="X13" i="80"/>
  <c r="V13" i="80"/>
  <c r="Y15" i="116"/>
  <c r="W15" i="116"/>
  <c r="U15" i="116"/>
  <c r="Y15" i="119"/>
  <c r="W15" i="119"/>
  <c r="U15" i="119"/>
  <c r="Y47" i="116"/>
  <c r="W47" i="116"/>
  <c r="U47" i="116"/>
  <c r="Y47" i="120"/>
  <c r="U47" i="120"/>
  <c r="W47" i="120"/>
  <c r="Z47" i="120" s="1"/>
  <c r="Y47" i="113"/>
  <c r="W47" i="113"/>
  <c r="U47" i="113"/>
  <c r="Y47" i="118"/>
  <c r="W47" i="118"/>
  <c r="U47" i="118"/>
  <c r="Z45" i="76"/>
  <c r="X45" i="76"/>
  <c r="V45" i="76"/>
  <c r="AA63" i="117"/>
  <c r="Y63" i="117"/>
  <c r="W63" i="117"/>
  <c r="Z61" i="80"/>
  <c r="X61" i="80"/>
  <c r="V61" i="80"/>
  <c r="Y63" i="114"/>
  <c r="U63" i="114"/>
  <c r="W63" i="114"/>
  <c r="Z63" i="114" s="1"/>
  <c r="Y63" i="120"/>
  <c r="W63" i="120"/>
  <c r="U63" i="120"/>
  <c r="Y51" i="116"/>
  <c r="W51" i="116"/>
  <c r="U51" i="116"/>
  <c r="Y51" i="120"/>
  <c r="W51" i="120"/>
  <c r="U51" i="120"/>
  <c r="Y51" i="113"/>
  <c r="W51" i="113"/>
  <c r="U51" i="113"/>
  <c r="Y51" i="118"/>
  <c r="W51" i="118"/>
  <c r="U51" i="118"/>
  <c r="Z49" i="76"/>
  <c r="X49" i="76"/>
  <c r="V49" i="76"/>
  <c r="AA48" i="117"/>
  <c r="Y48" i="117"/>
  <c r="W48" i="117"/>
  <c r="Y48" i="119"/>
  <c r="W48" i="119"/>
  <c r="U48" i="119"/>
  <c r="Y48" i="114"/>
  <c r="U48" i="114"/>
  <c r="W48" i="114"/>
  <c r="Z48" i="114" s="1"/>
  <c r="Y48" i="118"/>
  <c r="W48" i="118"/>
  <c r="U48" i="118"/>
  <c r="Z46" i="80"/>
  <c r="X46" i="80"/>
  <c r="V46" i="80"/>
  <c r="AA75" i="117"/>
  <c r="Y75" i="117"/>
  <c r="W75" i="117"/>
  <c r="Z73" i="80"/>
  <c r="X73" i="80"/>
  <c r="V73" i="80"/>
  <c r="Y75" i="114"/>
  <c r="W75" i="114"/>
  <c r="U75" i="114"/>
  <c r="Y75" i="120"/>
  <c r="U75" i="120"/>
  <c r="W75" i="120"/>
  <c r="Z75" i="120" s="1"/>
  <c r="Y33" i="114"/>
  <c r="W33" i="114"/>
  <c r="U33" i="114"/>
  <c r="Y33" i="118"/>
  <c r="W33" i="118"/>
  <c r="U33" i="118"/>
  <c r="Z31" i="76"/>
  <c r="X31" i="76"/>
  <c r="V31" i="76"/>
  <c r="AA33" i="117"/>
  <c r="Y33" i="117"/>
  <c r="W33" i="117"/>
  <c r="Z31" i="80"/>
  <c r="X31" i="80"/>
  <c r="AA31" i="80" s="1"/>
  <c r="V31" i="80"/>
  <c r="H53" i="72"/>
  <c r="AJ54" i="115"/>
  <c r="H35" i="72"/>
  <c r="AJ36" i="115"/>
  <c r="M9" i="100"/>
  <c r="AB10" i="120"/>
  <c r="AL10" i="120" s="1"/>
  <c r="AO10" i="120" s="1"/>
  <c r="AC9" i="72" s="1"/>
  <c r="AC10" i="120"/>
  <c r="AE10" i="120" s="1"/>
  <c r="G31" i="100"/>
  <c r="AB32" i="114"/>
  <c r="AL32" i="114" s="1"/>
  <c r="AO32" i="114" s="1"/>
  <c r="W31" i="72" s="1"/>
  <c r="AA32" i="119"/>
  <c r="G68" i="100"/>
  <c r="AB69" i="114"/>
  <c r="AL69" i="114" s="1"/>
  <c r="AO69" i="114" s="1"/>
  <c r="W68" i="72" s="1"/>
  <c r="AB67" i="80"/>
  <c r="AB15" i="80"/>
  <c r="K16" i="100"/>
  <c r="AB17" i="118"/>
  <c r="AL17" i="118" s="1"/>
  <c r="AO17" i="118" s="1"/>
  <c r="AA16" i="72" s="1"/>
  <c r="AB15" i="76"/>
  <c r="AA17" i="114"/>
  <c r="M69" i="100"/>
  <c r="AB70" i="120"/>
  <c r="AL70" i="120" s="1"/>
  <c r="AO70" i="120" s="1"/>
  <c r="AC69" i="72" s="1"/>
  <c r="AA70" i="116"/>
  <c r="AC37" i="117"/>
  <c r="G36" i="100"/>
  <c r="AB37" i="114"/>
  <c r="AL37" i="114" s="1"/>
  <c r="AO37" i="114" s="1"/>
  <c r="W36" i="72" s="1"/>
  <c r="F26" i="100"/>
  <c r="AB27" i="113"/>
  <c r="AL27" i="113" s="1"/>
  <c r="AO27" i="113" s="1"/>
  <c r="V26" i="72" s="1"/>
  <c r="AA27" i="119"/>
  <c r="AB43" i="76"/>
  <c r="K44" i="100"/>
  <c r="AB45" i="118"/>
  <c r="AL45" i="118" s="1"/>
  <c r="AO45" i="118" s="1"/>
  <c r="AA44" i="72" s="1"/>
  <c r="AA45" i="113"/>
  <c r="M44" i="100"/>
  <c r="AB45" i="120"/>
  <c r="AL45" i="120" s="1"/>
  <c r="AO45" i="120" s="1"/>
  <c r="AC44" i="72" s="1"/>
  <c r="AA45" i="116"/>
  <c r="AC30" i="117"/>
  <c r="M29" i="100"/>
  <c r="AB30" i="120"/>
  <c r="AL30" i="120" s="1"/>
  <c r="AO30" i="120" s="1"/>
  <c r="AC29" i="72" s="1"/>
  <c r="AA42" i="116"/>
  <c r="AB40" i="76"/>
  <c r="F41" i="100"/>
  <c r="AB42" i="113"/>
  <c r="AL42" i="113" s="1"/>
  <c r="AO42" i="113" s="1"/>
  <c r="V41" i="72" s="1"/>
  <c r="W21" i="31"/>
  <c r="X21" i="31"/>
  <c r="U16" i="31"/>
  <c r="U69" i="31" s="1"/>
  <c r="U70" i="31" s="1"/>
  <c r="R69" i="31"/>
  <c r="R70" i="31" s="1"/>
  <c r="W61" i="31"/>
  <c r="Y61" i="31" s="1"/>
  <c r="Z61" i="31" s="1"/>
  <c r="AB61" i="31" s="1"/>
  <c r="X61" i="31"/>
  <c r="T69" i="31"/>
  <c r="T70" i="31" s="1"/>
  <c r="P69" i="31"/>
  <c r="P70" i="31" s="1"/>
  <c r="V16" i="31"/>
  <c r="M21" i="100"/>
  <c r="AB22" i="120"/>
  <c r="AL22" i="120" s="1"/>
  <c r="AO22" i="120" s="1"/>
  <c r="AC21" i="72" s="1"/>
  <c r="AA22" i="116"/>
  <c r="I72" i="100"/>
  <c r="AB73" i="116"/>
  <c r="AL73" i="116" s="1"/>
  <c r="AO73" i="116" s="1"/>
  <c r="Y72" i="72" s="1"/>
  <c r="AB48" i="76"/>
  <c r="AB54" i="76"/>
  <c r="AB54" i="80"/>
  <c r="AA56" i="114"/>
  <c r="AA31" i="116"/>
  <c r="AC31" i="117"/>
  <c r="AA46" i="116"/>
  <c r="F28" i="100"/>
  <c r="AB29" i="113"/>
  <c r="AL29" i="113" s="1"/>
  <c r="AO29" i="113" s="1"/>
  <c r="V28" i="72" s="1"/>
  <c r="AA29" i="119"/>
  <c r="AB21" i="76"/>
  <c r="AA23" i="114"/>
  <c r="M22" i="100"/>
  <c r="AB23" i="120"/>
  <c r="AL23" i="120" s="1"/>
  <c r="AO23" i="120" s="1"/>
  <c r="AC22" i="72" s="1"/>
  <c r="K63" i="100"/>
  <c r="AB64" i="118"/>
  <c r="AL64" i="118" s="1"/>
  <c r="AO64" i="118" s="1"/>
  <c r="AA63" i="72" s="1"/>
  <c r="AC64" i="118"/>
  <c r="AE64" i="118" s="1"/>
  <c r="AC64" i="117"/>
  <c r="AC35" i="117"/>
  <c r="AA35" i="116"/>
  <c r="AC9" i="117"/>
  <c r="G8" i="100"/>
  <c r="AB9" i="114"/>
  <c r="AL9" i="114" s="1"/>
  <c r="AO9" i="114" s="1"/>
  <c r="W8" i="72" s="1"/>
  <c r="F8" i="100"/>
  <c r="AB9" i="113"/>
  <c r="AL9" i="113" s="1"/>
  <c r="AO9" i="113" s="1"/>
  <c r="V8" i="72" s="1"/>
  <c r="G70" i="100"/>
  <c r="AB71" i="114"/>
  <c r="AL71" i="114" s="1"/>
  <c r="AO71" i="114" s="1"/>
  <c r="W70" i="72" s="1"/>
  <c r="AB69" i="80"/>
  <c r="H18" i="130"/>
  <c r="AB25" i="113"/>
  <c r="AL25" i="113" s="1"/>
  <c r="AO25" i="113" s="1"/>
  <c r="V24" i="72" s="1"/>
  <c r="F24" i="100"/>
  <c r="AC25" i="113"/>
  <c r="AE25" i="113" s="1"/>
  <c r="AA25" i="119"/>
  <c r="AB57" i="80"/>
  <c r="AB57" i="76"/>
  <c r="K58" i="100"/>
  <c r="AB59" i="118"/>
  <c r="AL59" i="118" s="1"/>
  <c r="AO59" i="118" s="1"/>
  <c r="AA58" i="72" s="1"/>
  <c r="L27" i="100"/>
  <c r="AB28" i="119"/>
  <c r="AL28" i="119" s="1"/>
  <c r="AO28" i="119" s="1"/>
  <c r="AB27" i="72" s="1"/>
  <c r="M27" i="100"/>
  <c r="AB28" i="120"/>
  <c r="AL28" i="120" s="1"/>
  <c r="AO28" i="120" s="1"/>
  <c r="AC27" i="72" s="1"/>
  <c r="F64" i="100"/>
  <c r="AB65" i="113"/>
  <c r="AL65" i="113" s="1"/>
  <c r="AO65" i="113" s="1"/>
  <c r="V64" i="72" s="1"/>
  <c r="AA65" i="119"/>
  <c r="F35" i="100"/>
  <c r="AB36" i="113"/>
  <c r="AL36" i="113" s="1"/>
  <c r="AO36" i="113" s="1"/>
  <c r="V35" i="72" s="1"/>
  <c r="AB34" i="76"/>
  <c r="AB52" i="80"/>
  <c r="AA54" i="114"/>
  <c r="K53" i="100"/>
  <c r="AB54" i="118"/>
  <c r="AL54" i="118" s="1"/>
  <c r="AO54" i="118" s="1"/>
  <c r="AA53" i="72" s="1"/>
  <c r="AC54" i="117"/>
  <c r="M40" i="100"/>
  <c r="AB41" i="120"/>
  <c r="AL41" i="120" s="1"/>
  <c r="AO41" i="120" s="1"/>
  <c r="AC40" i="72" s="1"/>
  <c r="AA41" i="116"/>
  <c r="AC13" i="117"/>
  <c r="AB13" i="114"/>
  <c r="AL13" i="114" s="1"/>
  <c r="AO13" i="114" s="1"/>
  <c r="W12" i="72" s="1"/>
  <c r="G12" i="100"/>
  <c r="AC13" i="114"/>
  <c r="AE13" i="114" s="1"/>
  <c r="F12" i="100"/>
  <c r="AB13" i="113"/>
  <c r="AL13" i="113" s="1"/>
  <c r="AO13" i="113" s="1"/>
  <c r="V12" i="72" s="1"/>
  <c r="K25" i="100"/>
  <c r="AB26" i="118"/>
  <c r="AL26" i="118" s="1"/>
  <c r="AO26" i="118" s="1"/>
  <c r="AA25" i="72" s="1"/>
  <c r="AB24" i="76"/>
  <c r="F25" i="100"/>
  <c r="AB26" i="113"/>
  <c r="AL26" i="113" s="1"/>
  <c r="AO26" i="113" s="1"/>
  <c r="V25" i="72" s="1"/>
  <c r="AB36" i="76"/>
  <c r="F37" i="100"/>
  <c r="AB38" i="113"/>
  <c r="AL38" i="113" s="1"/>
  <c r="AO38" i="113" s="1"/>
  <c r="V37" i="72" s="1"/>
  <c r="AB36" i="80"/>
  <c r="M66" i="100"/>
  <c r="AB67" i="120"/>
  <c r="AL67" i="120" s="1"/>
  <c r="AO67" i="120" s="1"/>
  <c r="AC66" i="72" s="1"/>
  <c r="AA67" i="114"/>
  <c r="AC67" i="117"/>
  <c r="AG61" i="115"/>
  <c r="AH61" i="115" s="1"/>
  <c r="AI61" i="115"/>
  <c r="AG50" i="115"/>
  <c r="AH50" i="115" s="1"/>
  <c r="AI50" i="115"/>
  <c r="AG27" i="115"/>
  <c r="AH27" i="115" s="1"/>
  <c r="AI27" i="115"/>
  <c r="H8" i="100"/>
  <c r="AB9" i="115"/>
  <c r="AL9" i="115" s="1"/>
  <c r="AO9" i="115" s="1"/>
  <c r="X8" i="72" s="1"/>
  <c r="AC9" i="115"/>
  <c r="AE9" i="115" s="1"/>
  <c r="H43" i="100"/>
  <c r="AB44" i="115"/>
  <c r="AL44" i="115" s="1"/>
  <c r="AO44" i="115" s="1"/>
  <c r="X43" i="72" s="1"/>
  <c r="AG58" i="115"/>
  <c r="AH58" i="115" s="1"/>
  <c r="AI58" i="115"/>
  <c r="AG51" i="115"/>
  <c r="AH51" i="115" s="1"/>
  <c r="AI51" i="115"/>
  <c r="H34" i="72"/>
  <c r="AJ35" i="115"/>
  <c r="H52" i="72"/>
  <c r="AJ53" i="115"/>
  <c r="AI10" i="46"/>
  <c r="H69" i="72"/>
  <c r="AJ70" i="115"/>
  <c r="AG40" i="115"/>
  <c r="AH40" i="115" s="1"/>
  <c r="AI40" i="115"/>
  <c r="F52" i="100"/>
  <c r="AB53" i="113"/>
  <c r="AL53" i="113" s="1"/>
  <c r="AO53" i="113" s="1"/>
  <c r="V52" i="72" s="1"/>
  <c r="AC53" i="113"/>
  <c r="AE53" i="113" s="1"/>
  <c r="AB72" i="76"/>
  <c r="F73" i="100"/>
  <c r="AB74" i="113"/>
  <c r="AL74" i="113" s="1"/>
  <c r="AO74" i="113" s="1"/>
  <c r="V73" i="72" s="1"/>
  <c r="M73" i="100"/>
  <c r="AB74" i="120"/>
  <c r="AL74" i="120" s="1"/>
  <c r="AO74" i="120" s="1"/>
  <c r="AC73" i="72" s="1"/>
  <c r="AB47" i="76"/>
  <c r="K48" i="100"/>
  <c r="AB49" i="118"/>
  <c r="AL49" i="118" s="1"/>
  <c r="AO49" i="118" s="1"/>
  <c r="AA48" i="72" s="1"/>
  <c r="AA49" i="113"/>
  <c r="M48" i="100"/>
  <c r="AB49" i="120"/>
  <c r="AL49" i="120" s="1"/>
  <c r="AO49" i="120" s="1"/>
  <c r="AC48" i="72" s="1"/>
  <c r="AA49" i="116"/>
  <c r="AC16" i="117"/>
  <c r="M15" i="100"/>
  <c r="AB16" i="120"/>
  <c r="AL16" i="120" s="1"/>
  <c r="AO16" i="120" s="1"/>
  <c r="AC15" i="72" s="1"/>
  <c r="M59" i="100"/>
  <c r="AB60" i="120"/>
  <c r="AL60" i="120" s="1"/>
  <c r="AO60" i="120" s="1"/>
  <c r="AC59" i="72" s="1"/>
  <c r="F17" i="100"/>
  <c r="AB18" i="113"/>
  <c r="AL18" i="113" s="1"/>
  <c r="AO18" i="113" s="1"/>
  <c r="V17" i="72" s="1"/>
  <c r="AB19" i="80"/>
  <c r="K20" i="100"/>
  <c r="AB21" i="118"/>
  <c r="AL21" i="118" s="1"/>
  <c r="AO21" i="118" s="1"/>
  <c r="AA20" i="72" s="1"/>
  <c r="N20" i="100"/>
  <c r="AC19" i="76"/>
  <c r="AP19" i="76" s="1"/>
  <c r="AD20" i="72" s="1"/>
  <c r="G20" i="100"/>
  <c r="AB21" i="114"/>
  <c r="AL21" i="114" s="1"/>
  <c r="AO21" i="114" s="1"/>
  <c r="W20" i="72" s="1"/>
  <c r="Z61" i="120"/>
  <c r="AA61" i="120" s="1"/>
  <c r="AA59" i="80"/>
  <c r="AB59" i="80" s="1"/>
  <c r="AC61" i="117"/>
  <c r="AB66" i="116"/>
  <c r="AL66" i="116" s="1"/>
  <c r="AO66" i="116" s="1"/>
  <c r="Y65" i="72" s="1"/>
  <c r="I65" i="100"/>
  <c r="AC66" i="116"/>
  <c r="AE66" i="116" s="1"/>
  <c r="L65" i="100"/>
  <c r="AB66" i="119"/>
  <c r="AL66" i="119" s="1"/>
  <c r="AO66" i="119" s="1"/>
  <c r="AB65" i="72" s="1"/>
  <c r="AA66" i="114"/>
  <c r="F43" i="100"/>
  <c r="AB44" i="113"/>
  <c r="AL44" i="113" s="1"/>
  <c r="AO44" i="113" s="1"/>
  <c r="V43" i="72" s="1"/>
  <c r="N43" i="100"/>
  <c r="AC42" i="76"/>
  <c r="AP42" i="76" s="1"/>
  <c r="AD43" i="72" s="1"/>
  <c r="J51" i="100"/>
  <c r="AD52" i="117"/>
  <c r="AN52" i="117" s="1"/>
  <c r="AQ52" i="117" s="1"/>
  <c r="Z51" i="72" s="1"/>
  <c r="F51" i="100"/>
  <c r="AB52" i="113"/>
  <c r="AL52" i="113" s="1"/>
  <c r="AO52" i="113" s="1"/>
  <c r="V51" i="72" s="1"/>
  <c r="AB53" i="80"/>
  <c r="AB53" i="76"/>
  <c r="AB55" i="118"/>
  <c r="AL55" i="118" s="1"/>
  <c r="AO55" i="118" s="1"/>
  <c r="AA54" i="72" s="1"/>
  <c r="K54" i="100"/>
  <c r="AC55" i="118"/>
  <c r="AE55" i="118" s="1"/>
  <c r="M56" i="100"/>
  <c r="AB57" i="120"/>
  <c r="AL57" i="120" s="1"/>
  <c r="AO57" i="120" s="1"/>
  <c r="AC56" i="72" s="1"/>
  <c r="G56" i="100"/>
  <c r="AB57" i="114"/>
  <c r="AL57" i="114" s="1"/>
  <c r="AO57" i="114" s="1"/>
  <c r="W56" i="72" s="1"/>
  <c r="AC57" i="117"/>
  <c r="Z34" i="120"/>
  <c r="AA34" i="120" s="1"/>
  <c r="AA32" i="76"/>
  <c r="AB32" i="76" s="1"/>
  <c r="AA62" i="120"/>
  <c r="AA62" i="116"/>
  <c r="Z62" i="114"/>
  <c r="AA62" i="114" s="1"/>
  <c r="Z39" i="119"/>
  <c r="AA39" i="119" s="1"/>
  <c r="AA39" i="116"/>
  <c r="AB39" i="117"/>
  <c r="AC39" i="117" s="1"/>
  <c r="AC52" i="115"/>
  <c r="AE52" i="115" s="1"/>
  <c r="H15" i="72"/>
  <c r="AJ16" i="115"/>
  <c r="H65" i="72"/>
  <c r="AJ66" i="115"/>
  <c r="H25" i="72"/>
  <c r="AJ26" i="115"/>
  <c r="AK23" i="46"/>
  <c r="AL23" i="46" s="1"/>
  <c r="AM23" i="46"/>
  <c r="Y57" i="31"/>
  <c r="Z57" i="31" s="1"/>
  <c r="AB57" i="31" s="1"/>
  <c r="Y30" i="31"/>
  <c r="Z30" i="31" s="1"/>
  <c r="AB30" i="31" s="1"/>
  <c r="Y67" i="31"/>
  <c r="Z67" i="31" s="1"/>
  <c r="AB67" i="31" s="1"/>
  <c r="H42" i="72"/>
  <c r="AJ43" i="115"/>
  <c r="H13" i="72"/>
  <c r="AJ14" i="115"/>
  <c r="H32" i="72"/>
  <c r="AJ33" i="115"/>
  <c r="Y19" i="116"/>
  <c r="U19" i="116"/>
  <c r="W19" i="116"/>
  <c r="Z19" i="116" s="1"/>
  <c r="Y19" i="119"/>
  <c r="W19" i="119"/>
  <c r="U19" i="119"/>
  <c r="Y19" i="113"/>
  <c r="U19" i="113"/>
  <c r="W19" i="113"/>
  <c r="Z19" i="113" s="1"/>
  <c r="Y19" i="120"/>
  <c r="W19" i="120"/>
  <c r="U19" i="120"/>
  <c r="Y34" i="31"/>
  <c r="Z34" i="31" s="1"/>
  <c r="AB34" i="31" s="1"/>
  <c r="T76" i="113"/>
  <c r="O73" i="100" l="1"/>
  <c r="AC72" i="80"/>
  <c r="AP72" i="80" s="1"/>
  <c r="AE73" i="72" s="1"/>
  <c r="AB60" i="116"/>
  <c r="AL60" i="116" s="1"/>
  <c r="AO60" i="116" s="1"/>
  <c r="Y59" i="72" s="1"/>
  <c r="I59" i="100"/>
  <c r="AB61" i="119"/>
  <c r="AL61" i="119" s="1"/>
  <c r="AO61" i="119" s="1"/>
  <c r="AB60" i="72" s="1"/>
  <c r="L60" i="100"/>
  <c r="AB21" i="116"/>
  <c r="AL21" i="116" s="1"/>
  <c r="AO21" i="116" s="1"/>
  <c r="Y20" i="72" s="1"/>
  <c r="I20" i="100"/>
  <c r="N17" i="100"/>
  <c r="AC16" i="76"/>
  <c r="AP16" i="76" s="1"/>
  <c r="AD17" i="72" s="1"/>
  <c r="AB13" i="119"/>
  <c r="AL13" i="119" s="1"/>
  <c r="AO13" i="119" s="1"/>
  <c r="AB12" i="72" s="1"/>
  <c r="L12" i="100"/>
  <c r="O35" i="100"/>
  <c r="AC34" i="80"/>
  <c r="AP34" i="80" s="1"/>
  <c r="AE35" i="72" s="1"/>
  <c r="O64" i="100"/>
  <c r="AC63" i="80"/>
  <c r="AP63" i="80" s="1"/>
  <c r="AE64" i="72" s="1"/>
  <c r="G24" i="100"/>
  <c r="AB25" i="114"/>
  <c r="AL25" i="114" s="1"/>
  <c r="AO25" i="114" s="1"/>
  <c r="W24" i="72" s="1"/>
  <c r="L70" i="100"/>
  <c r="AB71" i="119"/>
  <c r="AL71" i="119" s="1"/>
  <c r="AO71" i="119" s="1"/>
  <c r="AB70" i="72" s="1"/>
  <c r="L63" i="100"/>
  <c r="AB64" i="119"/>
  <c r="AL64" i="119" s="1"/>
  <c r="AO64" i="119" s="1"/>
  <c r="AB63" i="72" s="1"/>
  <c r="AB22" i="119"/>
  <c r="AL22" i="119" s="1"/>
  <c r="AO22" i="119" s="1"/>
  <c r="AB21" i="72" s="1"/>
  <c r="L21" i="100"/>
  <c r="AB18" i="119"/>
  <c r="AL18" i="119" s="1"/>
  <c r="AO18" i="119" s="1"/>
  <c r="AB17" i="72" s="1"/>
  <c r="L17" i="100"/>
  <c r="AB21" i="113"/>
  <c r="AL21" i="113" s="1"/>
  <c r="AO21" i="113" s="1"/>
  <c r="V20" i="72" s="1"/>
  <c r="F20" i="100"/>
  <c r="J73" i="100"/>
  <c r="AD74" i="117"/>
  <c r="AN74" i="117" s="1"/>
  <c r="AQ74" i="117" s="1"/>
  <c r="Z73" i="72" s="1"/>
  <c r="AC24" i="80"/>
  <c r="AP24" i="80" s="1"/>
  <c r="AE25" i="72" s="1"/>
  <c r="O25" i="100"/>
  <c r="AB36" i="114"/>
  <c r="AL36" i="114" s="1"/>
  <c r="AO36" i="114" s="1"/>
  <c r="W35" i="72" s="1"/>
  <c r="G35" i="100"/>
  <c r="AB28" i="116"/>
  <c r="AL28" i="116" s="1"/>
  <c r="AO28" i="116" s="1"/>
  <c r="Y27" i="72" s="1"/>
  <c r="I27" i="100"/>
  <c r="AB59" i="114"/>
  <c r="AL59" i="114" s="1"/>
  <c r="AO59" i="114" s="1"/>
  <c r="W58" i="72" s="1"/>
  <c r="G58" i="100"/>
  <c r="AC23" i="76"/>
  <c r="AP23" i="76" s="1"/>
  <c r="AD24" i="72" s="1"/>
  <c r="N24" i="100"/>
  <c r="AC23" i="80"/>
  <c r="AP23" i="80" s="1"/>
  <c r="AE24" i="72" s="1"/>
  <c r="O24" i="100"/>
  <c r="I22" i="100"/>
  <c r="AB23" i="116"/>
  <c r="AL23" i="116" s="1"/>
  <c r="AO23" i="116" s="1"/>
  <c r="Y22" i="72" s="1"/>
  <c r="AC27" i="76"/>
  <c r="AP27" i="76" s="1"/>
  <c r="AD28" i="72" s="1"/>
  <c r="N28" i="100"/>
  <c r="AC71" i="80"/>
  <c r="AP71" i="80" s="1"/>
  <c r="AE72" i="72" s="1"/>
  <c r="O72" i="100"/>
  <c r="AB73" i="120"/>
  <c r="AL73" i="120" s="1"/>
  <c r="AO73" i="120" s="1"/>
  <c r="AC72" i="72" s="1"/>
  <c r="M72" i="100"/>
  <c r="O29" i="100"/>
  <c r="AC28" i="80"/>
  <c r="AP28" i="80" s="1"/>
  <c r="AE29" i="72" s="1"/>
  <c r="AC36" i="113"/>
  <c r="AE36" i="113" s="1"/>
  <c r="AC65" i="113"/>
  <c r="AE65" i="113" s="1"/>
  <c r="AA31" i="76"/>
  <c r="Z33" i="114"/>
  <c r="AA75" i="120"/>
  <c r="Z75" i="114"/>
  <c r="AB75" i="117"/>
  <c r="Z48" i="118"/>
  <c r="AA48" i="118" s="1"/>
  <c r="Z48" i="119"/>
  <c r="AA49" i="76"/>
  <c r="Z51" i="113"/>
  <c r="Z51" i="116"/>
  <c r="AB63" i="117"/>
  <c r="Z47" i="118"/>
  <c r="AA47" i="120"/>
  <c r="Z15" i="119"/>
  <c r="AA15" i="119" s="1"/>
  <c r="AA13" i="80"/>
  <c r="AA12" i="80"/>
  <c r="Z14" i="114"/>
  <c r="AB40" i="117"/>
  <c r="Z40" i="113"/>
  <c r="Z58" i="116"/>
  <c r="Z58" i="119"/>
  <c r="Z12" i="120"/>
  <c r="AA12" i="120" s="1"/>
  <c r="AA10" i="76"/>
  <c r="Z72" i="120"/>
  <c r="AA46" i="76"/>
  <c r="AB46" i="76" s="1"/>
  <c r="AA48" i="116"/>
  <c r="Z51" i="119"/>
  <c r="AA51" i="119" s="1"/>
  <c r="AA49" i="80"/>
  <c r="AB49" i="80" s="1"/>
  <c r="AA61" i="76"/>
  <c r="AB61" i="76" s="1"/>
  <c r="AA12" i="76"/>
  <c r="AB12" i="76" s="1"/>
  <c r="AA38" i="76"/>
  <c r="AB38" i="76" s="1"/>
  <c r="Z40" i="114"/>
  <c r="AB58" i="117"/>
  <c r="Z58" i="113"/>
  <c r="AA58" i="113" s="1"/>
  <c r="Z12" i="118"/>
  <c r="AA12" i="118" s="1"/>
  <c r="Z12" i="119"/>
  <c r="Z72" i="118"/>
  <c r="AC72" i="117"/>
  <c r="AA70" i="76"/>
  <c r="AA41" i="76"/>
  <c r="J15" i="130"/>
  <c r="J16" i="130"/>
  <c r="J17" i="130"/>
  <c r="J11" i="130"/>
  <c r="AB44" i="114"/>
  <c r="AL44" i="114" s="1"/>
  <c r="AO44" i="114" s="1"/>
  <c r="W43" i="72" s="1"/>
  <c r="AC44" i="114"/>
  <c r="AE44" i="114" s="1"/>
  <c r="G43" i="100"/>
  <c r="J43" i="100"/>
  <c r="AD44" i="117"/>
  <c r="AN44" i="117" s="1"/>
  <c r="AQ44" i="117" s="1"/>
  <c r="Z43" i="72" s="1"/>
  <c r="AB53" i="119"/>
  <c r="AL53" i="119" s="1"/>
  <c r="AO53" i="119" s="1"/>
  <c r="AB52" i="72" s="1"/>
  <c r="L52" i="100"/>
  <c r="Z43" i="114"/>
  <c r="Z43" i="113"/>
  <c r="AA43" i="113" s="1"/>
  <c r="AA8" i="120"/>
  <c r="Z8" i="113"/>
  <c r="AB6" i="76"/>
  <c r="Z8" i="116"/>
  <c r="AB18" i="80"/>
  <c r="Z20" i="120"/>
  <c r="Z20" i="119"/>
  <c r="AC20" i="117"/>
  <c r="Z68" i="118"/>
  <c r="AA66" i="76"/>
  <c r="AA22" i="80"/>
  <c r="AB24" i="117"/>
  <c r="AC13" i="118"/>
  <c r="AE13" i="118" s="1"/>
  <c r="AC64" i="116"/>
  <c r="AE64" i="116" s="1"/>
  <c r="AA8" i="116"/>
  <c r="AB66" i="76"/>
  <c r="AC24" i="117"/>
  <c r="AE52" i="117"/>
  <c r="AG52" i="117" s="1"/>
  <c r="AA72" i="120"/>
  <c r="AA70" i="80"/>
  <c r="Z72" i="114"/>
  <c r="Z43" i="116"/>
  <c r="AB43" i="117"/>
  <c r="AC43" i="117" s="1"/>
  <c r="Z8" i="118"/>
  <c r="AA24" i="118"/>
  <c r="AC18" i="119"/>
  <c r="AE18" i="119" s="1"/>
  <c r="AC42" i="113"/>
  <c r="AE42" i="113" s="1"/>
  <c r="AC37" i="114"/>
  <c r="AE37" i="114" s="1"/>
  <c r="AA47" i="118"/>
  <c r="AA18" i="76"/>
  <c r="AA20" i="114"/>
  <c r="Z68" i="120"/>
  <c r="AA68" i="120" s="1"/>
  <c r="AC50" i="119"/>
  <c r="AE50" i="119" s="1"/>
  <c r="AC22" i="118"/>
  <c r="AE22" i="118" s="1"/>
  <c r="AC42" i="119"/>
  <c r="AE42" i="119" s="1"/>
  <c r="AC39" i="120"/>
  <c r="AE39" i="120" s="1"/>
  <c r="AC70" i="114"/>
  <c r="AE70" i="114" s="1"/>
  <c r="AA48" i="113"/>
  <c r="AA47" i="119"/>
  <c r="AC52" i="118"/>
  <c r="AE52" i="118" s="1"/>
  <c r="AC54" i="113"/>
  <c r="AE54" i="113" s="1"/>
  <c r="AC17" i="120"/>
  <c r="AE17" i="120" s="1"/>
  <c r="AA19" i="113"/>
  <c r="AC16" i="120"/>
  <c r="AE16" i="120" s="1"/>
  <c r="AG16" i="120" s="1"/>
  <c r="AH16" i="120" s="1"/>
  <c r="AC13" i="113"/>
  <c r="AE13" i="113" s="1"/>
  <c r="AC41" i="120"/>
  <c r="AE41" i="120" s="1"/>
  <c r="AI41" i="120" s="1"/>
  <c r="AC54" i="118"/>
  <c r="AE54" i="118" s="1"/>
  <c r="AC74" i="118"/>
  <c r="AE74" i="118" s="1"/>
  <c r="AI74" i="118" s="1"/>
  <c r="AC34" i="118"/>
  <c r="AE34" i="118" s="1"/>
  <c r="AA72" i="118"/>
  <c r="AC68" i="117"/>
  <c r="Z11" i="113"/>
  <c r="AC53" i="116"/>
  <c r="AE53" i="116" s="1"/>
  <c r="AC67" i="113"/>
  <c r="AE67" i="113" s="1"/>
  <c r="AI67" i="113" s="1"/>
  <c r="AD23" i="80"/>
  <c r="AF23" i="80" s="1"/>
  <c r="AC35" i="113"/>
  <c r="AE35" i="113" s="1"/>
  <c r="AI35" i="113" s="1"/>
  <c r="AC23" i="116"/>
  <c r="AE23" i="116" s="1"/>
  <c r="AD27" i="76"/>
  <c r="AF27" i="76" s="1"/>
  <c r="AJ27" i="76" s="1"/>
  <c r="L59" i="100"/>
  <c r="AB60" i="119"/>
  <c r="AL60" i="119" s="1"/>
  <c r="AO60" i="119" s="1"/>
  <c r="AB59" i="72" s="1"/>
  <c r="AC44" i="113"/>
  <c r="AE44" i="113" s="1"/>
  <c r="AC66" i="119"/>
  <c r="AE66" i="119" s="1"/>
  <c r="AF66" i="119" s="1"/>
  <c r="AG66" i="119" s="1"/>
  <c r="AH66" i="119" s="1"/>
  <c r="AC60" i="116"/>
  <c r="AE60" i="116" s="1"/>
  <c r="AC74" i="113"/>
  <c r="AE74" i="113" s="1"/>
  <c r="AI74" i="113" s="1"/>
  <c r="AC45" i="120"/>
  <c r="AE45" i="120" s="1"/>
  <c r="AC45" i="118"/>
  <c r="AE45" i="118" s="1"/>
  <c r="AG45" i="118" s="1"/>
  <c r="AH45" i="118" s="1"/>
  <c r="AC17" i="118"/>
  <c r="AE17" i="118" s="1"/>
  <c r="AA51" i="113"/>
  <c r="F50" i="100" s="1"/>
  <c r="AA63" i="114"/>
  <c r="AA40" i="113"/>
  <c r="F39" i="100" s="1"/>
  <c r="AA8" i="118"/>
  <c r="AA66" i="80"/>
  <c r="AB66" i="80" s="1"/>
  <c r="Z68" i="114"/>
  <c r="Z24" i="113"/>
  <c r="AA24" i="113" s="1"/>
  <c r="F23" i="100" s="1"/>
  <c r="Z24" i="116"/>
  <c r="Z11" i="118"/>
  <c r="AA11" i="118" s="1"/>
  <c r="K10" i="100" s="1"/>
  <c r="Z11" i="116"/>
  <c r="AC44" i="118"/>
  <c r="AE44" i="118" s="1"/>
  <c r="AG44" i="118" s="1"/>
  <c r="AH44" i="118" s="1"/>
  <c r="AC66" i="113"/>
  <c r="AE66" i="113" s="1"/>
  <c r="AC61" i="119"/>
  <c r="AE61" i="119" s="1"/>
  <c r="AF61" i="119" s="1"/>
  <c r="AG61" i="119" s="1"/>
  <c r="AH61" i="119" s="1"/>
  <c r="AC65" i="114"/>
  <c r="AE65" i="114" s="1"/>
  <c r="AC71" i="118"/>
  <c r="AE71" i="118" s="1"/>
  <c r="AG71" i="118" s="1"/>
  <c r="AH71" i="118" s="1"/>
  <c r="AC64" i="114"/>
  <c r="AE64" i="114" s="1"/>
  <c r="AC42" i="118"/>
  <c r="AE42" i="118" s="1"/>
  <c r="AG42" i="118" s="1"/>
  <c r="AH42" i="118" s="1"/>
  <c r="AC30" i="116"/>
  <c r="AE30" i="116" s="1"/>
  <c r="AC27" i="118"/>
  <c r="AE27" i="118" s="1"/>
  <c r="AI27" i="118" s="1"/>
  <c r="AC37" i="113"/>
  <c r="AE37" i="113" s="1"/>
  <c r="Z19" i="118"/>
  <c r="AA19" i="118" s="1"/>
  <c r="K18" i="100" s="1"/>
  <c r="AB19" i="117"/>
  <c r="AC19" i="117" s="1"/>
  <c r="AA9" i="76"/>
  <c r="AB9" i="76" s="1"/>
  <c r="Z11" i="114"/>
  <c r="AC55" i="116"/>
  <c r="AE55" i="116" s="1"/>
  <c r="AI55" i="116" s="1"/>
  <c r="AD50" i="76"/>
  <c r="AF50" i="76" s="1"/>
  <c r="AC57" i="114"/>
  <c r="AE57" i="114" s="1"/>
  <c r="AG57" i="114" s="1"/>
  <c r="AH57" i="114" s="1"/>
  <c r="AD19" i="76"/>
  <c r="AF19" i="76" s="1"/>
  <c r="AC28" i="119"/>
  <c r="AE28" i="119" s="1"/>
  <c r="AI28" i="119" s="1"/>
  <c r="AC9" i="113"/>
  <c r="AE9" i="113" s="1"/>
  <c r="AC21" i="113"/>
  <c r="AE21" i="113" s="1"/>
  <c r="AG21" i="113" s="1"/>
  <c r="AH21" i="113" s="1"/>
  <c r="AC60" i="113"/>
  <c r="AE60" i="113" s="1"/>
  <c r="AC53" i="119"/>
  <c r="AE53" i="119" s="1"/>
  <c r="AI53" i="119" s="1"/>
  <c r="AD39" i="76"/>
  <c r="AF39" i="76" s="1"/>
  <c r="AE29" i="117"/>
  <c r="AG29" i="117" s="1"/>
  <c r="AK29" i="117" s="1"/>
  <c r="AC44" i="116"/>
  <c r="AE44" i="116" s="1"/>
  <c r="AA8" i="113"/>
  <c r="AD59" i="76"/>
  <c r="AF59" i="76" s="1"/>
  <c r="AH59" i="76" s="1"/>
  <c r="AI59" i="76" s="1"/>
  <c r="AD47" i="80"/>
  <c r="AF47" i="80" s="1"/>
  <c r="AC74" i="119"/>
  <c r="AE74" i="119" s="1"/>
  <c r="AI74" i="119" s="1"/>
  <c r="AC38" i="120"/>
  <c r="AE38" i="120" s="1"/>
  <c r="AC13" i="119"/>
  <c r="AE13" i="119" s="1"/>
  <c r="AI13" i="119" s="1"/>
  <c r="AD63" i="80"/>
  <c r="AF63" i="80" s="1"/>
  <c r="AC28" i="118"/>
  <c r="AE28" i="118" s="1"/>
  <c r="AG28" i="118" s="1"/>
  <c r="AH28" i="118" s="1"/>
  <c r="AC64" i="119"/>
  <c r="AE64" i="119" s="1"/>
  <c r="AC64" i="120"/>
  <c r="AE64" i="120" s="1"/>
  <c r="AC73" i="120"/>
  <c r="AE73" i="120" s="1"/>
  <c r="AD28" i="80"/>
  <c r="AF28" i="80" s="1"/>
  <c r="G61" i="100"/>
  <c r="AB62" i="114"/>
  <c r="AL62" i="114" s="1"/>
  <c r="AO62" i="114" s="1"/>
  <c r="W61" i="72" s="1"/>
  <c r="O60" i="100"/>
  <c r="AC59" i="80"/>
  <c r="AP59" i="80" s="1"/>
  <c r="AE60" i="72" s="1"/>
  <c r="O51" i="100"/>
  <c r="AC50" i="80"/>
  <c r="AP50" i="80" s="1"/>
  <c r="AE51" i="72" s="1"/>
  <c r="G15" i="100"/>
  <c r="AB16" i="114"/>
  <c r="AL16" i="114" s="1"/>
  <c r="AO16" i="114" s="1"/>
  <c r="W15" i="72" s="1"/>
  <c r="AB67" i="119"/>
  <c r="AL67" i="119" s="1"/>
  <c r="AO67" i="119" s="1"/>
  <c r="AB66" i="72" s="1"/>
  <c r="L66" i="100"/>
  <c r="AC67" i="119"/>
  <c r="AE67" i="119" s="1"/>
  <c r="I58" i="100"/>
  <c r="AB59" i="116"/>
  <c r="AL59" i="116" s="1"/>
  <c r="AO59" i="116" s="1"/>
  <c r="Y58" i="72" s="1"/>
  <c r="AD39" i="117"/>
  <c r="AN39" i="117" s="1"/>
  <c r="AQ39" i="117" s="1"/>
  <c r="Z38" i="72" s="1"/>
  <c r="J38" i="100"/>
  <c r="AE39" i="117"/>
  <c r="AG39" i="117" s="1"/>
  <c r="N33" i="100"/>
  <c r="AC32" i="76"/>
  <c r="AP32" i="76" s="1"/>
  <c r="AD33" i="72" s="1"/>
  <c r="O15" i="100"/>
  <c r="AC14" i="80"/>
  <c r="AP14" i="80" s="1"/>
  <c r="AE15" i="72" s="1"/>
  <c r="N15" i="100"/>
  <c r="AC14" i="76"/>
  <c r="AP14" i="76" s="1"/>
  <c r="AD15" i="72" s="1"/>
  <c r="J37" i="100"/>
  <c r="AD38" i="117"/>
  <c r="AN38" i="117" s="1"/>
  <c r="AQ38" i="117" s="1"/>
  <c r="Z37" i="72" s="1"/>
  <c r="AB26" i="114"/>
  <c r="AL26" i="114" s="1"/>
  <c r="AO26" i="114" s="1"/>
  <c r="W25" i="72" s="1"/>
  <c r="G25" i="100"/>
  <c r="AC26" i="114"/>
  <c r="AE26" i="114" s="1"/>
  <c r="O12" i="100"/>
  <c r="AC11" i="80"/>
  <c r="AP11" i="80" s="1"/>
  <c r="AE12" i="72" s="1"/>
  <c r="I16" i="100"/>
  <c r="AB17" i="116"/>
  <c r="AL17" i="116" s="1"/>
  <c r="AO17" i="116" s="1"/>
  <c r="Y16" i="72" s="1"/>
  <c r="N68" i="100"/>
  <c r="AC67" i="76"/>
  <c r="AP67" i="76" s="1"/>
  <c r="AD68" i="72" s="1"/>
  <c r="Z19" i="120"/>
  <c r="AA19" i="120" s="1"/>
  <c r="Z19" i="119"/>
  <c r="AA19" i="119" s="1"/>
  <c r="AA19" i="116"/>
  <c r="D44" i="72"/>
  <c r="AN23" i="46"/>
  <c r="L38" i="100"/>
  <c r="AB39" i="119"/>
  <c r="AL39" i="119" s="1"/>
  <c r="AO39" i="119" s="1"/>
  <c r="AB38" i="72" s="1"/>
  <c r="I61" i="100"/>
  <c r="AB62" i="116"/>
  <c r="AL62" i="116" s="1"/>
  <c r="AO62" i="116" s="1"/>
  <c r="Y61" i="72" s="1"/>
  <c r="AD57" i="117"/>
  <c r="AN57" i="117" s="1"/>
  <c r="AQ57" i="117" s="1"/>
  <c r="Z56" i="72" s="1"/>
  <c r="J56" i="100"/>
  <c r="AE57" i="117"/>
  <c r="AG57" i="117" s="1"/>
  <c r="AC57" i="120"/>
  <c r="AE57" i="120" s="1"/>
  <c r="N54" i="100"/>
  <c r="AC53" i="76"/>
  <c r="AP53" i="76" s="1"/>
  <c r="AD54" i="72" s="1"/>
  <c r="AC52" i="113"/>
  <c r="AE52" i="113" s="1"/>
  <c r="AD42" i="76"/>
  <c r="AF42" i="76" s="1"/>
  <c r="G65" i="100"/>
  <c r="AB66" i="114"/>
  <c r="AL66" i="114" s="1"/>
  <c r="AO66" i="114" s="1"/>
  <c r="W65" i="72" s="1"/>
  <c r="AG66" i="116"/>
  <c r="AH66" i="116" s="1"/>
  <c r="AI66" i="116"/>
  <c r="AC21" i="114"/>
  <c r="AE21" i="114" s="1"/>
  <c r="AC21" i="118"/>
  <c r="AE21" i="118" s="1"/>
  <c r="AC18" i="113"/>
  <c r="AE18" i="113" s="1"/>
  <c r="AC60" i="119"/>
  <c r="AE60" i="119" s="1"/>
  <c r="AC60" i="120"/>
  <c r="AE60" i="120" s="1"/>
  <c r="AD16" i="117"/>
  <c r="AN16" i="117" s="1"/>
  <c r="AQ16" i="117" s="1"/>
  <c r="Z15" i="72" s="1"/>
  <c r="J15" i="100"/>
  <c r="AE16" i="117"/>
  <c r="AG16" i="117" s="1"/>
  <c r="AC49" i="120"/>
  <c r="AE49" i="120" s="1"/>
  <c r="AC49" i="118"/>
  <c r="AE49" i="118" s="1"/>
  <c r="AC74" i="120"/>
  <c r="AE74" i="120" s="1"/>
  <c r="N73" i="100"/>
  <c r="AC72" i="76"/>
  <c r="AP72" i="76" s="1"/>
  <c r="AD73" i="72" s="1"/>
  <c r="AC44" i="115"/>
  <c r="AE44" i="115" s="1"/>
  <c r="AD67" i="117"/>
  <c r="AN67" i="117" s="1"/>
  <c r="AQ67" i="117" s="1"/>
  <c r="Z66" i="72" s="1"/>
  <c r="J66" i="100"/>
  <c r="AE67" i="117"/>
  <c r="AG67" i="117" s="1"/>
  <c r="AC67" i="120"/>
  <c r="AE67" i="120" s="1"/>
  <c r="AC38" i="113"/>
  <c r="AE38" i="113" s="1"/>
  <c r="AC26" i="113"/>
  <c r="AE26" i="113" s="1"/>
  <c r="AC26" i="118"/>
  <c r="AE26" i="118" s="1"/>
  <c r="AG13" i="114"/>
  <c r="AH13" i="114" s="1"/>
  <c r="AI13" i="114"/>
  <c r="I40" i="100"/>
  <c r="AB41" i="116"/>
  <c r="AL41" i="116" s="1"/>
  <c r="AO41" i="116" s="1"/>
  <c r="Y40" i="72" s="1"/>
  <c r="J53" i="100"/>
  <c r="AD54" i="117"/>
  <c r="AN54" i="117" s="1"/>
  <c r="AQ54" i="117" s="1"/>
  <c r="Z53" i="72" s="1"/>
  <c r="G53" i="100"/>
  <c r="AB54" i="114"/>
  <c r="AL54" i="114" s="1"/>
  <c r="AO54" i="114" s="1"/>
  <c r="W53" i="72" s="1"/>
  <c r="N35" i="100"/>
  <c r="AC34" i="76"/>
  <c r="AP34" i="76" s="1"/>
  <c r="AD35" i="72" s="1"/>
  <c r="L64" i="100"/>
  <c r="AB65" i="119"/>
  <c r="AL65" i="119" s="1"/>
  <c r="AO65" i="119" s="1"/>
  <c r="AB64" i="72" s="1"/>
  <c r="AC28" i="120"/>
  <c r="AE28" i="120" s="1"/>
  <c r="AC59" i="118"/>
  <c r="AE59" i="118" s="1"/>
  <c r="O58" i="100"/>
  <c r="AC57" i="80"/>
  <c r="AP57" i="80" s="1"/>
  <c r="AE58" i="72" s="1"/>
  <c r="AG25" i="113"/>
  <c r="AH25" i="113" s="1"/>
  <c r="AI25" i="113"/>
  <c r="H22" i="130"/>
  <c r="E64" i="81"/>
  <c r="AC71" i="114"/>
  <c r="AE71" i="114" s="1"/>
  <c r="AC9" i="114"/>
  <c r="AE9" i="114" s="1"/>
  <c r="I34" i="100"/>
  <c r="AB35" i="116"/>
  <c r="AL35" i="116" s="1"/>
  <c r="AO35" i="116" s="1"/>
  <c r="Y34" i="72" s="1"/>
  <c r="J63" i="100"/>
  <c r="AD64" i="117"/>
  <c r="AN64" i="117" s="1"/>
  <c r="AQ64" i="117" s="1"/>
  <c r="Z63" i="72" s="1"/>
  <c r="AC23" i="120"/>
  <c r="AE23" i="120" s="1"/>
  <c r="N22" i="100"/>
  <c r="AC21" i="76"/>
  <c r="AP21" i="76" s="1"/>
  <c r="AD22" i="72" s="1"/>
  <c r="AC29" i="113"/>
  <c r="AE29" i="113" s="1"/>
  <c r="J30" i="100"/>
  <c r="AD31" i="117"/>
  <c r="AN31" i="117" s="1"/>
  <c r="AQ31" i="117" s="1"/>
  <c r="Z30" i="72" s="1"/>
  <c r="G55" i="100"/>
  <c r="AB56" i="114"/>
  <c r="AL56" i="114" s="1"/>
  <c r="AO56" i="114" s="1"/>
  <c r="W55" i="72" s="1"/>
  <c r="N55" i="100"/>
  <c r="AC54" i="76"/>
  <c r="AP54" i="76" s="1"/>
  <c r="AD55" i="72" s="1"/>
  <c r="AC73" i="116"/>
  <c r="AE73" i="116" s="1"/>
  <c r="AC22" i="120"/>
  <c r="AE22" i="120" s="1"/>
  <c r="AG42" i="113"/>
  <c r="AH42" i="113" s="1"/>
  <c r="AI42" i="113"/>
  <c r="AB42" i="116"/>
  <c r="AL42" i="116" s="1"/>
  <c r="AO42" i="116" s="1"/>
  <c r="Y41" i="72" s="1"/>
  <c r="I41" i="100"/>
  <c r="AC42" i="116"/>
  <c r="AE42" i="116" s="1"/>
  <c r="J29" i="100"/>
  <c r="AD30" i="117"/>
  <c r="AN30" i="117" s="1"/>
  <c r="AQ30" i="117" s="1"/>
  <c r="Z29" i="72" s="1"/>
  <c r="AG45" i="120"/>
  <c r="AH45" i="120" s="1"/>
  <c r="AI45" i="120"/>
  <c r="AI45" i="118"/>
  <c r="AB27" i="119"/>
  <c r="AL27" i="119" s="1"/>
  <c r="AO27" i="119" s="1"/>
  <c r="AB26" i="72" s="1"/>
  <c r="L26" i="100"/>
  <c r="AC27" i="119"/>
  <c r="AE27" i="119" s="1"/>
  <c r="AG37" i="114"/>
  <c r="AH37" i="114" s="1"/>
  <c r="AI37" i="114"/>
  <c r="AB70" i="116"/>
  <c r="AL70" i="116" s="1"/>
  <c r="AO70" i="116" s="1"/>
  <c r="Y69" i="72" s="1"/>
  <c r="I69" i="100"/>
  <c r="AC70" i="116"/>
  <c r="AE70" i="116" s="1"/>
  <c r="G16" i="100"/>
  <c r="AB17" i="114"/>
  <c r="AL17" i="114" s="1"/>
  <c r="AO17" i="114" s="1"/>
  <c r="W16" i="72" s="1"/>
  <c r="AG17" i="118"/>
  <c r="AH17" i="118" s="1"/>
  <c r="AI17" i="118"/>
  <c r="O68" i="100"/>
  <c r="AC67" i="80"/>
  <c r="AP67" i="80" s="1"/>
  <c r="AE68" i="72" s="1"/>
  <c r="L31" i="100"/>
  <c r="AB32" i="119"/>
  <c r="AL32" i="119" s="1"/>
  <c r="AO32" i="119" s="1"/>
  <c r="AB31" i="72" s="1"/>
  <c r="AG10" i="120"/>
  <c r="AH10" i="120" s="1"/>
  <c r="AI10" i="120"/>
  <c r="AB75" i="120"/>
  <c r="AL75" i="120" s="1"/>
  <c r="AO75" i="120" s="1"/>
  <c r="AC74" i="72" s="1"/>
  <c r="M74" i="100"/>
  <c r="AC75" i="120"/>
  <c r="AE75" i="120" s="1"/>
  <c r="K47" i="100"/>
  <c r="AB48" i="118"/>
  <c r="AL48" i="118" s="1"/>
  <c r="AO48" i="118" s="1"/>
  <c r="AA47" i="72" s="1"/>
  <c r="AB51" i="113"/>
  <c r="AL51" i="113" s="1"/>
  <c r="AO51" i="113" s="1"/>
  <c r="V50" i="72" s="1"/>
  <c r="G62" i="100"/>
  <c r="AB63" i="114"/>
  <c r="AL63" i="114" s="1"/>
  <c r="AO63" i="114" s="1"/>
  <c r="W62" i="72" s="1"/>
  <c r="K46" i="100"/>
  <c r="AB47" i="118"/>
  <c r="AL47" i="118" s="1"/>
  <c r="AO47" i="118" s="1"/>
  <c r="AA46" i="72" s="1"/>
  <c r="M46" i="100"/>
  <c r="AB47" i="120"/>
  <c r="AL47" i="120" s="1"/>
  <c r="AO47" i="120" s="1"/>
  <c r="AC46" i="72" s="1"/>
  <c r="L14" i="100"/>
  <c r="AB15" i="119"/>
  <c r="AL15" i="119" s="1"/>
  <c r="AO15" i="119" s="1"/>
  <c r="AB14" i="72" s="1"/>
  <c r="AB40" i="113"/>
  <c r="AL40" i="113" s="1"/>
  <c r="AO40" i="113" s="1"/>
  <c r="V39" i="72" s="1"/>
  <c r="AC40" i="113"/>
  <c r="AE40" i="113" s="1"/>
  <c r="M11" i="100"/>
  <c r="AB12" i="120"/>
  <c r="AL12" i="120" s="1"/>
  <c r="AO12" i="120" s="1"/>
  <c r="AC11" i="72" s="1"/>
  <c r="M71" i="100"/>
  <c r="AB72" i="120"/>
  <c r="AL72" i="120" s="1"/>
  <c r="AO72" i="120" s="1"/>
  <c r="AC71" i="72" s="1"/>
  <c r="J42" i="100"/>
  <c r="AD43" i="117"/>
  <c r="AN43" i="117" s="1"/>
  <c r="AQ43" i="117" s="1"/>
  <c r="Z42" i="72" s="1"/>
  <c r="K7" i="100"/>
  <c r="AB8" i="118"/>
  <c r="AL8" i="118" s="1"/>
  <c r="AO8" i="118" s="1"/>
  <c r="AA7" i="72" s="1"/>
  <c r="G19" i="100"/>
  <c r="AB20" i="114"/>
  <c r="AL20" i="114" s="1"/>
  <c r="AO20" i="114" s="1"/>
  <c r="W19" i="72" s="1"/>
  <c r="M67" i="100"/>
  <c r="AB68" i="120"/>
  <c r="AL68" i="120" s="1"/>
  <c r="AO68" i="120" s="1"/>
  <c r="AC67" i="72" s="1"/>
  <c r="AB24" i="113"/>
  <c r="AL24" i="113" s="1"/>
  <c r="AO24" i="113" s="1"/>
  <c r="V23" i="72" s="1"/>
  <c r="AB11" i="118"/>
  <c r="AL11" i="118" s="1"/>
  <c r="AO11" i="118" s="1"/>
  <c r="AA10" i="72" s="1"/>
  <c r="AF18" i="46"/>
  <c r="AG17" i="46"/>
  <c r="O38" i="100"/>
  <c r="AC37" i="80"/>
  <c r="AP37" i="80" s="1"/>
  <c r="AE38" i="72" s="1"/>
  <c r="N61" i="100"/>
  <c r="AC60" i="76"/>
  <c r="AP60" i="76" s="1"/>
  <c r="AD61" i="72" s="1"/>
  <c r="AB34" i="116"/>
  <c r="AL34" i="116" s="1"/>
  <c r="AO34" i="116" s="1"/>
  <c r="Y33" i="72" s="1"/>
  <c r="I33" i="100"/>
  <c r="AC34" i="116"/>
  <c r="AE34" i="116" s="1"/>
  <c r="K56" i="100"/>
  <c r="AB57" i="118"/>
  <c r="AL57" i="118" s="1"/>
  <c r="AO57" i="118" s="1"/>
  <c r="AA56" i="72" s="1"/>
  <c r="AG55" i="119"/>
  <c r="AH55" i="119" s="1"/>
  <c r="AI55" i="119"/>
  <c r="AI44" i="118"/>
  <c r="AG66" i="113"/>
  <c r="AH66" i="113" s="1"/>
  <c r="AI66" i="113"/>
  <c r="AI61" i="119"/>
  <c r="AI21" i="113"/>
  <c r="O17" i="100"/>
  <c r="AC16" i="80"/>
  <c r="AP16" i="80" s="1"/>
  <c r="AE17" i="72" s="1"/>
  <c r="AG60" i="113"/>
  <c r="AH60" i="113" s="1"/>
  <c r="AI60" i="113"/>
  <c r="I15" i="100"/>
  <c r="AB16" i="116"/>
  <c r="AL16" i="116" s="1"/>
  <c r="AO16" i="116" s="1"/>
  <c r="Y15" i="72" s="1"/>
  <c r="AD49" i="117"/>
  <c r="AN49" i="117" s="1"/>
  <c r="AQ49" i="117" s="1"/>
  <c r="Z48" i="72" s="1"/>
  <c r="J48" i="100"/>
  <c r="AE49" i="117"/>
  <c r="AG49" i="117" s="1"/>
  <c r="AB49" i="119"/>
  <c r="AL49" i="119" s="1"/>
  <c r="AO49" i="119" s="1"/>
  <c r="AB48" i="72" s="1"/>
  <c r="L48" i="100"/>
  <c r="AC49" i="119"/>
  <c r="AE49" i="119" s="1"/>
  <c r="AG74" i="118"/>
  <c r="AH74" i="118" s="1"/>
  <c r="AF53" i="119"/>
  <c r="AG53" i="119" s="1"/>
  <c r="AH53" i="119" s="1"/>
  <c r="H10" i="72"/>
  <c r="AJ11" i="115"/>
  <c r="AG75" i="115"/>
  <c r="AH75" i="115" s="1"/>
  <c r="AI75" i="115"/>
  <c r="AG12" i="115"/>
  <c r="AH12" i="115" s="1"/>
  <c r="AI12" i="115"/>
  <c r="N66" i="100"/>
  <c r="AC65" i="76"/>
  <c r="AP65" i="76" s="1"/>
  <c r="AD66" i="72" s="1"/>
  <c r="L37" i="100"/>
  <c r="AB38" i="119"/>
  <c r="AL38" i="119" s="1"/>
  <c r="AO38" i="119" s="1"/>
  <c r="AB37" i="72" s="1"/>
  <c r="L25" i="100"/>
  <c r="AB26" i="119"/>
  <c r="AL26" i="119" s="1"/>
  <c r="AO26" i="119" s="1"/>
  <c r="AB25" i="72" s="1"/>
  <c r="AB26" i="116"/>
  <c r="AL26" i="116" s="1"/>
  <c r="AO26" i="116" s="1"/>
  <c r="Y25" i="72" s="1"/>
  <c r="I25" i="100"/>
  <c r="AC26" i="116"/>
  <c r="AE26" i="116" s="1"/>
  <c r="AB13" i="116"/>
  <c r="AL13" i="116" s="1"/>
  <c r="AO13" i="116" s="1"/>
  <c r="Y12" i="72" s="1"/>
  <c r="I12" i="100"/>
  <c r="AC13" i="116"/>
  <c r="AE13" i="116" s="1"/>
  <c r="AH39" i="76"/>
  <c r="AI39" i="76" s="1"/>
  <c r="AJ39" i="76"/>
  <c r="I53" i="100"/>
  <c r="AB54" i="116"/>
  <c r="AL54" i="116" s="1"/>
  <c r="AO54" i="116" s="1"/>
  <c r="Y53" i="72" s="1"/>
  <c r="AG54" i="113"/>
  <c r="AH54" i="113" s="1"/>
  <c r="AI54" i="113"/>
  <c r="L35" i="100"/>
  <c r="AB36" i="119"/>
  <c r="AL36" i="119" s="1"/>
  <c r="AO36" i="119" s="1"/>
  <c r="AB35" i="72" s="1"/>
  <c r="AG65" i="114"/>
  <c r="AH65" i="114" s="1"/>
  <c r="AI65" i="114"/>
  <c r="O27" i="100"/>
  <c r="AC26" i="80"/>
  <c r="AP26" i="80" s="1"/>
  <c r="AE27" i="72" s="1"/>
  <c r="AI25" i="117"/>
  <c r="AJ25" i="117" s="1"/>
  <c r="AK25" i="117"/>
  <c r="AI71" i="118"/>
  <c r="AG9" i="118"/>
  <c r="AH9" i="118" s="1"/>
  <c r="AI9" i="118"/>
  <c r="AB9" i="119"/>
  <c r="AL9" i="119" s="1"/>
  <c r="AO9" i="119" s="1"/>
  <c r="AB8" i="72" s="1"/>
  <c r="L8" i="100"/>
  <c r="AC9" i="119"/>
  <c r="AE9" i="119" s="1"/>
  <c r="AG64" i="114"/>
  <c r="AH64" i="114" s="1"/>
  <c r="AI64" i="114"/>
  <c r="K22" i="100"/>
  <c r="AB23" i="118"/>
  <c r="AL23" i="118" s="1"/>
  <c r="AO23" i="118" s="1"/>
  <c r="AA22" i="72" s="1"/>
  <c r="AF23" i="119"/>
  <c r="AG23" i="119" s="1"/>
  <c r="AH23" i="119" s="1"/>
  <c r="AI23" i="119"/>
  <c r="AI29" i="117"/>
  <c r="AJ29" i="117" s="1"/>
  <c r="L45" i="100"/>
  <c r="AB46" i="119"/>
  <c r="AL46" i="119" s="1"/>
  <c r="AO46" i="119" s="1"/>
  <c r="AB45" i="72" s="1"/>
  <c r="G30" i="100"/>
  <c r="AB31" i="114"/>
  <c r="AL31" i="114" s="1"/>
  <c r="AO31" i="114" s="1"/>
  <c r="W30" i="72" s="1"/>
  <c r="N30" i="100"/>
  <c r="AC29" i="76"/>
  <c r="AP29" i="76" s="1"/>
  <c r="AD30" i="72" s="1"/>
  <c r="AF50" i="119"/>
  <c r="AG50" i="119" s="1"/>
  <c r="AH50" i="119" s="1"/>
  <c r="AI50" i="119"/>
  <c r="AG50" i="116"/>
  <c r="AH50" i="116" s="1"/>
  <c r="AI50" i="116"/>
  <c r="J21" i="100"/>
  <c r="AD22" i="117"/>
  <c r="AN22" i="117" s="1"/>
  <c r="AQ22" i="117" s="1"/>
  <c r="Z21" i="72" s="1"/>
  <c r="AG22" i="118"/>
  <c r="AH22" i="118" s="1"/>
  <c r="AI22" i="118"/>
  <c r="J41" i="100"/>
  <c r="AD42" i="117"/>
  <c r="AN42" i="117" s="1"/>
  <c r="AQ42" i="117" s="1"/>
  <c r="Z41" i="72" s="1"/>
  <c r="AI42" i="118"/>
  <c r="AG30" i="116"/>
  <c r="AH30" i="116" s="1"/>
  <c r="AI30" i="116"/>
  <c r="G44" i="100"/>
  <c r="AB45" i="114"/>
  <c r="AL45" i="114" s="1"/>
  <c r="AO45" i="114" s="1"/>
  <c r="W44" i="72" s="1"/>
  <c r="AG27" i="118"/>
  <c r="AH27" i="118" s="1"/>
  <c r="O26" i="100"/>
  <c r="AC25" i="80"/>
  <c r="AP25" i="80" s="1"/>
  <c r="AE26" i="72" s="1"/>
  <c r="AG37" i="113"/>
  <c r="AH37" i="113" s="1"/>
  <c r="AI37" i="113"/>
  <c r="AB69" i="116"/>
  <c r="AL69" i="116" s="1"/>
  <c r="AO69" i="116" s="1"/>
  <c r="Y68" i="72" s="1"/>
  <c r="I68" i="100"/>
  <c r="AC69" i="116"/>
  <c r="AE69" i="116" s="1"/>
  <c r="N31" i="100"/>
  <c r="AC30" i="76"/>
  <c r="AP30" i="76" s="1"/>
  <c r="AD31" i="72" s="1"/>
  <c r="AB19" i="118"/>
  <c r="AL19" i="118" s="1"/>
  <c r="AO19" i="118" s="1"/>
  <c r="AA18" i="72" s="1"/>
  <c r="J18" i="100"/>
  <c r="AD19" i="117"/>
  <c r="AN19" i="117" s="1"/>
  <c r="AQ19" i="117" s="1"/>
  <c r="Z18" i="72" s="1"/>
  <c r="AG29" i="46"/>
  <c r="AI29" i="46" s="1"/>
  <c r="AF30" i="46"/>
  <c r="AG39" i="120"/>
  <c r="AH39" i="120" s="1"/>
  <c r="AI39" i="120"/>
  <c r="L61" i="100"/>
  <c r="AB62" i="119"/>
  <c r="AL62" i="119" s="1"/>
  <c r="AO62" i="119" s="1"/>
  <c r="AB61" i="72" s="1"/>
  <c r="F33" i="100"/>
  <c r="AB34" i="113"/>
  <c r="AL34" i="113" s="1"/>
  <c r="AO34" i="113" s="1"/>
  <c r="V33" i="72" s="1"/>
  <c r="AG34" i="118"/>
  <c r="AH34" i="118" s="1"/>
  <c r="AI34" i="118"/>
  <c r="F54" i="100"/>
  <c r="AB55" i="113"/>
  <c r="AL55" i="113" s="1"/>
  <c r="AO55" i="113" s="1"/>
  <c r="V54" i="72" s="1"/>
  <c r="J54" i="100"/>
  <c r="AD55" i="117"/>
  <c r="AN55" i="117" s="1"/>
  <c r="AQ55" i="117" s="1"/>
  <c r="Z54" i="72" s="1"/>
  <c r="M51" i="100"/>
  <c r="AB52" i="120"/>
  <c r="AL52" i="120" s="1"/>
  <c r="AO52" i="120" s="1"/>
  <c r="AC51" i="72" s="1"/>
  <c r="AG44" i="116"/>
  <c r="AH44" i="116" s="1"/>
  <c r="AI44" i="116"/>
  <c r="O65" i="100"/>
  <c r="AC64" i="80"/>
  <c r="AP64" i="80" s="1"/>
  <c r="AE65" i="72" s="1"/>
  <c r="AI21" i="117"/>
  <c r="AJ21" i="117" s="1"/>
  <c r="AK21" i="117"/>
  <c r="M17" i="100"/>
  <c r="AB18" i="120"/>
  <c r="AL18" i="120" s="1"/>
  <c r="AO18" i="120" s="1"/>
  <c r="AC17" i="72" s="1"/>
  <c r="G59" i="100"/>
  <c r="AB60" i="114"/>
  <c r="AL60" i="114" s="1"/>
  <c r="AO60" i="114" s="1"/>
  <c r="W59" i="72" s="1"/>
  <c r="F15" i="100"/>
  <c r="AB16" i="113"/>
  <c r="AL16" i="113" s="1"/>
  <c r="AO16" i="113" s="1"/>
  <c r="V15" i="72" s="1"/>
  <c r="L15" i="100"/>
  <c r="AB16" i="119"/>
  <c r="AL16" i="119" s="1"/>
  <c r="AO16" i="119" s="1"/>
  <c r="AB15" i="72" s="1"/>
  <c r="I73" i="100"/>
  <c r="AB74" i="116"/>
  <c r="AL74" i="116" s="1"/>
  <c r="AO74" i="116" s="1"/>
  <c r="Y73" i="72" s="1"/>
  <c r="K52" i="100"/>
  <c r="AB53" i="118"/>
  <c r="AL53" i="118" s="1"/>
  <c r="AO53" i="118" s="1"/>
  <c r="AA52" i="72" s="1"/>
  <c r="AD53" i="117"/>
  <c r="AN53" i="117" s="1"/>
  <c r="AQ53" i="117" s="1"/>
  <c r="Z52" i="72" s="1"/>
  <c r="J52" i="100"/>
  <c r="AG73" i="115"/>
  <c r="AH73" i="115" s="1"/>
  <c r="AI73" i="115"/>
  <c r="AG31" i="115"/>
  <c r="AH31" i="115" s="1"/>
  <c r="AI31" i="115"/>
  <c r="H37" i="72"/>
  <c r="AJ38" i="115"/>
  <c r="H63" i="72"/>
  <c r="AJ64" i="115"/>
  <c r="H36" i="72"/>
  <c r="AJ37" i="115"/>
  <c r="H56" i="72"/>
  <c r="AJ57" i="115"/>
  <c r="O66" i="100"/>
  <c r="AC65" i="80"/>
  <c r="AP65" i="80" s="1"/>
  <c r="AE66" i="72" s="1"/>
  <c r="AB38" i="114"/>
  <c r="AL38" i="114" s="1"/>
  <c r="AO38" i="114" s="1"/>
  <c r="W37" i="72" s="1"/>
  <c r="G37" i="100"/>
  <c r="AC38" i="114"/>
  <c r="AE38" i="114" s="1"/>
  <c r="M12" i="100"/>
  <c r="AB13" i="120"/>
  <c r="AL13" i="120" s="1"/>
  <c r="AO13" i="120" s="1"/>
  <c r="AC12" i="72" s="1"/>
  <c r="N12" i="100"/>
  <c r="AC11" i="76"/>
  <c r="AP11" i="76" s="1"/>
  <c r="AD12" i="72" s="1"/>
  <c r="AB41" i="119"/>
  <c r="AL41" i="119" s="1"/>
  <c r="AO41" i="119" s="1"/>
  <c r="AB40" i="72" s="1"/>
  <c r="L40" i="100"/>
  <c r="AC41" i="119"/>
  <c r="AE41" i="119" s="1"/>
  <c r="L53" i="100"/>
  <c r="AB54" i="119"/>
  <c r="AL54" i="119" s="1"/>
  <c r="AO54" i="119" s="1"/>
  <c r="AB53" i="72" s="1"/>
  <c r="I35" i="100"/>
  <c r="AB36" i="116"/>
  <c r="AL36" i="116" s="1"/>
  <c r="AO36" i="116" s="1"/>
  <c r="Y35" i="72" s="1"/>
  <c r="M35" i="100"/>
  <c r="AB36" i="120"/>
  <c r="AL36" i="120" s="1"/>
  <c r="AO36" i="120" s="1"/>
  <c r="AC35" i="72" s="1"/>
  <c r="N64" i="100"/>
  <c r="AC63" i="76"/>
  <c r="AP63" i="76" s="1"/>
  <c r="AD64" i="72" s="1"/>
  <c r="AD28" i="117"/>
  <c r="AN28" i="117" s="1"/>
  <c r="AQ28" i="117" s="1"/>
  <c r="Z27" i="72" s="1"/>
  <c r="J27" i="100"/>
  <c r="AE28" i="117"/>
  <c r="AG28" i="117" s="1"/>
  <c r="M8" i="100"/>
  <c r="AB9" i="120"/>
  <c r="AL9" i="120" s="1"/>
  <c r="AO9" i="120" s="1"/>
  <c r="AC8" i="72" s="1"/>
  <c r="N8" i="100"/>
  <c r="AC7" i="76"/>
  <c r="AP7" i="76" s="1"/>
  <c r="AD8" i="72" s="1"/>
  <c r="AB35" i="119"/>
  <c r="AL35" i="119" s="1"/>
  <c r="AO35" i="119" s="1"/>
  <c r="AB34" i="72" s="1"/>
  <c r="L34" i="100"/>
  <c r="AC35" i="119"/>
  <c r="AE35" i="119" s="1"/>
  <c r="O34" i="100"/>
  <c r="AC33" i="80"/>
  <c r="AP33" i="80" s="1"/>
  <c r="AE34" i="72" s="1"/>
  <c r="N63" i="100"/>
  <c r="AC62" i="76"/>
  <c r="AP62" i="76" s="1"/>
  <c r="AD63" i="72" s="1"/>
  <c r="F22" i="100"/>
  <c r="AB23" i="113"/>
  <c r="AL23" i="113" s="1"/>
  <c r="AO23" i="113" s="1"/>
  <c r="V22" i="72" s="1"/>
  <c r="J22" i="100"/>
  <c r="AD23" i="117"/>
  <c r="AN23" i="117" s="1"/>
  <c r="AQ23" i="117" s="1"/>
  <c r="Z22" i="72" s="1"/>
  <c r="I28" i="100"/>
  <c r="AB29" i="116"/>
  <c r="AL29" i="116" s="1"/>
  <c r="AO29" i="116" s="1"/>
  <c r="Y28" i="72" s="1"/>
  <c r="M28" i="100"/>
  <c r="AB29" i="120"/>
  <c r="AL29" i="120" s="1"/>
  <c r="AO29" i="120" s="1"/>
  <c r="AC28" i="72" s="1"/>
  <c r="F45" i="100"/>
  <c r="AB46" i="113"/>
  <c r="AL46" i="113" s="1"/>
  <c r="AO46" i="113" s="1"/>
  <c r="V45" i="72" s="1"/>
  <c r="M49" i="100"/>
  <c r="AB50" i="120"/>
  <c r="AL50" i="120" s="1"/>
  <c r="AO50" i="120" s="1"/>
  <c r="AC49" i="72" s="1"/>
  <c r="F72" i="100"/>
  <c r="AB73" i="113"/>
  <c r="AL73" i="113" s="1"/>
  <c r="AO73" i="113" s="1"/>
  <c r="V72" i="72" s="1"/>
  <c r="N72" i="100"/>
  <c r="AC71" i="76"/>
  <c r="AP71" i="76" s="1"/>
  <c r="AD72" i="72" s="1"/>
  <c r="N21" i="100"/>
  <c r="AC20" i="76"/>
  <c r="AP20" i="76" s="1"/>
  <c r="AD21" i="72" s="1"/>
  <c r="W43" i="31"/>
  <c r="X43" i="31"/>
  <c r="AB42" i="114"/>
  <c r="AL42" i="114" s="1"/>
  <c r="AO42" i="114" s="1"/>
  <c r="W41" i="72" s="1"/>
  <c r="G41" i="100"/>
  <c r="AC42" i="114"/>
  <c r="AE42" i="114" s="1"/>
  <c r="O41" i="100"/>
  <c r="AC40" i="80"/>
  <c r="AP40" i="80" s="1"/>
  <c r="AE41" i="72" s="1"/>
  <c r="AB37" i="118"/>
  <c r="AL37" i="118" s="1"/>
  <c r="AO37" i="118" s="1"/>
  <c r="AA36" i="72" s="1"/>
  <c r="K36" i="100"/>
  <c r="AC37" i="118"/>
  <c r="AE37" i="118" s="1"/>
  <c r="N69" i="100"/>
  <c r="AC68" i="76"/>
  <c r="AP68" i="76" s="1"/>
  <c r="AD69" i="72" s="1"/>
  <c r="J16" i="100"/>
  <c r="AD17" i="117"/>
  <c r="AN17" i="117" s="1"/>
  <c r="AQ17" i="117" s="1"/>
  <c r="Z16" i="72" s="1"/>
  <c r="J31" i="100"/>
  <c r="AD32" i="117"/>
  <c r="AN32" i="117" s="1"/>
  <c r="AQ32" i="117" s="1"/>
  <c r="Z31" i="72" s="1"/>
  <c r="AB32" i="118"/>
  <c r="AL32" i="118" s="1"/>
  <c r="AO32" i="118" s="1"/>
  <c r="AA31" i="72" s="1"/>
  <c r="K31" i="100"/>
  <c r="AC32" i="118"/>
  <c r="AE32" i="118" s="1"/>
  <c r="I9" i="100"/>
  <c r="AB10" i="116"/>
  <c r="AL10" i="116" s="1"/>
  <c r="AO10" i="116" s="1"/>
  <c r="Y9" i="72" s="1"/>
  <c r="F9" i="100"/>
  <c r="AB10" i="113"/>
  <c r="AL10" i="113" s="1"/>
  <c r="AO10" i="113" s="1"/>
  <c r="V9" i="72" s="1"/>
  <c r="L32" i="100"/>
  <c r="AB33" i="119"/>
  <c r="AL33" i="119" s="1"/>
  <c r="AO33" i="119" s="1"/>
  <c r="AB32" i="72" s="1"/>
  <c r="F74" i="100"/>
  <c r="AB75" i="113"/>
  <c r="AL75" i="113" s="1"/>
  <c r="AO75" i="113" s="1"/>
  <c r="V74" i="72" s="1"/>
  <c r="L74" i="100"/>
  <c r="AB75" i="119"/>
  <c r="AL75" i="119" s="1"/>
  <c r="AO75" i="119" s="1"/>
  <c r="AB74" i="72" s="1"/>
  <c r="F47" i="100"/>
  <c r="AB48" i="113"/>
  <c r="AL48" i="113" s="1"/>
  <c r="AO48" i="113" s="1"/>
  <c r="V47" i="72" s="1"/>
  <c r="AA51" i="114"/>
  <c r="L46" i="100"/>
  <c r="AB47" i="119"/>
  <c r="AL47" i="119" s="1"/>
  <c r="AO47" i="119" s="1"/>
  <c r="AB46" i="72" s="1"/>
  <c r="F14" i="100"/>
  <c r="AB15" i="113"/>
  <c r="AL15" i="113" s="1"/>
  <c r="AO15" i="113" s="1"/>
  <c r="V14" i="72" s="1"/>
  <c r="M13" i="100"/>
  <c r="AB14" i="120"/>
  <c r="AL14" i="120" s="1"/>
  <c r="AO14" i="120" s="1"/>
  <c r="AC13" i="72" s="1"/>
  <c r="F13" i="100"/>
  <c r="AB14" i="113"/>
  <c r="AL14" i="113" s="1"/>
  <c r="AO14" i="113" s="1"/>
  <c r="V13" i="72" s="1"/>
  <c r="AA40" i="118"/>
  <c r="AA40" i="114"/>
  <c r="Z58" i="118"/>
  <c r="AA58" i="118" s="1"/>
  <c r="AC58" i="117"/>
  <c r="AA56" i="76"/>
  <c r="AA10" i="80"/>
  <c r="AA12" i="114"/>
  <c r="AA12" i="119"/>
  <c r="AB12" i="117"/>
  <c r="AC12" i="117" s="1"/>
  <c r="AB70" i="76"/>
  <c r="Z72" i="113"/>
  <c r="AA72" i="113" s="1"/>
  <c r="AB41" i="76"/>
  <c r="Z43" i="118"/>
  <c r="AA43" i="118" s="1"/>
  <c r="AA43" i="114"/>
  <c r="Z43" i="120"/>
  <c r="AA43" i="120" s="1"/>
  <c r="I7" i="100"/>
  <c r="AB8" i="116"/>
  <c r="AL8" i="116" s="1"/>
  <c r="AO8" i="116" s="1"/>
  <c r="Y7" i="72" s="1"/>
  <c r="AA20" i="113"/>
  <c r="AA20" i="119"/>
  <c r="N67" i="100"/>
  <c r="AC66" i="76"/>
  <c r="AP66" i="76" s="1"/>
  <c r="AD67" i="72" s="1"/>
  <c r="F67" i="100"/>
  <c r="AB68" i="113"/>
  <c r="AL68" i="113" s="1"/>
  <c r="AO68" i="113" s="1"/>
  <c r="V67" i="72" s="1"/>
  <c r="AB22" i="80"/>
  <c r="AD24" i="117"/>
  <c r="AN24" i="117" s="1"/>
  <c r="AQ24" i="117" s="1"/>
  <c r="Z23" i="72" s="1"/>
  <c r="J23" i="100"/>
  <c r="AA11" i="120"/>
  <c r="AE40" i="46"/>
  <c r="AF40" i="46" s="1"/>
  <c r="AK40" i="46" s="1"/>
  <c r="F38" i="100"/>
  <c r="AB39" i="113"/>
  <c r="AL39" i="113" s="1"/>
  <c r="AO39" i="113" s="1"/>
  <c r="V38" i="72" s="1"/>
  <c r="AB39" i="118"/>
  <c r="AL39" i="118" s="1"/>
  <c r="AO39" i="118" s="1"/>
  <c r="AA38" i="72" s="1"/>
  <c r="K38" i="100"/>
  <c r="J61" i="100"/>
  <c r="AD62" i="117"/>
  <c r="AN62" i="117" s="1"/>
  <c r="AQ62" i="117" s="1"/>
  <c r="Z61" i="72" s="1"/>
  <c r="J33" i="100"/>
  <c r="AD34" i="117"/>
  <c r="AN34" i="117" s="1"/>
  <c r="AQ34" i="117" s="1"/>
  <c r="Z33" i="72" s="1"/>
  <c r="AB34" i="114"/>
  <c r="AL34" i="114" s="1"/>
  <c r="AO34" i="114" s="1"/>
  <c r="W33" i="72" s="1"/>
  <c r="G33" i="100"/>
  <c r="AC34" i="114"/>
  <c r="AE34" i="114" s="1"/>
  <c r="O33" i="100"/>
  <c r="AC32" i="80"/>
  <c r="AP32" i="80" s="1"/>
  <c r="AE33" i="72" s="1"/>
  <c r="AB57" i="119"/>
  <c r="AL57" i="119" s="1"/>
  <c r="AO57" i="119" s="1"/>
  <c r="AB56" i="72" s="1"/>
  <c r="L56" i="100"/>
  <c r="AC57" i="119"/>
  <c r="AE57" i="119" s="1"/>
  <c r="AG55" i="116"/>
  <c r="AH55" i="116" s="1"/>
  <c r="AG52" i="118"/>
  <c r="AH52" i="118" s="1"/>
  <c r="AI52" i="118"/>
  <c r="AH50" i="76"/>
  <c r="AI50" i="76" s="1"/>
  <c r="AJ50" i="76"/>
  <c r="AD66" i="117"/>
  <c r="AN66" i="117" s="1"/>
  <c r="AQ66" i="117" s="1"/>
  <c r="Z65" i="72" s="1"/>
  <c r="J65" i="100"/>
  <c r="AE66" i="117"/>
  <c r="AG66" i="117" s="1"/>
  <c r="AG61" i="116"/>
  <c r="AH61" i="116" s="1"/>
  <c r="AI61" i="116"/>
  <c r="AJ59" i="76"/>
  <c r="AB18" i="114"/>
  <c r="AL18" i="114" s="1"/>
  <c r="AO18" i="114" s="1"/>
  <c r="W17" i="72" s="1"/>
  <c r="G17" i="100"/>
  <c r="AC18" i="114"/>
  <c r="AE18" i="114" s="1"/>
  <c r="AB18" i="116"/>
  <c r="AL18" i="116" s="1"/>
  <c r="AO18" i="116" s="1"/>
  <c r="Y17" i="72" s="1"/>
  <c r="I17" i="100"/>
  <c r="AC18" i="116"/>
  <c r="AE18" i="116" s="1"/>
  <c r="AD60" i="117"/>
  <c r="AN60" i="117" s="1"/>
  <c r="AQ60" i="117" s="1"/>
  <c r="Z59" i="72" s="1"/>
  <c r="J59" i="100"/>
  <c r="AE60" i="117"/>
  <c r="AG60" i="117" s="1"/>
  <c r="AH47" i="80"/>
  <c r="AI47" i="80" s="1"/>
  <c r="AJ47" i="80"/>
  <c r="AF74" i="119"/>
  <c r="AG74" i="119" s="1"/>
  <c r="AH74" i="119" s="1"/>
  <c r="AG53" i="116"/>
  <c r="AH53" i="116" s="1"/>
  <c r="AI53" i="116"/>
  <c r="AG68" i="115"/>
  <c r="AH68" i="115" s="1"/>
  <c r="AI68" i="115"/>
  <c r="D51" i="72"/>
  <c r="AN35" i="46"/>
  <c r="H23" i="72"/>
  <c r="AJ24" i="115"/>
  <c r="AG67" i="113"/>
  <c r="AH67" i="113" s="1"/>
  <c r="AG38" i="120"/>
  <c r="AH38" i="120" s="1"/>
  <c r="AI38" i="120"/>
  <c r="AG13" i="118"/>
  <c r="AH13" i="118" s="1"/>
  <c r="AI13" i="118"/>
  <c r="AF13" i="119"/>
  <c r="AG13" i="119" s="1"/>
  <c r="AH13" i="119" s="1"/>
  <c r="J40" i="100"/>
  <c r="AD41" i="117"/>
  <c r="AN41" i="117" s="1"/>
  <c r="AQ41" i="117" s="1"/>
  <c r="Z40" i="72" s="1"/>
  <c r="K35" i="100"/>
  <c r="AB36" i="118"/>
  <c r="AL36" i="118" s="1"/>
  <c r="AO36" i="118" s="1"/>
  <c r="AA35" i="72" s="1"/>
  <c r="AH63" i="80"/>
  <c r="AI63" i="80" s="1"/>
  <c r="AJ63" i="80"/>
  <c r="AI28" i="118"/>
  <c r="AG25" i="118"/>
  <c r="AH25" i="118" s="1"/>
  <c r="AI25" i="118"/>
  <c r="AH23" i="80"/>
  <c r="AI23" i="80" s="1"/>
  <c r="AJ23" i="80"/>
  <c r="AB35" i="118"/>
  <c r="AL35" i="118" s="1"/>
  <c r="AO35" i="118" s="1"/>
  <c r="AA34" i="72" s="1"/>
  <c r="K34" i="100"/>
  <c r="AC35" i="118"/>
  <c r="AE35" i="118" s="1"/>
  <c r="AG35" i="113"/>
  <c r="AH35" i="113" s="1"/>
  <c r="AG64" i="116"/>
  <c r="AH64" i="116" s="1"/>
  <c r="AI64" i="116"/>
  <c r="AG23" i="116"/>
  <c r="AH23" i="116" s="1"/>
  <c r="AI23" i="116"/>
  <c r="AH27" i="76"/>
  <c r="AI27" i="76" s="1"/>
  <c r="K45" i="100"/>
  <c r="AB46" i="118"/>
  <c r="AL46" i="118" s="1"/>
  <c r="AO46" i="118" s="1"/>
  <c r="AA45" i="72" s="1"/>
  <c r="F30" i="100"/>
  <c r="AB31" i="113"/>
  <c r="AL31" i="113" s="1"/>
  <c r="AO31" i="113" s="1"/>
  <c r="V30" i="72" s="1"/>
  <c r="J55" i="100"/>
  <c r="AD56" i="117"/>
  <c r="AN56" i="117" s="1"/>
  <c r="AQ56" i="117" s="1"/>
  <c r="Z55" i="72" s="1"/>
  <c r="AD50" i="117"/>
  <c r="AN50" i="117" s="1"/>
  <c r="AQ50" i="117" s="1"/>
  <c r="Z49" i="72" s="1"/>
  <c r="J49" i="100"/>
  <c r="AE50" i="117"/>
  <c r="AG50" i="117" s="1"/>
  <c r="J72" i="100"/>
  <c r="AD73" i="117"/>
  <c r="AN73" i="117" s="1"/>
  <c r="AQ73" i="117" s="1"/>
  <c r="Z72" i="72" s="1"/>
  <c r="AG73" i="120"/>
  <c r="AH73" i="120" s="1"/>
  <c r="AI73" i="120"/>
  <c r="M41" i="100"/>
  <c r="AB42" i="120"/>
  <c r="AL42" i="120" s="1"/>
  <c r="AO42" i="120" s="1"/>
  <c r="AC41" i="72" s="1"/>
  <c r="AC30" i="113"/>
  <c r="AE30" i="113" s="1"/>
  <c r="AD27" i="117"/>
  <c r="AN27" i="117" s="1"/>
  <c r="AQ27" i="117" s="1"/>
  <c r="Z26" i="72" s="1"/>
  <c r="J26" i="100"/>
  <c r="AE27" i="117"/>
  <c r="AG27" i="117" s="1"/>
  <c r="AB37" i="116"/>
  <c r="AL37" i="116" s="1"/>
  <c r="AO37" i="116" s="1"/>
  <c r="Y36" i="72" s="1"/>
  <c r="I36" i="100"/>
  <c r="AC37" i="116"/>
  <c r="AE37" i="116" s="1"/>
  <c r="M36" i="100"/>
  <c r="AB37" i="120"/>
  <c r="AL37" i="120" s="1"/>
  <c r="AO37" i="120" s="1"/>
  <c r="AC36" i="72" s="1"/>
  <c r="K69" i="100"/>
  <c r="AB70" i="118"/>
  <c r="AL70" i="118" s="1"/>
  <c r="AO70" i="118" s="1"/>
  <c r="AA69" i="72" s="1"/>
  <c r="O69" i="100"/>
  <c r="AC68" i="80"/>
  <c r="AP68" i="80" s="1"/>
  <c r="AE69" i="72" s="1"/>
  <c r="AB17" i="119"/>
  <c r="AL17" i="119" s="1"/>
  <c r="AO17" i="119" s="1"/>
  <c r="AB16" i="72" s="1"/>
  <c r="L16" i="100"/>
  <c r="AC17" i="119"/>
  <c r="AE17" i="119" s="1"/>
  <c r="F68" i="100"/>
  <c r="AB69" i="113"/>
  <c r="AL69" i="113" s="1"/>
  <c r="AO69" i="113" s="1"/>
  <c r="V68" i="72" s="1"/>
  <c r="AB32" i="116"/>
  <c r="AL32" i="116" s="1"/>
  <c r="AO32" i="116" s="1"/>
  <c r="Y31" i="72" s="1"/>
  <c r="I31" i="100"/>
  <c r="M31" i="100"/>
  <c r="AB32" i="120"/>
  <c r="AL32" i="120" s="1"/>
  <c r="AO32" i="120" s="1"/>
  <c r="AC31" i="72" s="1"/>
  <c r="O9" i="100"/>
  <c r="AC8" i="80"/>
  <c r="AP8" i="80" s="1"/>
  <c r="AE9" i="72" s="1"/>
  <c r="AG10" i="114"/>
  <c r="AH10" i="114" s="1"/>
  <c r="AI10" i="114"/>
  <c r="W77" i="115"/>
  <c r="Z7" i="115"/>
  <c r="Z77" i="115" s="1"/>
  <c r="D75" i="100"/>
  <c r="F18" i="100"/>
  <c r="AB19" i="113"/>
  <c r="AL19" i="113" s="1"/>
  <c r="AO19" i="113" s="1"/>
  <c r="V18" i="72" s="1"/>
  <c r="AG52" i="115"/>
  <c r="AH52" i="115" s="1"/>
  <c r="AI52" i="115"/>
  <c r="I38" i="100"/>
  <c r="AB39" i="116"/>
  <c r="AL39" i="116" s="1"/>
  <c r="AO39" i="116" s="1"/>
  <c r="Y38" i="72" s="1"/>
  <c r="M61" i="100"/>
  <c r="AB62" i="120"/>
  <c r="AL62" i="120" s="1"/>
  <c r="AO62" i="120" s="1"/>
  <c r="AC61" i="72" s="1"/>
  <c r="M33" i="100"/>
  <c r="AB34" i="120"/>
  <c r="AL34" i="120" s="1"/>
  <c r="AO34" i="120" s="1"/>
  <c r="AC33" i="72" s="1"/>
  <c r="AI57" i="114"/>
  <c r="AG55" i="118"/>
  <c r="AH55" i="118" s="1"/>
  <c r="AI55" i="118"/>
  <c r="O54" i="100"/>
  <c r="AC53" i="80"/>
  <c r="AP53" i="80" s="1"/>
  <c r="AE54" i="72" s="1"/>
  <c r="AI52" i="117"/>
  <c r="AJ52" i="117" s="1"/>
  <c r="AK52" i="117"/>
  <c r="AG44" i="113"/>
  <c r="AH44" i="113" s="1"/>
  <c r="AI44" i="113"/>
  <c r="AI66" i="119"/>
  <c r="AD61" i="117"/>
  <c r="AN61" i="117" s="1"/>
  <c r="AQ61" i="117" s="1"/>
  <c r="Z60" i="72" s="1"/>
  <c r="J60" i="100"/>
  <c r="AE61" i="117"/>
  <c r="AG61" i="117" s="1"/>
  <c r="M60" i="100"/>
  <c r="AB61" i="120"/>
  <c r="AL61" i="120" s="1"/>
  <c r="AO61" i="120" s="1"/>
  <c r="AC60" i="72" s="1"/>
  <c r="AH19" i="76"/>
  <c r="AI19" i="76" s="1"/>
  <c r="AJ19" i="76"/>
  <c r="O20" i="100"/>
  <c r="AC19" i="80"/>
  <c r="AP19" i="80" s="1"/>
  <c r="AE20" i="72" s="1"/>
  <c r="AF18" i="119"/>
  <c r="AG18" i="119" s="1"/>
  <c r="AH18" i="119" s="1"/>
  <c r="AI18" i="119"/>
  <c r="AG60" i="116"/>
  <c r="AH60" i="116" s="1"/>
  <c r="AI60" i="116"/>
  <c r="AI16" i="120"/>
  <c r="AB49" i="116"/>
  <c r="AL49" i="116" s="1"/>
  <c r="AO49" i="116" s="1"/>
  <c r="Y48" i="72" s="1"/>
  <c r="I48" i="100"/>
  <c r="AC49" i="116"/>
  <c r="AE49" i="116" s="1"/>
  <c r="F48" i="100"/>
  <c r="AB49" i="113"/>
  <c r="AL49" i="113" s="1"/>
  <c r="AO49" i="113" s="1"/>
  <c r="V48" i="72" s="1"/>
  <c r="N48" i="100"/>
  <c r="AC47" i="76"/>
  <c r="AP47" i="76" s="1"/>
  <c r="AD48" i="72" s="1"/>
  <c r="AG74" i="113"/>
  <c r="AH74" i="113" s="1"/>
  <c r="AG53" i="113"/>
  <c r="AH53" i="113" s="1"/>
  <c r="AI53" i="113"/>
  <c r="H39" i="72"/>
  <c r="AJ40" i="115"/>
  <c r="AK10" i="46"/>
  <c r="AM10" i="46"/>
  <c r="H50" i="72"/>
  <c r="AJ51" i="115"/>
  <c r="H57" i="72"/>
  <c r="AJ58" i="115"/>
  <c r="AG9" i="115"/>
  <c r="AH9" i="115" s="1"/>
  <c r="AI9" i="115"/>
  <c r="H26" i="72"/>
  <c r="AJ27" i="115"/>
  <c r="H49" i="72"/>
  <c r="AJ50" i="115"/>
  <c r="H60" i="72"/>
  <c r="AJ61" i="115"/>
  <c r="G66" i="100"/>
  <c r="AB67" i="114"/>
  <c r="AL67" i="114" s="1"/>
  <c r="AO67" i="114" s="1"/>
  <c r="W66" i="72" s="1"/>
  <c r="AC67" i="114"/>
  <c r="AE67" i="114" s="1"/>
  <c r="O37" i="100"/>
  <c r="AC36" i="80"/>
  <c r="AP36" i="80" s="1"/>
  <c r="AE37" i="72" s="1"/>
  <c r="N37" i="100"/>
  <c r="AC36" i="76"/>
  <c r="AP36" i="76" s="1"/>
  <c r="AD37" i="72" s="1"/>
  <c r="N25" i="100"/>
  <c r="AC24" i="76"/>
  <c r="AP24" i="76" s="1"/>
  <c r="AD25" i="72" s="1"/>
  <c r="AG13" i="113"/>
  <c r="AH13" i="113" s="1"/>
  <c r="AI13" i="113"/>
  <c r="J12" i="100"/>
  <c r="AD13" i="117"/>
  <c r="AN13" i="117" s="1"/>
  <c r="AQ13" i="117" s="1"/>
  <c r="Z12" i="72" s="1"/>
  <c r="AG41" i="120"/>
  <c r="AH41" i="120" s="1"/>
  <c r="AG54" i="118"/>
  <c r="AH54" i="118" s="1"/>
  <c r="AI54" i="118"/>
  <c r="O53" i="100"/>
  <c r="AC52" i="80"/>
  <c r="AP52" i="80" s="1"/>
  <c r="AE53" i="72" s="1"/>
  <c r="AG36" i="113"/>
  <c r="AH36" i="113" s="1"/>
  <c r="AI36" i="113"/>
  <c r="AG65" i="113"/>
  <c r="AH65" i="113" s="1"/>
  <c r="AI65" i="113"/>
  <c r="AF28" i="119"/>
  <c r="AG28" i="119" s="1"/>
  <c r="AH28" i="119" s="1"/>
  <c r="N58" i="100"/>
  <c r="AC57" i="76"/>
  <c r="AP57" i="76" s="1"/>
  <c r="AD58" i="72" s="1"/>
  <c r="AB25" i="119"/>
  <c r="AL25" i="119" s="1"/>
  <c r="AO25" i="119" s="1"/>
  <c r="AB24" i="72" s="1"/>
  <c r="L24" i="100"/>
  <c r="AC25" i="119"/>
  <c r="AE25" i="119" s="1"/>
  <c r="O70" i="100"/>
  <c r="AC69" i="80"/>
  <c r="AP69" i="80" s="1"/>
  <c r="AE70" i="72" s="1"/>
  <c r="AG9" i="113"/>
  <c r="AH9" i="113" s="1"/>
  <c r="AI9" i="113"/>
  <c r="J8" i="100"/>
  <c r="AD9" i="117"/>
  <c r="AN9" i="117" s="1"/>
  <c r="AQ9" i="117" s="1"/>
  <c r="Z8" i="72" s="1"/>
  <c r="J34" i="100"/>
  <c r="AD35" i="117"/>
  <c r="AN35" i="117" s="1"/>
  <c r="AQ35" i="117" s="1"/>
  <c r="Z34" i="72" s="1"/>
  <c r="AG64" i="118"/>
  <c r="AH64" i="118" s="1"/>
  <c r="AI64" i="118"/>
  <c r="G22" i="100"/>
  <c r="AB23" i="114"/>
  <c r="AL23" i="114" s="1"/>
  <c r="AO23" i="114" s="1"/>
  <c r="W22" i="72" s="1"/>
  <c r="L28" i="100"/>
  <c r="AB29" i="119"/>
  <c r="AL29" i="119" s="1"/>
  <c r="AO29" i="119" s="1"/>
  <c r="AB28" i="72" s="1"/>
  <c r="AB46" i="116"/>
  <c r="AL46" i="116" s="1"/>
  <c r="AO46" i="116" s="1"/>
  <c r="Y45" i="72" s="1"/>
  <c r="I45" i="100"/>
  <c r="AC46" i="116"/>
  <c r="AE46" i="116" s="1"/>
  <c r="I30" i="100"/>
  <c r="AB31" i="116"/>
  <c r="AL31" i="116" s="1"/>
  <c r="AO31" i="116" s="1"/>
  <c r="Y30" i="72" s="1"/>
  <c r="O55" i="100"/>
  <c r="AC54" i="80"/>
  <c r="AP54" i="80" s="1"/>
  <c r="AE55" i="72" s="1"/>
  <c r="N49" i="100"/>
  <c r="AC48" i="76"/>
  <c r="AP48" i="76" s="1"/>
  <c r="AD49" i="72" s="1"/>
  <c r="AB22" i="116"/>
  <c r="AL22" i="116" s="1"/>
  <c r="AO22" i="116" s="1"/>
  <c r="Y21" i="72" s="1"/>
  <c r="I21" i="100"/>
  <c r="AC22" i="116"/>
  <c r="AE22" i="116" s="1"/>
  <c r="W16" i="31"/>
  <c r="X16" i="31"/>
  <c r="X69" i="31" s="1"/>
  <c r="X70" i="31" s="1"/>
  <c r="V69" i="31"/>
  <c r="V70" i="31" s="1"/>
  <c r="E41" i="100" s="1"/>
  <c r="Y21" i="31"/>
  <c r="Z21" i="31" s="1"/>
  <c r="AB21" i="31" s="1"/>
  <c r="N41" i="100"/>
  <c r="AC40" i="76"/>
  <c r="AP40" i="76" s="1"/>
  <c r="AD41" i="72" s="1"/>
  <c r="AC30" i="120"/>
  <c r="AE30" i="120" s="1"/>
  <c r="I44" i="100"/>
  <c r="AB45" i="116"/>
  <c r="AL45" i="116" s="1"/>
  <c r="AO45" i="116" s="1"/>
  <c r="Y44" i="72" s="1"/>
  <c r="F44" i="100"/>
  <c r="AB45" i="113"/>
  <c r="AL45" i="113" s="1"/>
  <c r="AO45" i="113" s="1"/>
  <c r="V44" i="72" s="1"/>
  <c r="N44" i="100"/>
  <c r="AC43" i="76"/>
  <c r="AP43" i="76" s="1"/>
  <c r="AD44" i="72" s="1"/>
  <c r="AC27" i="113"/>
  <c r="AE27" i="113" s="1"/>
  <c r="J36" i="100"/>
  <c r="AD37" i="117"/>
  <c r="AN37" i="117" s="1"/>
  <c r="AQ37" i="117" s="1"/>
  <c r="Z36" i="72" s="1"/>
  <c r="AC70" i="120"/>
  <c r="AE70" i="120" s="1"/>
  <c r="N16" i="100"/>
  <c r="AC15" i="76"/>
  <c r="AP15" i="76" s="1"/>
  <c r="AD16" i="72" s="1"/>
  <c r="O16" i="100"/>
  <c r="AC15" i="80"/>
  <c r="AP15" i="80" s="1"/>
  <c r="AE16" i="72" s="1"/>
  <c r="AC69" i="114"/>
  <c r="AE69" i="114" s="1"/>
  <c r="AC32" i="114"/>
  <c r="AE32" i="114" s="1"/>
  <c r="AB31" i="80"/>
  <c r="AB33" i="117"/>
  <c r="AC33" i="117" s="1"/>
  <c r="AB31" i="76"/>
  <c r="Z33" i="118"/>
  <c r="AA33" i="118" s="1"/>
  <c r="AA33" i="114"/>
  <c r="AA75" i="114"/>
  <c r="AA73" i="80"/>
  <c r="AB73" i="80" s="1"/>
  <c r="AC75" i="117"/>
  <c r="AA46" i="80"/>
  <c r="AB46" i="80" s="1"/>
  <c r="AA48" i="114"/>
  <c r="AA48" i="119"/>
  <c r="AB48" i="117"/>
  <c r="AC48" i="117" s="1"/>
  <c r="AB49" i="76"/>
  <c r="Z51" i="118"/>
  <c r="AA51" i="118" s="1"/>
  <c r="Z51" i="120"/>
  <c r="AA51" i="120" s="1"/>
  <c r="AA51" i="116"/>
  <c r="Z63" i="120"/>
  <c r="AA63" i="120" s="1"/>
  <c r="AA61" i="80"/>
  <c r="AB61" i="80" s="1"/>
  <c r="AC63" i="117"/>
  <c r="AA45" i="76"/>
  <c r="AB45" i="76" s="1"/>
  <c r="Z47" i="113"/>
  <c r="AA47" i="113" s="1"/>
  <c r="Z47" i="116"/>
  <c r="AA47" i="116" s="1"/>
  <c r="Z15" i="116"/>
  <c r="AA15" i="116" s="1"/>
  <c r="AB13" i="80"/>
  <c r="Z15" i="118"/>
  <c r="AA15" i="118" s="1"/>
  <c r="AB12" i="80"/>
  <c r="Z14" i="118"/>
  <c r="AA14" i="118" s="1"/>
  <c r="AA14" i="114"/>
  <c r="AA14" i="119"/>
  <c r="AC14" i="117"/>
  <c r="Z40" i="119"/>
  <c r="AA40" i="119" s="1"/>
  <c r="AC40" i="117"/>
  <c r="Z40" i="120"/>
  <c r="AA40" i="120" s="1"/>
  <c r="Z58" i="120"/>
  <c r="AA58" i="120" s="1"/>
  <c r="AA58" i="116"/>
  <c r="AA56" i="80"/>
  <c r="AB56" i="80" s="1"/>
  <c r="AA58" i="119"/>
  <c r="Z58" i="114"/>
  <c r="AA58" i="114" s="1"/>
  <c r="Z12" i="113"/>
  <c r="AA12" i="113" s="1"/>
  <c r="AB10" i="76"/>
  <c r="Z12" i="116"/>
  <c r="AA12" i="116" s="1"/>
  <c r="Z72" i="116"/>
  <c r="AA72" i="116" s="1"/>
  <c r="AB70" i="80"/>
  <c r="Z72" i="119"/>
  <c r="AA72" i="119" s="1"/>
  <c r="AA72" i="114"/>
  <c r="Z43" i="119"/>
  <c r="AA43" i="119" s="1"/>
  <c r="AA43" i="116"/>
  <c r="AA41" i="80"/>
  <c r="AB41" i="80" s="1"/>
  <c r="AA6" i="80"/>
  <c r="AB6" i="80" s="1"/>
  <c r="Z8" i="114"/>
  <c r="AA8" i="114" s="1"/>
  <c r="AA8" i="119"/>
  <c r="AB8" i="117"/>
  <c r="AC8" i="117" s="1"/>
  <c r="AB18" i="76"/>
  <c r="Z20" i="118"/>
  <c r="AA20" i="118" s="1"/>
  <c r="Z20" i="116"/>
  <c r="AA20" i="116" s="1"/>
  <c r="Z68" i="116"/>
  <c r="AA68" i="116" s="1"/>
  <c r="Z68" i="119"/>
  <c r="AA68" i="119" s="1"/>
  <c r="AA68" i="114"/>
  <c r="Z24" i="120"/>
  <c r="AA24" i="120" s="1"/>
  <c r="AA22" i="76"/>
  <c r="AB22" i="76" s="1"/>
  <c r="AA24" i="116"/>
  <c r="AA9" i="80"/>
  <c r="AB9" i="80" s="1"/>
  <c r="Z11" i="119"/>
  <c r="AA11" i="119" s="1"/>
  <c r="AA11" i="116"/>
  <c r="H47" i="72"/>
  <c r="AJ48" i="115"/>
  <c r="H62" i="72"/>
  <c r="AJ63" i="115"/>
  <c r="Y48" i="46"/>
  <c r="Y53" i="46" s="1"/>
  <c r="AD38" i="46"/>
  <c r="H54" i="72"/>
  <c r="AJ55" i="115"/>
  <c r="H55" i="72"/>
  <c r="AJ56" i="115"/>
  <c r="H68" i="72"/>
  <c r="AJ69" i="115"/>
  <c r="AC62" i="113"/>
  <c r="AE62" i="113" s="1"/>
  <c r="L33" i="100"/>
  <c r="AB34" i="119"/>
  <c r="AL34" i="119" s="1"/>
  <c r="AO34" i="119" s="1"/>
  <c r="AB33" i="72" s="1"/>
  <c r="I56" i="100"/>
  <c r="AB57" i="116"/>
  <c r="AL57" i="116" s="1"/>
  <c r="AO57" i="116" s="1"/>
  <c r="Y56" i="72" s="1"/>
  <c r="N56" i="100"/>
  <c r="AC55" i="76"/>
  <c r="AP55" i="76" s="1"/>
  <c r="AD56" i="72" s="1"/>
  <c r="G51" i="100"/>
  <c r="AB52" i="114"/>
  <c r="AL52" i="114" s="1"/>
  <c r="AO52" i="114" s="1"/>
  <c r="W51" i="72" s="1"/>
  <c r="AC52" i="116"/>
  <c r="AE52" i="116" s="1"/>
  <c r="AG44" i="114"/>
  <c r="AH44" i="114" s="1"/>
  <c r="AI44" i="114"/>
  <c r="O43" i="100"/>
  <c r="AC42" i="80"/>
  <c r="AP42" i="80" s="1"/>
  <c r="AE43" i="72" s="1"/>
  <c r="N65" i="100"/>
  <c r="AC64" i="76"/>
  <c r="AP64" i="76" s="1"/>
  <c r="AD65" i="72" s="1"/>
  <c r="AC61" i="113"/>
  <c r="AE61" i="113" s="1"/>
  <c r="L20" i="100"/>
  <c r="AB21" i="119"/>
  <c r="AL21" i="119" s="1"/>
  <c r="AO21" i="119" s="1"/>
  <c r="AB20" i="72" s="1"/>
  <c r="AC18" i="118"/>
  <c r="AE18" i="118" s="1"/>
  <c r="AD16" i="76"/>
  <c r="AF16" i="76" s="1"/>
  <c r="N59" i="100"/>
  <c r="AC58" i="76"/>
  <c r="AP58" i="76" s="1"/>
  <c r="AD59" i="72" s="1"/>
  <c r="G48" i="100"/>
  <c r="AB49" i="114"/>
  <c r="AL49" i="114" s="1"/>
  <c r="AO49" i="114" s="1"/>
  <c r="W48" i="72" s="1"/>
  <c r="AE74" i="117"/>
  <c r="AG74" i="117" s="1"/>
  <c r="AD72" i="80"/>
  <c r="AF72" i="80" s="1"/>
  <c r="AG19" i="115"/>
  <c r="AH19" i="115" s="1"/>
  <c r="AI19" i="115"/>
  <c r="H22" i="72"/>
  <c r="AJ23" i="115"/>
  <c r="I66" i="100"/>
  <c r="AB67" i="116"/>
  <c r="AL67" i="116" s="1"/>
  <c r="AO67" i="116" s="1"/>
  <c r="Y66" i="72" s="1"/>
  <c r="K66" i="100"/>
  <c r="AB67" i="118"/>
  <c r="AL67" i="118" s="1"/>
  <c r="AO67" i="118" s="1"/>
  <c r="AA66" i="72" s="1"/>
  <c r="J25" i="100"/>
  <c r="AD26" i="117"/>
  <c r="AN26" i="117" s="1"/>
  <c r="AQ26" i="117" s="1"/>
  <c r="Z25" i="72" s="1"/>
  <c r="K40" i="100"/>
  <c r="AB41" i="118"/>
  <c r="AL41" i="118" s="1"/>
  <c r="AO41" i="118" s="1"/>
  <c r="AA40" i="72" s="1"/>
  <c r="AD39" i="80"/>
  <c r="AF39" i="80" s="1"/>
  <c r="AD52" i="76"/>
  <c r="AF52" i="76" s="1"/>
  <c r="AD36" i="117"/>
  <c r="AN36" i="117" s="1"/>
  <c r="AQ36" i="117" s="1"/>
  <c r="Z35" i="72" s="1"/>
  <c r="J35" i="100"/>
  <c r="Q35" i="100" s="1"/>
  <c r="AE36" i="117"/>
  <c r="AG36" i="117" s="1"/>
  <c r="AE65" i="117"/>
  <c r="AG65" i="117" s="1"/>
  <c r="M64" i="100"/>
  <c r="AB65" i="120"/>
  <c r="AL65" i="120" s="1"/>
  <c r="AO65" i="120" s="1"/>
  <c r="AC64" i="72" s="1"/>
  <c r="AD26" i="76"/>
  <c r="AF26" i="76" s="1"/>
  <c r="AB59" i="119"/>
  <c r="AL59" i="119" s="1"/>
  <c r="AO59" i="119" s="1"/>
  <c r="AB58" i="72" s="1"/>
  <c r="L58" i="100"/>
  <c r="AC59" i="119"/>
  <c r="AE59" i="119" s="1"/>
  <c r="AC71" i="113"/>
  <c r="AE71" i="113" s="1"/>
  <c r="N70" i="100"/>
  <c r="AC69" i="76"/>
  <c r="AP69" i="76" s="1"/>
  <c r="AD70" i="72" s="1"/>
  <c r="O8" i="100"/>
  <c r="AC7" i="80"/>
  <c r="AP7" i="80" s="1"/>
  <c r="AE8" i="72" s="1"/>
  <c r="M34" i="100"/>
  <c r="AB35" i="120"/>
  <c r="AL35" i="120" s="1"/>
  <c r="AO35" i="120" s="1"/>
  <c r="AC34" i="72" s="1"/>
  <c r="AD62" i="80"/>
  <c r="AF62" i="80" s="1"/>
  <c r="O22" i="100"/>
  <c r="R22" i="100" s="1"/>
  <c r="AC21" i="80"/>
  <c r="AP21" i="80" s="1"/>
  <c r="AE22" i="72" s="1"/>
  <c r="AB29" i="114"/>
  <c r="AL29" i="114" s="1"/>
  <c r="AO29" i="114" s="1"/>
  <c r="W28" i="72" s="1"/>
  <c r="G28" i="100"/>
  <c r="AC29" i="114"/>
  <c r="AE29" i="114" s="1"/>
  <c r="AC46" i="120"/>
  <c r="AE46" i="120" s="1"/>
  <c r="AC31" i="120"/>
  <c r="AE31" i="120" s="1"/>
  <c r="AC31" i="118"/>
  <c r="AE31" i="118" s="1"/>
  <c r="AC56" i="113"/>
  <c r="AE56" i="113" s="1"/>
  <c r="AB50" i="114"/>
  <c r="AL50" i="114" s="1"/>
  <c r="AO50" i="114" s="1"/>
  <c r="W49" i="72" s="1"/>
  <c r="G49" i="100"/>
  <c r="AC50" i="114"/>
  <c r="AE50" i="114" s="1"/>
  <c r="AC73" i="114"/>
  <c r="AE73" i="114" s="1"/>
  <c r="AC22" i="114"/>
  <c r="AE22" i="114" s="1"/>
  <c r="AD20" i="80"/>
  <c r="AF20" i="80" s="1"/>
  <c r="AF42" i="119"/>
  <c r="AG42" i="119" s="1"/>
  <c r="AH42" i="119" s="1"/>
  <c r="AI42" i="119"/>
  <c r="G29" i="100"/>
  <c r="AB30" i="114"/>
  <c r="AL30" i="114" s="1"/>
  <c r="AO30" i="114" s="1"/>
  <c r="W29" i="72" s="1"/>
  <c r="J44" i="100"/>
  <c r="AD45" i="117"/>
  <c r="AN45" i="117" s="1"/>
  <c r="AQ45" i="117" s="1"/>
  <c r="Z44" i="72" s="1"/>
  <c r="G26" i="100"/>
  <c r="AB27" i="114"/>
  <c r="AL27" i="114" s="1"/>
  <c r="AO27" i="114" s="1"/>
  <c r="W26" i="72" s="1"/>
  <c r="N26" i="100"/>
  <c r="AC25" i="76"/>
  <c r="AP25" i="76" s="1"/>
  <c r="AD26" i="72" s="1"/>
  <c r="L36" i="100"/>
  <c r="AB37" i="119"/>
  <c r="AL37" i="119" s="1"/>
  <c r="AO37" i="119" s="1"/>
  <c r="AB36" i="72" s="1"/>
  <c r="L69" i="100"/>
  <c r="AB70" i="119"/>
  <c r="AL70" i="119" s="1"/>
  <c r="AO70" i="119" s="1"/>
  <c r="AB69" i="72" s="1"/>
  <c r="AC69" i="118"/>
  <c r="AE69" i="118" s="1"/>
  <c r="L9" i="100"/>
  <c r="AB10" i="119"/>
  <c r="AL10" i="119" s="1"/>
  <c r="AO10" i="119" s="1"/>
  <c r="AB9" i="72" s="1"/>
  <c r="Z12" i="31"/>
  <c r="AA17" i="80"/>
  <c r="AB17" i="80" s="1"/>
  <c r="AA17" i="76"/>
  <c r="AB17" i="76" s="1"/>
  <c r="Z19" i="114"/>
  <c r="AA19" i="114" s="1"/>
  <c r="AD60" i="80"/>
  <c r="AF60" i="80" s="1"/>
  <c r="AD55" i="80"/>
  <c r="AF55" i="80" s="1"/>
  <c r="L51" i="100"/>
  <c r="AB52" i="119"/>
  <c r="AL52" i="119" s="1"/>
  <c r="AO52" i="119" s="1"/>
  <c r="AB51" i="72" s="1"/>
  <c r="M43" i="100"/>
  <c r="Q43" i="100" s="1"/>
  <c r="AB44" i="120"/>
  <c r="AL44" i="120" s="1"/>
  <c r="AO44" i="120" s="1"/>
  <c r="AC43" i="72" s="1"/>
  <c r="AC66" i="120"/>
  <c r="AE66" i="120" s="1"/>
  <c r="AC61" i="114"/>
  <c r="AE61" i="114" s="1"/>
  <c r="J17" i="100"/>
  <c r="AD18" i="117"/>
  <c r="AN18" i="117" s="1"/>
  <c r="AQ18" i="117" s="1"/>
  <c r="Z17" i="72" s="1"/>
  <c r="O59" i="100"/>
  <c r="AC58" i="80"/>
  <c r="AP58" i="80" s="1"/>
  <c r="AE59" i="72" s="1"/>
  <c r="N52" i="100"/>
  <c r="AC51" i="76"/>
  <c r="AP51" i="76" s="1"/>
  <c r="AD52" i="72" s="1"/>
  <c r="O52" i="100"/>
  <c r="AC51" i="80"/>
  <c r="AP51" i="80" s="1"/>
  <c r="AE52" i="72" s="1"/>
  <c r="AG45" i="115"/>
  <c r="AH45" i="115" s="1"/>
  <c r="AI45" i="115"/>
  <c r="Q22" i="100"/>
  <c r="AC15" i="115"/>
  <c r="AE15" i="115" s="1"/>
  <c r="AL15" i="115"/>
  <c r="AO15" i="115" s="1"/>
  <c r="X14" i="72" s="1"/>
  <c r="AG72" i="115"/>
  <c r="AH72" i="115" s="1"/>
  <c r="AI72" i="115"/>
  <c r="I37" i="100"/>
  <c r="AB38" i="116"/>
  <c r="AL38" i="116" s="1"/>
  <c r="AO38" i="116" s="1"/>
  <c r="Y37" i="72" s="1"/>
  <c r="M25" i="100"/>
  <c r="AB26" i="120"/>
  <c r="AL26" i="120" s="1"/>
  <c r="AO26" i="120" s="1"/>
  <c r="AC25" i="72" s="1"/>
  <c r="F40" i="100"/>
  <c r="AB41" i="113"/>
  <c r="AL41" i="113" s="1"/>
  <c r="AO41" i="113" s="1"/>
  <c r="V40" i="72" s="1"/>
  <c r="I64" i="100"/>
  <c r="AB65" i="116"/>
  <c r="AL65" i="116" s="1"/>
  <c r="AO65" i="116" s="1"/>
  <c r="Y64" i="72" s="1"/>
  <c r="K64" i="100"/>
  <c r="AB65" i="118"/>
  <c r="AL65" i="118" s="1"/>
  <c r="AO65" i="118" s="1"/>
  <c r="AA64" i="72" s="1"/>
  <c r="F27" i="100"/>
  <c r="AB28" i="113"/>
  <c r="AL28" i="113" s="1"/>
  <c r="AO28" i="113" s="1"/>
  <c r="V27" i="72" s="1"/>
  <c r="F58" i="100"/>
  <c r="AB59" i="113"/>
  <c r="AL59" i="113" s="1"/>
  <c r="AO59" i="113" s="1"/>
  <c r="V58" i="72" s="1"/>
  <c r="AD59" i="117"/>
  <c r="AN59" i="117" s="1"/>
  <c r="AQ59" i="117" s="1"/>
  <c r="Z58" i="72" s="1"/>
  <c r="J58" i="100"/>
  <c r="AE59" i="117"/>
  <c r="AG59" i="117" s="1"/>
  <c r="I24" i="100"/>
  <c r="AB25" i="116"/>
  <c r="AL25" i="116" s="1"/>
  <c r="AO25" i="116" s="1"/>
  <c r="Y24" i="72" s="1"/>
  <c r="M24" i="100"/>
  <c r="AB25" i="120"/>
  <c r="AL25" i="120" s="1"/>
  <c r="AO25" i="120" s="1"/>
  <c r="AC24" i="72" s="1"/>
  <c r="J70" i="100"/>
  <c r="AD71" i="117"/>
  <c r="AN71" i="117" s="1"/>
  <c r="AQ71" i="117" s="1"/>
  <c r="Z70" i="72" s="1"/>
  <c r="M70" i="100"/>
  <c r="AB71" i="120"/>
  <c r="AL71" i="120" s="1"/>
  <c r="AO71" i="120" s="1"/>
  <c r="AC70" i="72" s="1"/>
  <c r="F63" i="100"/>
  <c r="AB64" i="113"/>
  <c r="AL64" i="113" s="1"/>
  <c r="AO64" i="113" s="1"/>
  <c r="V63" i="72" s="1"/>
  <c r="AB46" i="114"/>
  <c r="AL46" i="114" s="1"/>
  <c r="AO46" i="114" s="1"/>
  <c r="W45" i="72" s="1"/>
  <c r="G45" i="100"/>
  <c r="AC46" i="114"/>
  <c r="AE46" i="114" s="1"/>
  <c r="O45" i="100"/>
  <c r="AC44" i="80"/>
  <c r="AP44" i="80" s="1"/>
  <c r="AE45" i="72" s="1"/>
  <c r="N45" i="100"/>
  <c r="AC44" i="76"/>
  <c r="AP44" i="76" s="1"/>
  <c r="AD45" i="72" s="1"/>
  <c r="O30" i="100"/>
  <c r="AC29" i="80"/>
  <c r="AP29" i="80" s="1"/>
  <c r="AE30" i="72" s="1"/>
  <c r="L30" i="100"/>
  <c r="AB31" i="119"/>
  <c r="AL31" i="119" s="1"/>
  <c r="AO31" i="119" s="1"/>
  <c r="AB30" i="72" s="1"/>
  <c r="L55" i="100"/>
  <c r="AB56" i="119"/>
  <c r="AL56" i="119" s="1"/>
  <c r="AO56" i="119" s="1"/>
  <c r="AB55" i="72" s="1"/>
  <c r="AB56" i="116"/>
  <c r="AL56" i="116" s="1"/>
  <c r="AO56" i="116" s="1"/>
  <c r="Y55" i="72" s="1"/>
  <c r="I55" i="100"/>
  <c r="F49" i="100"/>
  <c r="AB50" i="113"/>
  <c r="AL50" i="113" s="1"/>
  <c r="AO50" i="113" s="1"/>
  <c r="V49" i="72" s="1"/>
  <c r="K49" i="100"/>
  <c r="AB50" i="118"/>
  <c r="AL50" i="118" s="1"/>
  <c r="AO50" i="118" s="1"/>
  <c r="AA49" i="72" s="1"/>
  <c r="L72" i="100"/>
  <c r="AB73" i="119"/>
  <c r="AL73" i="119" s="1"/>
  <c r="AO73" i="119" s="1"/>
  <c r="AB72" i="72" s="1"/>
  <c r="K72" i="100"/>
  <c r="AB73" i="118"/>
  <c r="AL73" i="118" s="1"/>
  <c r="AO73" i="118" s="1"/>
  <c r="AA72" i="72" s="1"/>
  <c r="F21" i="100"/>
  <c r="AB22" i="113"/>
  <c r="AL22" i="113" s="1"/>
  <c r="AO22" i="113" s="1"/>
  <c r="V21" i="72" s="1"/>
  <c r="K29" i="100"/>
  <c r="AB30" i="118"/>
  <c r="AL30" i="118" s="1"/>
  <c r="AO30" i="118" s="1"/>
  <c r="AA29" i="72" s="1"/>
  <c r="L29" i="100"/>
  <c r="AB30" i="119"/>
  <c r="AL30" i="119" s="1"/>
  <c r="AO30" i="119" s="1"/>
  <c r="AB29" i="72" s="1"/>
  <c r="I26" i="100"/>
  <c r="AB27" i="116"/>
  <c r="AL27" i="116" s="1"/>
  <c r="AO27" i="116" s="1"/>
  <c r="Y26" i="72" s="1"/>
  <c r="M26" i="100"/>
  <c r="AB27" i="120"/>
  <c r="AL27" i="120" s="1"/>
  <c r="AO27" i="120" s="1"/>
  <c r="AC26" i="72" s="1"/>
  <c r="N36" i="100"/>
  <c r="AC35" i="76"/>
  <c r="AP35" i="76" s="1"/>
  <c r="AD36" i="72" s="1"/>
  <c r="O36" i="100"/>
  <c r="AC35" i="80"/>
  <c r="AP35" i="80" s="1"/>
  <c r="AE36" i="72" s="1"/>
  <c r="F69" i="100"/>
  <c r="AB70" i="113"/>
  <c r="AL70" i="113" s="1"/>
  <c r="AO70" i="113" s="1"/>
  <c r="V69" i="72" s="1"/>
  <c r="AD69" i="117"/>
  <c r="AN69" i="117" s="1"/>
  <c r="AQ69" i="117" s="1"/>
  <c r="Z68" i="72" s="1"/>
  <c r="J68" i="100"/>
  <c r="M68" i="100"/>
  <c r="AB69" i="120"/>
  <c r="AL69" i="120" s="1"/>
  <c r="AO69" i="120" s="1"/>
  <c r="AC68" i="72" s="1"/>
  <c r="O31" i="100"/>
  <c r="AC30" i="80"/>
  <c r="AP30" i="80" s="1"/>
  <c r="AE31" i="72" s="1"/>
  <c r="N9" i="100"/>
  <c r="AC8" i="76"/>
  <c r="AP8" i="76" s="1"/>
  <c r="AD9" i="72" s="1"/>
  <c r="AA33" i="120"/>
  <c r="Z33" i="113"/>
  <c r="AA33" i="113" s="1"/>
  <c r="Z33" i="116"/>
  <c r="AA33" i="116" s="1"/>
  <c r="AB73" i="76"/>
  <c r="Z75" i="118"/>
  <c r="AA75" i="118" s="1"/>
  <c r="AA75" i="116"/>
  <c r="Z48" i="120"/>
  <c r="AA48" i="120" s="1"/>
  <c r="AB48" i="116"/>
  <c r="AL48" i="116" s="1"/>
  <c r="AO48" i="116" s="1"/>
  <c r="Y47" i="72" s="1"/>
  <c r="I47" i="100"/>
  <c r="AC48" i="116"/>
  <c r="AE48" i="116" s="1"/>
  <c r="AC51" i="117"/>
  <c r="AA63" i="118"/>
  <c r="Z63" i="113"/>
  <c r="AA63" i="113" s="1"/>
  <c r="AA63" i="119"/>
  <c r="Z63" i="116"/>
  <c r="AA63" i="116" s="1"/>
  <c r="Z47" i="114"/>
  <c r="AA47" i="114" s="1"/>
  <c r="AB45" i="80"/>
  <c r="AB47" i="117"/>
  <c r="AC47" i="117" s="1"/>
  <c r="AB13" i="76"/>
  <c r="AC15" i="117"/>
  <c r="AA15" i="114"/>
  <c r="Z15" i="120"/>
  <c r="AA15" i="120" s="1"/>
  <c r="AA14" i="116"/>
  <c r="AA40" i="116"/>
  <c r="AA38" i="80"/>
  <c r="AB38" i="80" s="1"/>
  <c r="AB56" i="76"/>
  <c r="F57" i="100"/>
  <c r="AB58" i="113"/>
  <c r="AL58" i="113" s="1"/>
  <c r="AO58" i="113" s="1"/>
  <c r="V57" i="72" s="1"/>
  <c r="AB10" i="80"/>
  <c r="K11" i="100"/>
  <c r="AB12" i="118"/>
  <c r="AL12" i="118" s="1"/>
  <c r="AO12" i="118" s="1"/>
  <c r="AA11" i="72" s="1"/>
  <c r="K71" i="100"/>
  <c r="AB72" i="118"/>
  <c r="AL72" i="118" s="1"/>
  <c r="AO72" i="118" s="1"/>
  <c r="AA71" i="72" s="1"/>
  <c r="AD72" i="117"/>
  <c r="AN72" i="117" s="1"/>
  <c r="AQ72" i="117" s="1"/>
  <c r="Z71" i="72" s="1"/>
  <c r="J71" i="100"/>
  <c r="AE72" i="117"/>
  <c r="AG72" i="117" s="1"/>
  <c r="AB43" i="113"/>
  <c r="AL43" i="113" s="1"/>
  <c r="AO43" i="113" s="1"/>
  <c r="V42" i="72" s="1"/>
  <c r="F42" i="100"/>
  <c r="AC43" i="113"/>
  <c r="AE43" i="113" s="1"/>
  <c r="M7" i="100"/>
  <c r="AB8" i="120"/>
  <c r="AL8" i="120" s="1"/>
  <c r="AO8" i="120" s="1"/>
  <c r="AC7" i="72" s="1"/>
  <c r="F7" i="100"/>
  <c r="AB8" i="113"/>
  <c r="AL8" i="113" s="1"/>
  <c r="AO8" i="113" s="1"/>
  <c r="V7" i="72" s="1"/>
  <c r="N7" i="100"/>
  <c r="AC6" i="76"/>
  <c r="AP6" i="76" s="1"/>
  <c r="AD7" i="72" s="1"/>
  <c r="O19" i="100"/>
  <c r="AC18" i="80"/>
  <c r="AP18" i="80" s="1"/>
  <c r="AE19" i="72" s="1"/>
  <c r="AA20" i="120"/>
  <c r="J19" i="100"/>
  <c r="AD20" i="117"/>
  <c r="AN20" i="117" s="1"/>
  <c r="AQ20" i="117" s="1"/>
  <c r="Z19" i="72" s="1"/>
  <c r="AA68" i="118"/>
  <c r="AD68" i="117"/>
  <c r="AN68" i="117" s="1"/>
  <c r="AQ68" i="117" s="1"/>
  <c r="Z67" i="72" s="1"/>
  <c r="J67" i="100"/>
  <c r="AE68" i="117"/>
  <c r="AG68" i="117" s="1"/>
  <c r="K23" i="100"/>
  <c r="AB24" i="118"/>
  <c r="AL24" i="118" s="1"/>
  <c r="AO24" i="118" s="1"/>
  <c r="AA23" i="72" s="1"/>
  <c r="AA24" i="114"/>
  <c r="AA24" i="119"/>
  <c r="AA11" i="113"/>
  <c r="AC11" i="117"/>
  <c r="AA11" i="114"/>
  <c r="H19" i="72"/>
  <c r="AJ20" i="115"/>
  <c r="T22" i="72"/>
  <c r="T75" i="72" s="1"/>
  <c r="Y56" i="46"/>
  <c r="H41" i="72"/>
  <c r="AJ42" i="115"/>
  <c r="H7" i="72"/>
  <c r="AJ8" i="115"/>
  <c r="H64" i="72"/>
  <c r="AJ65" i="115"/>
  <c r="H27" i="72"/>
  <c r="AJ28" i="115"/>
  <c r="H48" i="72"/>
  <c r="AJ49" i="115"/>
  <c r="H58" i="72"/>
  <c r="AJ59" i="115"/>
  <c r="G38" i="100"/>
  <c r="AB39" i="114"/>
  <c r="AL39" i="114" s="1"/>
  <c r="AO39" i="114" s="1"/>
  <c r="W38" i="72" s="1"/>
  <c r="N38" i="100"/>
  <c r="AC37" i="76"/>
  <c r="AP37" i="76" s="1"/>
  <c r="AD38" i="72" s="1"/>
  <c r="K61" i="100"/>
  <c r="AB62" i="118"/>
  <c r="AL62" i="118" s="1"/>
  <c r="AO62" i="118" s="1"/>
  <c r="AA61" i="72" s="1"/>
  <c r="F56" i="100"/>
  <c r="AB57" i="113"/>
  <c r="AL57" i="113" s="1"/>
  <c r="AO57" i="113" s="1"/>
  <c r="V56" i="72" s="1"/>
  <c r="AB55" i="114"/>
  <c r="AL55" i="114" s="1"/>
  <c r="AO55" i="114" s="1"/>
  <c r="W54" i="72" s="1"/>
  <c r="G54" i="100"/>
  <c r="AC55" i="114"/>
  <c r="AE55" i="114" s="1"/>
  <c r="AC55" i="120"/>
  <c r="AE55" i="120" s="1"/>
  <c r="AC44" i="119"/>
  <c r="AE44" i="119" s="1"/>
  <c r="K65" i="100"/>
  <c r="AB66" i="118"/>
  <c r="AL66" i="118" s="1"/>
  <c r="AO66" i="118" s="1"/>
  <c r="AA65" i="72" s="1"/>
  <c r="K60" i="100"/>
  <c r="R60" i="100" s="1"/>
  <c r="AB61" i="118"/>
  <c r="AL61" i="118" s="1"/>
  <c r="AO61" i="118" s="1"/>
  <c r="AA60" i="72" s="1"/>
  <c r="M20" i="100"/>
  <c r="AB21" i="120"/>
  <c r="AL21" i="120" s="1"/>
  <c r="AO21" i="120" s="1"/>
  <c r="AC20" i="72" s="1"/>
  <c r="K59" i="100"/>
  <c r="AB60" i="118"/>
  <c r="AL60" i="118" s="1"/>
  <c r="AO60" i="118" s="1"/>
  <c r="AA59" i="72" s="1"/>
  <c r="AC16" i="118"/>
  <c r="AE16" i="118" s="1"/>
  <c r="G73" i="100"/>
  <c r="R73" i="100" s="1"/>
  <c r="AB74" i="114"/>
  <c r="AL74" i="114" s="1"/>
  <c r="AO74" i="114" s="1"/>
  <c r="W73" i="72" s="1"/>
  <c r="AC53" i="114"/>
  <c r="AE53" i="114" s="1"/>
  <c r="AC53" i="120"/>
  <c r="AE53" i="120" s="1"/>
  <c r="H46" i="72"/>
  <c r="AJ47" i="115"/>
  <c r="AC38" i="118"/>
  <c r="AE38" i="118" s="1"/>
  <c r="AD24" i="80"/>
  <c r="AF24" i="80" s="1"/>
  <c r="AB41" i="114"/>
  <c r="AL41" i="114" s="1"/>
  <c r="AO41" i="114" s="1"/>
  <c r="W40" i="72" s="1"/>
  <c r="G40" i="100"/>
  <c r="AC41" i="114"/>
  <c r="AE41" i="114" s="1"/>
  <c r="M53" i="100"/>
  <c r="AB54" i="120"/>
  <c r="AL54" i="120" s="1"/>
  <c r="AO54" i="120" s="1"/>
  <c r="AC53" i="72" s="1"/>
  <c r="AC36" i="114"/>
  <c r="AE36" i="114" s="1"/>
  <c r="AD34" i="80"/>
  <c r="AF34" i="80" s="1"/>
  <c r="AB28" i="114"/>
  <c r="AL28" i="114" s="1"/>
  <c r="AO28" i="114" s="1"/>
  <c r="W27" i="72" s="1"/>
  <c r="G27" i="100"/>
  <c r="AC28" i="114"/>
  <c r="AE28" i="114" s="1"/>
  <c r="AC28" i="116"/>
  <c r="AE28" i="116" s="1"/>
  <c r="AC59" i="120"/>
  <c r="AE59" i="120" s="1"/>
  <c r="AC25" i="114"/>
  <c r="AE25" i="114" s="1"/>
  <c r="AD23" i="76"/>
  <c r="AF23" i="76" s="1"/>
  <c r="AB71" i="116"/>
  <c r="AL71" i="116" s="1"/>
  <c r="AO71" i="116" s="1"/>
  <c r="Y70" i="72" s="1"/>
  <c r="I70" i="100"/>
  <c r="AC71" i="116"/>
  <c r="AE71" i="116" s="1"/>
  <c r="I8" i="100"/>
  <c r="AB9" i="116"/>
  <c r="AL9" i="116" s="1"/>
  <c r="AO9" i="116" s="1"/>
  <c r="Y8" i="72" s="1"/>
  <c r="G34" i="100"/>
  <c r="AB35" i="114"/>
  <c r="AL35" i="114" s="1"/>
  <c r="AO35" i="114" s="1"/>
  <c r="W34" i="72" s="1"/>
  <c r="N34" i="100"/>
  <c r="AC33" i="76"/>
  <c r="AP33" i="76" s="1"/>
  <c r="AD34" i="72" s="1"/>
  <c r="AF64" i="119"/>
  <c r="AG64" i="119" s="1"/>
  <c r="AH64" i="119" s="1"/>
  <c r="AI64" i="119"/>
  <c r="AG64" i="120"/>
  <c r="AH64" i="120" s="1"/>
  <c r="AI64" i="120"/>
  <c r="AB29" i="118"/>
  <c r="AL29" i="118" s="1"/>
  <c r="AO29" i="118" s="1"/>
  <c r="AA28" i="72" s="1"/>
  <c r="K28" i="100"/>
  <c r="O28" i="100"/>
  <c r="AC27" i="80"/>
  <c r="AP27" i="80" s="1"/>
  <c r="AE28" i="72" s="1"/>
  <c r="J45" i="100"/>
  <c r="AD46" i="117"/>
  <c r="AN46" i="117" s="1"/>
  <c r="AQ46" i="117" s="1"/>
  <c r="Z45" i="72" s="1"/>
  <c r="M55" i="100"/>
  <c r="AB56" i="120"/>
  <c r="AL56" i="120" s="1"/>
  <c r="AO56" i="120" s="1"/>
  <c r="AC55" i="72" s="1"/>
  <c r="K55" i="100"/>
  <c r="AB56" i="118"/>
  <c r="AL56" i="118" s="1"/>
  <c r="AO56" i="118" s="1"/>
  <c r="AA55" i="72" s="1"/>
  <c r="O49" i="100"/>
  <c r="AC48" i="80"/>
  <c r="AP48" i="80" s="1"/>
  <c r="AE49" i="72" s="1"/>
  <c r="AD71" i="80"/>
  <c r="AF71" i="80" s="1"/>
  <c r="AC22" i="119"/>
  <c r="AE22" i="119" s="1"/>
  <c r="AH28" i="80"/>
  <c r="AI28" i="80" s="1"/>
  <c r="AJ28" i="80"/>
  <c r="N29" i="100"/>
  <c r="AC28" i="76"/>
  <c r="AP28" i="76" s="1"/>
  <c r="AD29" i="72" s="1"/>
  <c r="O44" i="100"/>
  <c r="AC43" i="80"/>
  <c r="AP43" i="80" s="1"/>
  <c r="AE44" i="72" s="1"/>
  <c r="AB45" i="119"/>
  <c r="AL45" i="119" s="1"/>
  <c r="AO45" i="119" s="1"/>
  <c r="AB44" i="72" s="1"/>
  <c r="L44" i="100"/>
  <c r="AC45" i="119"/>
  <c r="AE45" i="119" s="1"/>
  <c r="AD70" i="117"/>
  <c r="AN70" i="117" s="1"/>
  <c r="AQ70" i="117" s="1"/>
  <c r="Z69" i="72" s="1"/>
  <c r="J69" i="100"/>
  <c r="F16" i="100"/>
  <c r="AB17" i="113"/>
  <c r="AL17" i="113" s="1"/>
  <c r="AO17" i="113" s="1"/>
  <c r="V16" i="72" s="1"/>
  <c r="L68" i="100"/>
  <c r="AB69" i="119"/>
  <c r="AL69" i="119" s="1"/>
  <c r="AO69" i="119" s="1"/>
  <c r="AB68" i="72" s="1"/>
  <c r="J9" i="100"/>
  <c r="AD10" i="117"/>
  <c r="AN10" i="117" s="1"/>
  <c r="AQ10" i="117" s="1"/>
  <c r="Z9" i="72" s="1"/>
  <c r="K9" i="100"/>
  <c r="AB10" i="118"/>
  <c r="AL10" i="118" s="1"/>
  <c r="AO10" i="118" s="1"/>
  <c r="AA9" i="72" s="1"/>
  <c r="AG70" i="114"/>
  <c r="AH70" i="114" s="1"/>
  <c r="AI70" i="114"/>
  <c r="AG17" i="120"/>
  <c r="AH17" i="120" s="1"/>
  <c r="AI17" i="120"/>
  <c r="AG32" i="113"/>
  <c r="AH32" i="113" s="1"/>
  <c r="AI32" i="113"/>
  <c r="Q31" i="100"/>
  <c r="U77" i="115"/>
  <c r="AI28" i="46"/>
  <c r="AG30" i="46"/>
  <c r="AC12" i="76" l="1"/>
  <c r="AP12" i="76" s="1"/>
  <c r="AD13" i="72" s="1"/>
  <c r="N13" i="100"/>
  <c r="AC49" i="80"/>
  <c r="AP49" i="80" s="1"/>
  <c r="AE50" i="72" s="1"/>
  <c r="O50" i="100"/>
  <c r="AC38" i="76"/>
  <c r="AP38" i="76" s="1"/>
  <c r="AD39" i="72" s="1"/>
  <c r="N39" i="100"/>
  <c r="AC61" i="76"/>
  <c r="AP61" i="76" s="1"/>
  <c r="AD62" i="72" s="1"/>
  <c r="N62" i="100"/>
  <c r="L50" i="100"/>
  <c r="AB51" i="119"/>
  <c r="AL51" i="119" s="1"/>
  <c r="AO51" i="119" s="1"/>
  <c r="AB50" i="72" s="1"/>
  <c r="N47" i="100"/>
  <c r="AC46" i="76"/>
  <c r="AP46" i="76" s="1"/>
  <c r="AD47" i="72" s="1"/>
  <c r="AC59" i="114"/>
  <c r="AE59" i="114" s="1"/>
  <c r="AC71" i="119"/>
  <c r="AE71" i="119" s="1"/>
  <c r="AC21" i="116"/>
  <c r="AE21" i="116" s="1"/>
  <c r="J10" i="130"/>
  <c r="J13" i="130"/>
  <c r="I17" i="130"/>
  <c r="K17" i="130" s="1"/>
  <c r="L17" i="130" s="1"/>
  <c r="M17" i="130" s="1"/>
  <c r="N17" i="130" s="1"/>
  <c r="Q17" i="130" s="1"/>
  <c r="S17" i="130" s="1"/>
  <c r="T17" i="130" s="1"/>
  <c r="I16" i="130"/>
  <c r="K16" i="130" s="1"/>
  <c r="L16" i="130" s="1"/>
  <c r="M16" i="130" s="1"/>
  <c r="N16" i="130" s="1"/>
  <c r="Q16" i="130" s="1"/>
  <c r="S16" i="130" s="1"/>
  <c r="T16" i="130" s="1"/>
  <c r="I15" i="130"/>
  <c r="K15" i="130" s="1"/>
  <c r="L15" i="130" s="1"/>
  <c r="M15" i="130" s="1"/>
  <c r="N15" i="130" s="1"/>
  <c r="Q15" i="130" s="1"/>
  <c r="S15" i="130" s="1"/>
  <c r="T15" i="130" s="1"/>
  <c r="J14" i="130"/>
  <c r="I10" i="130"/>
  <c r="I11" i="130"/>
  <c r="K11" i="130" s="1"/>
  <c r="L11" i="130" s="1"/>
  <c r="M11" i="130" s="1"/>
  <c r="N11" i="130" s="1"/>
  <c r="Q11" i="130" s="1"/>
  <c r="S11" i="130" s="1"/>
  <c r="T11" i="130" s="1"/>
  <c r="J18" i="130"/>
  <c r="AE70" i="117"/>
  <c r="AG70" i="117" s="1"/>
  <c r="AE44" i="117"/>
  <c r="AG44" i="117" s="1"/>
  <c r="AC31" i="114"/>
  <c r="AE31" i="114" s="1"/>
  <c r="AC54" i="116"/>
  <c r="AE54" i="116" s="1"/>
  <c r="AD48" i="80"/>
  <c r="AF48" i="80" s="1"/>
  <c r="AD69" i="76"/>
  <c r="AF69" i="76" s="1"/>
  <c r="AC65" i="120"/>
  <c r="AE65" i="120" s="1"/>
  <c r="AC61" i="120"/>
  <c r="AE61" i="120" s="1"/>
  <c r="AC34" i="120"/>
  <c r="AE34" i="120" s="1"/>
  <c r="AE41" i="117"/>
  <c r="AG41" i="117" s="1"/>
  <c r="AC47" i="119"/>
  <c r="AE47" i="119" s="1"/>
  <c r="AD46" i="76"/>
  <c r="AF46" i="76" s="1"/>
  <c r="AC29" i="120"/>
  <c r="AE29" i="120" s="1"/>
  <c r="AC54" i="114"/>
  <c r="AE54" i="114" s="1"/>
  <c r="AC21" i="120"/>
  <c r="AE21" i="120" s="1"/>
  <c r="AD37" i="76"/>
  <c r="AF37" i="76" s="1"/>
  <c r="AC30" i="119"/>
  <c r="AE30" i="119" s="1"/>
  <c r="AC25" i="116"/>
  <c r="AE25" i="116" s="1"/>
  <c r="AC59" i="113"/>
  <c r="AE59" i="113" s="1"/>
  <c r="AD58" i="76"/>
  <c r="AF58" i="76" s="1"/>
  <c r="AC45" i="113"/>
  <c r="AE45" i="113" s="1"/>
  <c r="AE9" i="117"/>
  <c r="AG9" i="117" s="1"/>
  <c r="AD68" i="80"/>
  <c r="AF68" i="80" s="1"/>
  <c r="R31" i="100"/>
  <c r="AD64" i="80"/>
  <c r="AF64" i="80" s="1"/>
  <c r="AC68" i="120"/>
  <c r="AE68" i="120" s="1"/>
  <c r="AC9" i="76"/>
  <c r="AP9" i="76" s="1"/>
  <c r="AD10" i="72" s="1"/>
  <c r="N10" i="100"/>
  <c r="AC56" i="116"/>
  <c r="AE56" i="116" s="1"/>
  <c r="AC32" i="116"/>
  <c r="AE32" i="116" s="1"/>
  <c r="AC39" i="118"/>
  <c r="AE39" i="118" s="1"/>
  <c r="AE69" i="117"/>
  <c r="AG69" i="117" s="1"/>
  <c r="AE24" i="117"/>
  <c r="AG24" i="117" s="1"/>
  <c r="AE53" i="117"/>
  <c r="AG53" i="117" s="1"/>
  <c r="AA7" i="115"/>
  <c r="AC69" i="119"/>
  <c r="AE69" i="119" s="1"/>
  <c r="AD27" i="80"/>
  <c r="AF27" i="80" s="1"/>
  <c r="AC29" i="118"/>
  <c r="AE29" i="118" s="1"/>
  <c r="AD33" i="76"/>
  <c r="AF33" i="76" s="1"/>
  <c r="Q8" i="100"/>
  <c r="Q70" i="100"/>
  <c r="R61" i="100"/>
  <c r="AC12" i="118"/>
  <c r="AE12" i="118" s="1"/>
  <c r="AC58" i="113"/>
  <c r="AE58" i="113" s="1"/>
  <c r="AD35" i="80"/>
  <c r="AF35" i="80" s="1"/>
  <c r="AC73" i="119"/>
  <c r="AE73" i="119" s="1"/>
  <c r="AD29" i="80"/>
  <c r="AF29" i="80" s="1"/>
  <c r="AC64" i="113"/>
  <c r="AE64" i="113" s="1"/>
  <c r="AC41" i="113"/>
  <c r="AE41" i="113" s="1"/>
  <c r="AE18" i="117"/>
  <c r="AG18" i="117" s="1"/>
  <c r="AC27" i="114"/>
  <c r="AE27" i="114" s="1"/>
  <c r="AC67" i="116"/>
  <c r="AE67" i="116" s="1"/>
  <c r="AC52" i="114"/>
  <c r="AE52" i="114" s="1"/>
  <c r="AE13" i="117"/>
  <c r="AG13" i="117" s="1"/>
  <c r="Q12" i="100"/>
  <c r="AE34" i="117"/>
  <c r="AG34" i="117" s="1"/>
  <c r="AE44" i="46"/>
  <c r="AC14" i="113"/>
  <c r="AE14" i="113" s="1"/>
  <c r="AC33" i="119"/>
  <c r="AE33" i="119" s="1"/>
  <c r="AD71" i="76"/>
  <c r="AF71" i="76" s="1"/>
  <c r="AD62" i="76"/>
  <c r="AF62" i="76" s="1"/>
  <c r="AC9" i="120"/>
  <c r="AE9" i="120" s="1"/>
  <c r="AD63" i="76"/>
  <c r="AF63" i="76" s="1"/>
  <c r="AC16" i="119"/>
  <c r="AE16" i="119" s="1"/>
  <c r="AC34" i="113"/>
  <c r="AE34" i="113" s="1"/>
  <c r="AC45" i="114"/>
  <c r="AE45" i="114" s="1"/>
  <c r="AD16" i="80"/>
  <c r="AF16" i="80" s="1"/>
  <c r="AD37" i="80"/>
  <c r="AF37" i="80" s="1"/>
  <c r="AC72" i="120"/>
  <c r="AE72" i="120" s="1"/>
  <c r="AC63" i="114"/>
  <c r="AE63" i="114" s="1"/>
  <c r="AC32" i="119"/>
  <c r="AE32" i="119" s="1"/>
  <c r="AC35" i="116"/>
  <c r="AE35" i="116" s="1"/>
  <c r="AC10" i="118"/>
  <c r="AE10" i="118" s="1"/>
  <c r="AD43" i="80"/>
  <c r="AF43" i="80" s="1"/>
  <c r="AC56" i="120"/>
  <c r="AE56" i="120" s="1"/>
  <c r="AC9" i="116"/>
  <c r="AE9" i="116" s="1"/>
  <c r="AC66" i="118"/>
  <c r="AE66" i="118" s="1"/>
  <c r="AC57" i="113"/>
  <c r="AE57" i="113" s="1"/>
  <c r="AD9" i="76"/>
  <c r="AF9" i="76" s="1"/>
  <c r="AC24" i="118"/>
  <c r="AE24" i="118" s="1"/>
  <c r="AD6" i="76"/>
  <c r="AF6" i="76" s="1"/>
  <c r="AC27" i="120"/>
  <c r="AE27" i="120" s="1"/>
  <c r="AC22" i="113"/>
  <c r="AE22" i="113" s="1"/>
  <c r="AC50" i="113"/>
  <c r="AE50" i="113" s="1"/>
  <c r="Q55" i="100"/>
  <c r="AC56" i="119"/>
  <c r="AE56" i="119" s="1"/>
  <c r="AD44" i="80"/>
  <c r="AF44" i="80" s="1"/>
  <c r="Q24" i="100"/>
  <c r="R26" i="100"/>
  <c r="AC57" i="116"/>
  <c r="AE57" i="116" s="1"/>
  <c r="Q66" i="100"/>
  <c r="AC39" i="116"/>
  <c r="AE39" i="116" s="1"/>
  <c r="AC32" i="120"/>
  <c r="AE32" i="120" s="1"/>
  <c r="AC69" i="113"/>
  <c r="AE69" i="113" s="1"/>
  <c r="Q65" i="100"/>
  <c r="AD66" i="76"/>
  <c r="AF66" i="76" s="1"/>
  <c r="AD38" i="76"/>
  <c r="AF38" i="76" s="1"/>
  <c r="AC15" i="113"/>
  <c r="AE15" i="113" s="1"/>
  <c r="AD61" i="76"/>
  <c r="AF61" i="76" s="1"/>
  <c r="Q53" i="100"/>
  <c r="AD50" i="80"/>
  <c r="AF50" i="80" s="1"/>
  <c r="R34" i="100"/>
  <c r="AC8" i="120"/>
  <c r="AE8" i="120" s="1"/>
  <c r="AD30" i="80"/>
  <c r="AF30" i="80" s="1"/>
  <c r="AE71" i="117"/>
  <c r="AG71" i="117" s="1"/>
  <c r="AC65" i="118"/>
  <c r="AE65" i="118" s="1"/>
  <c r="Q64" i="100"/>
  <c r="AC38" i="116"/>
  <c r="AE38" i="116" s="1"/>
  <c r="AD51" i="76"/>
  <c r="AF51" i="76" s="1"/>
  <c r="R52" i="100"/>
  <c r="AC52" i="119"/>
  <c r="AE52" i="119" s="1"/>
  <c r="AC37" i="119"/>
  <c r="AE37" i="119" s="1"/>
  <c r="AC30" i="114"/>
  <c r="AE30" i="114" s="1"/>
  <c r="Q29" i="100"/>
  <c r="R28" i="100"/>
  <c r="AD21" i="80"/>
  <c r="AF21" i="80" s="1"/>
  <c r="AC35" i="120"/>
  <c r="AE35" i="120" s="1"/>
  <c r="AE26" i="117"/>
  <c r="AG26" i="117" s="1"/>
  <c r="Q20" i="100"/>
  <c r="AD42" i="80"/>
  <c r="AF42" i="80" s="1"/>
  <c r="Q51" i="100"/>
  <c r="AD15" i="80"/>
  <c r="AF15" i="80" s="1"/>
  <c r="AD54" i="80"/>
  <c r="AF54" i="80" s="1"/>
  <c r="AC23" i="114"/>
  <c r="AE23" i="114" s="1"/>
  <c r="AD57" i="76"/>
  <c r="AF57" i="76" s="1"/>
  <c r="AD36" i="76"/>
  <c r="AF36" i="76" s="1"/>
  <c r="AD47" i="76"/>
  <c r="AF47" i="76" s="1"/>
  <c r="AC37" i="120"/>
  <c r="AE37" i="120" s="1"/>
  <c r="Q36" i="100"/>
  <c r="AC42" i="120"/>
  <c r="AE42" i="120" s="1"/>
  <c r="AC31" i="113"/>
  <c r="AE31" i="113" s="1"/>
  <c r="R17" i="100"/>
  <c r="AD32" i="80"/>
  <c r="AF32" i="80" s="1"/>
  <c r="AC75" i="119"/>
  <c r="AE75" i="119" s="1"/>
  <c r="AC10" i="113"/>
  <c r="AE10" i="113" s="1"/>
  <c r="AE17" i="117"/>
  <c r="AG17" i="117" s="1"/>
  <c r="Y43" i="31"/>
  <c r="Z43" i="31" s="1"/>
  <c r="AB43" i="31" s="1"/>
  <c r="AC50" i="120"/>
  <c r="AE50" i="120" s="1"/>
  <c r="AE23" i="117"/>
  <c r="AG23" i="117" s="1"/>
  <c r="AC36" i="116"/>
  <c r="AE36" i="116" s="1"/>
  <c r="R53" i="100"/>
  <c r="AC13" i="120"/>
  <c r="AE13" i="120" s="1"/>
  <c r="Q37" i="100"/>
  <c r="AD65" i="80"/>
  <c r="AF65" i="80" s="1"/>
  <c r="AC53" i="118"/>
  <c r="AE53" i="118" s="1"/>
  <c r="AC60" i="114"/>
  <c r="AE60" i="114" s="1"/>
  <c r="R59" i="100"/>
  <c r="AE55" i="117"/>
  <c r="AG55" i="117" s="1"/>
  <c r="AE22" i="117"/>
  <c r="AG22" i="117" s="1"/>
  <c r="AC23" i="118"/>
  <c r="AE23" i="118" s="1"/>
  <c r="AD26" i="80"/>
  <c r="AF26" i="80" s="1"/>
  <c r="R25" i="100"/>
  <c r="AC38" i="119"/>
  <c r="AE38" i="119" s="1"/>
  <c r="AC11" i="118"/>
  <c r="AE11" i="118" s="1"/>
  <c r="AC20" i="114"/>
  <c r="AE20" i="114" s="1"/>
  <c r="AC12" i="120"/>
  <c r="AE12" i="120" s="1"/>
  <c r="AC47" i="120"/>
  <c r="AE47" i="120" s="1"/>
  <c r="AC17" i="114"/>
  <c r="AE17" i="114" s="1"/>
  <c r="AC56" i="114"/>
  <c r="AE56" i="114" s="1"/>
  <c r="AC65" i="119"/>
  <c r="AE65" i="119" s="1"/>
  <c r="AC41" i="116"/>
  <c r="AE41" i="116" s="1"/>
  <c r="AC62" i="116"/>
  <c r="AE62" i="116" s="1"/>
  <c r="AC17" i="116"/>
  <c r="AE17" i="116" s="1"/>
  <c r="AD14" i="76"/>
  <c r="AF14" i="76" s="1"/>
  <c r="AC62" i="114"/>
  <c r="AE62" i="114" s="1"/>
  <c r="O39" i="100"/>
  <c r="AC38" i="80"/>
  <c r="AP38" i="80" s="1"/>
  <c r="AE39" i="72" s="1"/>
  <c r="I62" i="100"/>
  <c r="AB63" i="116"/>
  <c r="AL63" i="116" s="1"/>
  <c r="AO63" i="116" s="1"/>
  <c r="Y62" i="72" s="1"/>
  <c r="G18" i="100"/>
  <c r="AB19" i="114"/>
  <c r="AL19" i="114" s="1"/>
  <c r="AO19" i="114" s="1"/>
  <c r="W18" i="72" s="1"/>
  <c r="O18" i="100"/>
  <c r="AC17" i="80"/>
  <c r="AP17" i="80" s="1"/>
  <c r="AE18" i="72" s="1"/>
  <c r="O10" i="100"/>
  <c r="AC9" i="80"/>
  <c r="AP9" i="80" s="1"/>
  <c r="AE10" i="72" s="1"/>
  <c r="N23" i="100"/>
  <c r="AC22" i="76"/>
  <c r="AP22" i="76" s="1"/>
  <c r="AD23" i="72" s="1"/>
  <c r="AB20" i="116"/>
  <c r="AL20" i="116" s="1"/>
  <c r="AO20" i="116" s="1"/>
  <c r="Y19" i="72" s="1"/>
  <c r="I19" i="100"/>
  <c r="AC20" i="116"/>
  <c r="AE20" i="116" s="1"/>
  <c r="O7" i="100"/>
  <c r="AC6" i="80"/>
  <c r="AP6" i="80" s="1"/>
  <c r="AE7" i="72" s="1"/>
  <c r="I11" i="100"/>
  <c r="AB12" i="116"/>
  <c r="AL12" i="116" s="1"/>
  <c r="AO12" i="116" s="1"/>
  <c r="Y11" i="72" s="1"/>
  <c r="L39" i="100"/>
  <c r="AB40" i="119"/>
  <c r="AL40" i="119" s="1"/>
  <c r="AO40" i="119" s="1"/>
  <c r="AB39" i="72" s="1"/>
  <c r="O47" i="100"/>
  <c r="AC46" i="80"/>
  <c r="AP46" i="80" s="1"/>
  <c r="AE47" i="72" s="1"/>
  <c r="O74" i="100"/>
  <c r="AC73" i="80"/>
  <c r="AP73" i="80" s="1"/>
  <c r="AE74" i="72" s="1"/>
  <c r="M14" i="100"/>
  <c r="AB15" i="120"/>
  <c r="AL15" i="120" s="1"/>
  <c r="AO15" i="120" s="1"/>
  <c r="AC14" i="72" s="1"/>
  <c r="J46" i="100"/>
  <c r="AD47" i="117"/>
  <c r="AN47" i="117" s="1"/>
  <c r="AQ47" i="117" s="1"/>
  <c r="Z46" i="72" s="1"/>
  <c r="G46" i="100"/>
  <c r="AB47" i="114"/>
  <c r="AL47" i="114" s="1"/>
  <c r="AO47" i="114" s="1"/>
  <c r="W46" i="72" s="1"/>
  <c r="F32" i="100"/>
  <c r="AB33" i="113"/>
  <c r="AL33" i="113" s="1"/>
  <c r="AO33" i="113" s="1"/>
  <c r="V32" i="72" s="1"/>
  <c r="N18" i="100"/>
  <c r="AC17" i="76"/>
  <c r="AP17" i="76" s="1"/>
  <c r="AD18" i="72" s="1"/>
  <c r="L10" i="100"/>
  <c r="AB11" i="119"/>
  <c r="AL11" i="119" s="1"/>
  <c r="AO11" i="119" s="1"/>
  <c r="AB10" i="72" s="1"/>
  <c r="L67" i="100"/>
  <c r="AB68" i="119"/>
  <c r="AL68" i="119" s="1"/>
  <c r="AO68" i="119" s="1"/>
  <c r="AB67" i="72" s="1"/>
  <c r="I67" i="100"/>
  <c r="AB68" i="116"/>
  <c r="AL68" i="116" s="1"/>
  <c r="AO68" i="116" s="1"/>
  <c r="Y67" i="72" s="1"/>
  <c r="J7" i="100"/>
  <c r="AD8" i="117"/>
  <c r="AN8" i="117" s="1"/>
  <c r="AQ8" i="117" s="1"/>
  <c r="Z7" i="72" s="1"/>
  <c r="G7" i="100"/>
  <c r="AB8" i="114"/>
  <c r="AL8" i="114" s="1"/>
  <c r="AO8" i="114" s="1"/>
  <c r="W7" i="72" s="1"/>
  <c r="O42" i="100"/>
  <c r="AC41" i="80"/>
  <c r="AP41" i="80" s="1"/>
  <c r="AE42" i="72" s="1"/>
  <c r="AB43" i="119"/>
  <c r="AL43" i="119" s="1"/>
  <c r="AO43" i="119" s="1"/>
  <c r="AB42" i="72" s="1"/>
  <c r="L42" i="100"/>
  <c r="AC43" i="119"/>
  <c r="AE43" i="119" s="1"/>
  <c r="L71" i="100"/>
  <c r="AB72" i="119"/>
  <c r="AL72" i="119" s="1"/>
  <c r="AO72" i="119" s="1"/>
  <c r="AB71" i="72" s="1"/>
  <c r="AB72" i="116"/>
  <c r="AL72" i="116" s="1"/>
  <c r="AO72" i="116" s="1"/>
  <c r="Y71" i="72" s="1"/>
  <c r="I71" i="100"/>
  <c r="AC72" i="116"/>
  <c r="AE72" i="116" s="1"/>
  <c r="G57" i="100"/>
  <c r="AB58" i="114"/>
  <c r="AL58" i="114" s="1"/>
  <c r="AO58" i="114" s="1"/>
  <c r="W57" i="72" s="1"/>
  <c r="O57" i="100"/>
  <c r="AC56" i="80"/>
  <c r="AP56" i="80" s="1"/>
  <c r="AE57" i="72" s="1"/>
  <c r="N46" i="100"/>
  <c r="AC45" i="76"/>
  <c r="AP45" i="76" s="1"/>
  <c r="AD46" i="72" s="1"/>
  <c r="O62" i="100"/>
  <c r="AC61" i="80"/>
  <c r="AP61" i="80" s="1"/>
  <c r="AE62" i="72" s="1"/>
  <c r="AD48" i="117"/>
  <c r="AN48" i="117" s="1"/>
  <c r="AQ48" i="117" s="1"/>
  <c r="Z47" i="72" s="1"/>
  <c r="J47" i="100"/>
  <c r="AE48" i="117"/>
  <c r="AG48" i="117" s="1"/>
  <c r="J32" i="100"/>
  <c r="AD33" i="117"/>
  <c r="AN33" i="117" s="1"/>
  <c r="AQ33" i="117" s="1"/>
  <c r="Z32" i="72" s="1"/>
  <c r="AI70" i="117"/>
  <c r="AJ70" i="117" s="1"/>
  <c r="AK70" i="117"/>
  <c r="U5" i="76"/>
  <c r="T7" i="119"/>
  <c r="V7" i="117"/>
  <c r="T7" i="116"/>
  <c r="T7" i="114"/>
  <c r="U5" i="80"/>
  <c r="T7" i="120"/>
  <c r="T7" i="118"/>
  <c r="T7" i="113"/>
  <c r="AK28" i="46"/>
  <c r="AI30" i="46"/>
  <c r="AM28" i="46"/>
  <c r="F31" i="72"/>
  <c r="AJ32" i="113"/>
  <c r="N16" i="72"/>
  <c r="AJ17" i="120"/>
  <c r="G69" i="72"/>
  <c r="AJ70" i="114"/>
  <c r="AE10" i="117"/>
  <c r="AG10" i="117" s="1"/>
  <c r="AC17" i="113"/>
  <c r="AE17" i="113" s="1"/>
  <c r="Q16" i="100"/>
  <c r="R16" i="100"/>
  <c r="AF45" i="119"/>
  <c r="AG45" i="119" s="1"/>
  <c r="AH45" i="119" s="1"/>
  <c r="AI45" i="119"/>
  <c r="AD28" i="76"/>
  <c r="AF28" i="76" s="1"/>
  <c r="P29" i="72"/>
  <c r="AK28" i="80"/>
  <c r="AH71" i="80"/>
  <c r="AI71" i="80" s="1"/>
  <c r="AJ71" i="80"/>
  <c r="AC56" i="118"/>
  <c r="AE56" i="118" s="1"/>
  <c r="AE46" i="117"/>
  <c r="AG46" i="117" s="1"/>
  <c r="N63" i="72"/>
  <c r="AJ64" i="120"/>
  <c r="M63" i="72"/>
  <c r="AJ64" i="119"/>
  <c r="AC35" i="114"/>
  <c r="AE35" i="114" s="1"/>
  <c r="AG71" i="116"/>
  <c r="AH71" i="116" s="1"/>
  <c r="AI71" i="116"/>
  <c r="AG25" i="114"/>
  <c r="AH25" i="114" s="1"/>
  <c r="AI25" i="114"/>
  <c r="AG28" i="116"/>
  <c r="AH28" i="116" s="1"/>
  <c r="AI28" i="116"/>
  <c r="AH34" i="80"/>
  <c r="AI34" i="80" s="1"/>
  <c r="AJ34" i="80"/>
  <c r="AC54" i="120"/>
  <c r="AE54" i="120" s="1"/>
  <c r="AH24" i="80"/>
  <c r="AI24" i="80" s="1"/>
  <c r="AJ24" i="80"/>
  <c r="AG53" i="120"/>
  <c r="AH53" i="120" s="1"/>
  <c r="AI53" i="120"/>
  <c r="AC74" i="114"/>
  <c r="AE74" i="114" s="1"/>
  <c r="AC60" i="118"/>
  <c r="AE60" i="118" s="1"/>
  <c r="AC61" i="118"/>
  <c r="AE61" i="118" s="1"/>
  <c r="AF44" i="119"/>
  <c r="AG44" i="119" s="1"/>
  <c r="AH44" i="119" s="1"/>
  <c r="AI44" i="119"/>
  <c r="AG55" i="114"/>
  <c r="AH55" i="114" s="1"/>
  <c r="AI55" i="114"/>
  <c r="AC62" i="118"/>
  <c r="AE62" i="118" s="1"/>
  <c r="AC39" i="114"/>
  <c r="AE39" i="114" s="1"/>
  <c r="J10" i="100"/>
  <c r="AD11" i="117"/>
  <c r="AN11" i="117" s="1"/>
  <c r="AQ11" i="117" s="1"/>
  <c r="Z10" i="72" s="1"/>
  <c r="F10" i="100"/>
  <c r="AB11" i="113"/>
  <c r="AL11" i="113" s="1"/>
  <c r="AO11" i="113" s="1"/>
  <c r="V10" i="72" s="1"/>
  <c r="G23" i="100"/>
  <c r="AB24" i="114"/>
  <c r="AL24" i="114" s="1"/>
  <c r="AO24" i="114" s="1"/>
  <c r="W23" i="72" s="1"/>
  <c r="AI68" i="117"/>
  <c r="AJ68" i="117" s="1"/>
  <c r="AK68" i="117"/>
  <c r="AE20" i="117"/>
  <c r="AG20" i="117" s="1"/>
  <c r="AD18" i="80"/>
  <c r="AF18" i="80" s="1"/>
  <c r="AC8" i="113"/>
  <c r="AE8" i="113" s="1"/>
  <c r="AG43" i="113"/>
  <c r="AH43" i="113" s="1"/>
  <c r="AI43" i="113"/>
  <c r="AC72" i="118"/>
  <c r="AE72" i="118" s="1"/>
  <c r="O11" i="100"/>
  <c r="AC10" i="80"/>
  <c r="AP10" i="80" s="1"/>
  <c r="AE11" i="72" s="1"/>
  <c r="N57" i="100"/>
  <c r="AC56" i="76"/>
  <c r="AP56" i="76" s="1"/>
  <c r="AD57" i="72" s="1"/>
  <c r="AB40" i="116"/>
  <c r="AL40" i="116" s="1"/>
  <c r="AO40" i="116" s="1"/>
  <c r="Y39" i="72" s="1"/>
  <c r="I39" i="100"/>
  <c r="AC40" i="116"/>
  <c r="AE40" i="116" s="1"/>
  <c r="J14" i="100"/>
  <c r="AD15" i="117"/>
  <c r="AN15" i="117" s="1"/>
  <c r="AQ15" i="117" s="1"/>
  <c r="Z14" i="72" s="1"/>
  <c r="L62" i="100"/>
  <c r="AB63" i="119"/>
  <c r="AL63" i="119" s="1"/>
  <c r="AO63" i="119" s="1"/>
  <c r="AB62" i="72" s="1"/>
  <c r="K62" i="100"/>
  <c r="AB63" i="118"/>
  <c r="AL63" i="118" s="1"/>
  <c r="AO63" i="118" s="1"/>
  <c r="AA62" i="72" s="1"/>
  <c r="AG48" i="116"/>
  <c r="AH48" i="116" s="1"/>
  <c r="AI48" i="116"/>
  <c r="I74" i="100"/>
  <c r="AB75" i="116"/>
  <c r="AL75" i="116" s="1"/>
  <c r="AO75" i="116" s="1"/>
  <c r="Y74" i="72" s="1"/>
  <c r="N74" i="100"/>
  <c r="AC73" i="76"/>
  <c r="AP73" i="76" s="1"/>
  <c r="AD74" i="72" s="1"/>
  <c r="AD8" i="76"/>
  <c r="AF8" i="76" s="1"/>
  <c r="AC69" i="120"/>
  <c r="AE69" i="120" s="1"/>
  <c r="AC70" i="113"/>
  <c r="AE70" i="113" s="1"/>
  <c r="Q69" i="100"/>
  <c r="R69" i="100"/>
  <c r="AD35" i="76"/>
  <c r="AF35" i="76" s="1"/>
  <c r="AC27" i="116"/>
  <c r="AE27" i="116" s="1"/>
  <c r="AC30" i="118"/>
  <c r="AE30" i="118" s="1"/>
  <c r="AC73" i="118"/>
  <c r="AE73" i="118" s="1"/>
  <c r="AC50" i="118"/>
  <c r="AE50" i="118" s="1"/>
  <c r="AG56" i="116"/>
  <c r="AH56" i="116" s="1"/>
  <c r="AI56" i="116"/>
  <c r="AC31" i="119"/>
  <c r="AE31" i="119" s="1"/>
  <c r="AD44" i="76"/>
  <c r="AF44" i="76" s="1"/>
  <c r="AG46" i="114"/>
  <c r="AH46" i="114" s="1"/>
  <c r="AI46" i="114"/>
  <c r="AC71" i="120"/>
  <c r="AE71" i="120" s="1"/>
  <c r="AC25" i="120"/>
  <c r="AE25" i="120" s="1"/>
  <c r="AI59" i="117"/>
  <c r="AJ59" i="117" s="1"/>
  <c r="AK59" i="117"/>
  <c r="AC28" i="113"/>
  <c r="AE28" i="113" s="1"/>
  <c r="Q27" i="100"/>
  <c r="R27" i="100"/>
  <c r="AC65" i="116"/>
  <c r="AE65" i="116" s="1"/>
  <c r="AC26" i="120"/>
  <c r="AE26" i="120" s="1"/>
  <c r="AD51" i="80"/>
  <c r="AF51" i="80" s="1"/>
  <c r="AD58" i="80"/>
  <c r="AF58" i="80" s="1"/>
  <c r="AG61" i="114"/>
  <c r="AH61" i="114" s="1"/>
  <c r="AI61" i="114"/>
  <c r="AC44" i="120"/>
  <c r="AE44" i="120" s="1"/>
  <c r="AH55" i="80"/>
  <c r="AI55" i="80" s="1"/>
  <c r="AJ55" i="80"/>
  <c r="AC10" i="119"/>
  <c r="AE10" i="119" s="1"/>
  <c r="AC70" i="119"/>
  <c r="AE70" i="119" s="1"/>
  <c r="AD25" i="76"/>
  <c r="AF25" i="76" s="1"/>
  <c r="AE45" i="117"/>
  <c r="AG45" i="117" s="1"/>
  <c r="AH20" i="80"/>
  <c r="AI20" i="80" s="1"/>
  <c r="AJ20" i="80"/>
  <c r="AG73" i="114"/>
  <c r="AH73" i="114" s="1"/>
  <c r="AI73" i="114"/>
  <c r="R55" i="100"/>
  <c r="AG56" i="113"/>
  <c r="AH56" i="113" s="1"/>
  <c r="AI56" i="113"/>
  <c r="AG31" i="120"/>
  <c r="AH31" i="120" s="1"/>
  <c r="AI31" i="120"/>
  <c r="AG29" i="114"/>
  <c r="AH29" i="114" s="1"/>
  <c r="AI29" i="114"/>
  <c r="AH62" i="80"/>
  <c r="AI62" i="80" s="1"/>
  <c r="AJ62" i="80"/>
  <c r="AD7" i="80"/>
  <c r="AF7" i="80" s="1"/>
  <c r="R70" i="100"/>
  <c r="AG71" i="113"/>
  <c r="AH71" i="113" s="1"/>
  <c r="AI71" i="113"/>
  <c r="AH26" i="76"/>
  <c r="AI26" i="76" s="1"/>
  <c r="AJ26" i="76"/>
  <c r="AI65" i="117"/>
  <c r="AJ65" i="117" s="1"/>
  <c r="AK65" i="117"/>
  <c r="AH52" i="76"/>
  <c r="AI52" i="76" s="1"/>
  <c r="AJ52" i="76"/>
  <c r="AC41" i="118"/>
  <c r="AE41" i="118" s="1"/>
  <c r="AC67" i="118"/>
  <c r="AE67" i="118" s="1"/>
  <c r="AH72" i="80"/>
  <c r="AI72" i="80" s="1"/>
  <c r="AJ72" i="80"/>
  <c r="AC49" i="114"/>
  <c r="AE49" i="114" s="1"/>
  <c r="AH16" i="76"/>
  <c r="AI16" i="76" s="1"/>
  <c r="AJ16" i="76"/>
  <c r="AC21" i="119"/>
  <c r="AE21" i="119" s="1"/>
  <c r="Q60" i="100"/>
  <c r="AD64" i="76"/>
  <c r="AF64" i="76" s="1"/>
  <c r="AG52" i="116"/>
  <c r="AH52" i="116" s="1"/>
  <c r="AI52" i="116"/>
  <c r="AD55" i="76"/>
  <c r="AF55" i="76" s="1"/>
  <c r="AC34" i="119"/>
  <c r="AE34" i="119" s="1"/>
  <c r="Q61" i="100"/>
  <c r="AD42" i="46"/>
  <c r="AF42" i="46" s="1"/>
  <c r="AK42" i="46" s="1"/>
  <c r="AD43" i="46"/>
  <c r="AD44" i="46"/>
  <c r="I10" i="100"/>
  <c r="AB11" i="116"/>
  <c r="AL11" i="116" s="1"/>
  <c r="AO11" i="116" s="1"/>
  <c r="Y10" i="72" s="1"/>
  <c r="G67" i="100"/>
  <c r="AB68" i="114"/>
  <c r="AL68" i="114" s="1"/>
  <c r="AO68" i="114" s="1"/>
  <c r="W67" i="72" s="1"/>
  <c r="O67" i="100"/>
  <c r="AC66" i="80"/>
  <c r="AP66" i="80" s="1"/>
  <c r="AE67" i="72" s="1"/>
  <c r="N19" i="100"/>
  <c r="AC18" i="76"/>
  <c r="AP18" i="76" s="1"/>
  <c r="AD19" i="72" s="1"/>
  <c r="L7" i="100"/>
  <c r="Q7" i="100" s="1"/>
  <c r="AB8" i="119"/>
  <c r="AL8" i="119" s="1"/>
  <c r="AO8" i="119" s="1"/>
  <c r="AB7" i="72" s="1"/>
  <c r="I42" i="100"/>
  <c r="AB43" i="116"/>
  <c r="AL43" i="116" s="1"/>
  <c r="AO43" i="116" s="1"/>
  <c r="Y42" i="72" s="1"/>
  <c r="G71" i="100"/>
  <c r="AB72" i="114"/>
  <c r="AL72" i="114" s="1"/>
  <c r="AO72" i="114" s="1"/>
  <c r="W71" i="72" s="1"/>
  <c r="O71" i="100"/>
  <c r="AC70" i="80"/>
  <c r="AP70" i="80" s="1"/>
  <c r="AE71" i="72" s="1"/>
  <c r="F11" i="100"/>
  <c r="AB12" i="113"/>
  <c r="AL12" i="113" s="1"/>
  <c r="AO12" i="113" s="1"/>
  <c r="V11" i="72" s="1"/>
  <c r="L57" i="100"/>
  <c r="AB58" i="119"/>
  <c r="AL58" i="119" s="1"/>
  <c r="AO58" i="119" s="1"/>
  <c r="AB57" i="72" s="1"/>
  <c r="I57" i="100"/>
  <c r="AB58" i="116"/>
  <c r="AL58" i="116" s="1"/>
  <c r="AO58" i="116" s="1"/>
  <c r="Y57" i="72" s="1"/>
  <c r="M39" i="100"/>
  <c r="AB40" i="120"/>
  <c r="AL40" i="120" s="1"/>
  <c r="AO40" i="120" s="1"/>
  <c r="AC39" i="72" s="1"/>
  <c r="L13" i="100"/>
  <c r="AB14" i="119"/>
  <c r="AL14" i="119" s="1"/>
  <c r="AO14" i="119" s="1"/>
  <c r="AB13" i="72" s="1"/>
  <c r="K13" i="100"/>
  <c r="AB14" i="118"/>
  <c r="AL14" i="118" s="1"/>
  <c r="AO14" i="118" s="1"/>
  <c r="AA13" i="72" s="1"/>
  <c r="K14" i="100"/>
  <c r="AB15" i="118"/>
  <c r="AL15" i="118" s="1"/>
  <c r="AO15" i="118" s="1"/>
  <c r="AA14" i="72" s="1"/>
  <c r="I14" i="100"/>
  <c r="AB15" i="116"/>
  <c r="AL15" i="116" s="1"/>
  <c r="AO15" i="116" s="1"/>
  <c r="Y14" i="72" s="1"/>
  <c r="F46" i="100"/>
  <c r="AB47" i="113"/>
  <c r="AL47" i="113" s="1"/>
  <c r="AO47" i="113" s="1"/>
  <c r="V46" i="72" s="1"/>
  <c r="J62" i="100"/>
  <c r="AD63" i="117"/>
  <c r="AN63" i="117" s="1"/>
  <c r="AQ63" i="117" s="1"/>
  <c r="Z62" i="72" s="1"/>
  <c r="M62" i="100"/>
  <c r="AB63" i="120"/>
  <c r="AL63" i="120" s="1"/>
  <c r="AO63" i="120" s="1"/>
  <c r="AC62" i="72" s="1"/>
  <c r="M50" i="100"/>
  <c r="AB51" i="120"/>
  <c r="AL51" i="120" s="1"/>
  <c r="AO51" i="120" s="1"/>
  <c r="AC50" i="72" s="1"/>
  <c r="N50" i="100"/>
  <c r="AC49" i="76"/>
  <c r="AP49" i="76" s="1"/>
  <c r="AD50" i="72" s="1"/>
  <c r="L47" i="100"/>
  <c r="AB48" i="119"/>
  <c r="AL48" i="119" s="1"/>
  <c r="AO48" i="119" s="1"/>
  <c r="AB47" i="72" s="1"/>
  <c r="G32" i="100"/>
  <c r="AB33" i="114"/>
  <c r="AL33" i="114" s="1"/>
  <c r="AO33" i="114" s="1"/>
  <c r="W32" i="72" s="1"/>
  <c r="N32" i="100"/>
  <c r="AC31" i="76"/>
  <c r="AP31" i="76" s="1"/>
  <c r="AD32" i="72" s="1"/>
  <c r="O32" i="100"/>
  <c r="AC31" i="80"/>
  <c r="AP31" i="80" s="1"/>
  <c r="AE32" i="72" s="1"/>
  <c r="AG69" i="114"/>
  <c r="AH69" i="114" s="1"/>
  <c r="AI69" i="114"/>
  <c r="AD15" i="76"/>
  <c r="AF15" i="76" s="1"/>
  <c r="AE37" i="117"/>
  <c r="AG37" i="117" s="1"/>
  <c r="Q26" i="100"/>
  <c r="AD43" i="76"/>
  <c r="AF43" i="76" s="1"/>
  <c r="AC45" i="116"/>
  <c r="AE45" i="116" s="1"/>
  <c r="AD40" i="76"/>
  <c r="AF40" i="76" s="1"/>
  <c r="E75" i="100"/>
  <c r="Q41" i="100"/>
  <c r="R41" i="100"/>
  <c r="Y16" i="31"/>
  <c r="W69" i="31"/>
  <c r="AD48" i="76"/>
  <c r="AF48" i="76" s="1"/>
  <c r="AC31" i="116"/>
  <c r="AE31" i="116" s="1"/>
  <c r="AC29" i="119"/>
  <c r="AE29" i="119" s="1"/>
  <c r="AE35" i="117"/>
  <c r="AG35" i="117" s="1"/>
  <c r="R8" i="100"/>
  <c r="AD69" i="80"/>
  <c r="AF69" i="80" s="1"/>
  <c r="R24" i="100"/>
  <c r="AF25" i="119"/>
  <c r="AG25" i="119" s="1"/>
  <c r="AH25" i="119" s="1"/>
  <c r="AI25" i="119"/>
  <c r="R64" i="100"/>
  <c r="R35" i="100"/>
  <c r="AD52" i="80"/>
  <c r="AF52" i="80" s="1"/>
  <c r="L53" i="72"/>
  <c r="AJ54" i="118"/>
  <c r="N40" i="72"/>
  <c r="AJ41" i="120"/>
  <c r="R12" i="100"/>
  <c r="AD24" i="76"/>
  <c r="AF24" i="76" s="1"/>
  <c r="AD36" i="80"/>
  <c r="AF36" i="80" s="1"/>
  <c r="AL10" i="46"/>
  <c r="Q52" i="100"/>
  <c r="F52" i="72"/>
  <c r="AJ53" i="113"/>
  <c r="Q73" i="100"/>
  <c r="F73" i="72"/>
  <c r="AJ74" i="113"/>
  <c r="AC49" i="113"/>
  <c r="AE49" i="113" s="1"/>
  <c r="Q48" i="100"/>
  <c r="R48" i="100"/>
  <c r="AD19" i="80"/>
  <c r="AF19" i="80" s="1"/>
  <c r="O20" i="72"/>
  <c r="AK19" i="76"/>
  <c r="AI61" i="117"/>
  <c r="AJ61" i="117" s="1"/>
  <c r="AK61" i="117"/>
  <c r="M65" i="72"/>
  <c r="AJ66" i="119"/>
  <c r="AD53" i="80"/>
  <c r="AF53" i="80" s="1"/>
  <c r="L54" i="72"/>
  <c r="AJ55" i="118"/>
  <c r="G56" i="72"/>
  <c r="AJ57" i="114"/>
  <c r="AC62" i="120"/>
  <c r="AE62" i="120" s="1"/>
  <c r="AC19" i="113"/>
  <c r="AE19" i="113" s="1"/>
  <c r="AD8" i="80"/>
  <c r="AF8" i="80" s="1"/>
  <c r="AG32" i="116"/>
  <c r="AH32" i="116" s="1"/>
  <c r="AI32" i="116"/>
  <c r="AF17" i="119"/>
  <c r="AG17" i="119" s="1"/>
  <c r="AH17" i="119" s="1"/>
  <c r="AI17" i="119"/>
  <c r="AC70" i="118"/>
  <c r="AE70" i="118" s="1"/>
  <c r="AG37" i="116"/>
  <c r="AH37" i="116" s="1"/>
  <c r="AI37" i="116"/>
  <c r="R29" i="100"/>
  <c r="AG30" i="113"/>
  <c r="AH30" i="113" s="1"/>
  <c r="AI30" i="113"/>
  <c r="AE73" i="117"/>
  <c r="AG73" i="117" s="1"/>
  <c r="AE56" i="117"/>
  <c r="AG56" i="117" s="1"/>
  <c r="AC46" i="118"/>
  <c r="AE46" i="118" s="1"/>
  <c r="O28" i="72"/>
  <c r="AK27" i="76"/>
  <c r="I22" i="72"/>
  <c r="AJ23" i="116"/>
  <c r="I63" i="72"/>
  <c r="AJ64" i="116"/>
  <c r="Q34" i="100"/>
  <c r="F34" i="72"/>
  <c r="AJ35" i="113"/>
  <c r="AC36" i="118"/>
  <c r="AE36" i="118" s="1"/>
  <c r="R66" i="100"/>
  <c r="AI60" i="117"/>
  <c r="AJ60" i="117" s="1"/>
  <c r="AK60" i="117"/>
  <c r="AG18" i="114"/>
  <c r="AH18" i="114" s="1"/>
  <c r="AI18" i="114"/>
  <c r="O60" i="72"/>
  <c r="AK59" i="76"/>
  <c r="I60" i="72"/>
  <c r="AJ61" i="116"/>
  <c r="AF57" i="119"/>
  <c r="AG57" i="119" s="1"/>
  <c r="AH57" i="119" s="1"/>
  <c r="AI57" i="119"/>
  <c r="AG34" i="114"/>
  <c r="AH34" i="114" s="1"/>
  <c r="AI34" i="114"/>
  <c r="AE62" i="117"/>
  <c r="AG62" i="117" s="1"/>
  <c r="AC39" i="113"/>
  <c r="AE39" i="113" s="1"/>
  <c r="Q38" i="100"/>
  <c r="R38" i="100"/>
  <c r="AI24" i="117"/>
  <c r="AJ24" i="117" s="1"/>
  <c r="AK24" i="117"/>
  <c r="AC68" i="113"/>
  <c r="AE68" i="113" s="1"/>
  <c r="L19" i="100"/>
  <c r="AB20" i="119"/>
  <c r="AL20" i="119" s="1"/>
  <c r="AO20" i="119" s="1"/>
  <c r="AB19" i="72" s="1"/>
  <c r="AC8" i="116"/>
  <c r="AE8" i="116" s="1"/>
  <c r="G42" i="100"/>
  <c r="AB43" i="114"/>
  <c r="AL43" i="114" s="1"/>
  <c r="AO43" i="114" s="1"/>
  <c r="W42" i="72" s="1"/>
  <c r="N42" i="100"/>
  <c r="AC41" i="76"/>
  <c r="AP41" i="76" s="1"/>
  <c r="AD42" i="72" s="1"/>
  <c r="N71" i="100"/>
  <c r="AC70" i="76"/>
  <c r="AP70" i="76" s="1"/>
  <c r="AD71" i="72" s="1"/>
  <c r="L11" i="100"/>
  <c r="AB12" i="119"/>
  <c r="AL12" i="119" s="1"/>
  <c r="AO12" i="119" s="1"/>
  <c r="AB11" i="72" s="1"/>
  <c r="AD58" i="117"/>
  <c r="AN58" i="117" s="1"/>
  <c r="AQ58" i="117" s="1"/>
  <c r="Z57" i="72" s="1"/>
  <c r="J57" i="100"/>
  <c r="AE58" i="117"/>
  <c r="AG58" i="117" s="1"/>
  <c r="G39" i="100"/>
  <c r="AB40" i="114"/>
  <c r="AL40" i="114" s="1"/>
  <c r="AO40" i="114" s="1"/>
  <c r="W39" i="72" s="1"/>
  <c r="AD12" i="76"/>
  <c r="AF12" i="76" s="1"/>
  <c r="AC14" i="120"/>
  <c r="AE14" i="120" s="1"/>
  <c r="AD49" i="80"/>
  <c r="AF49" i="80" s="1"/>
  <c r="AC51" i="119"/>
  <c r="AE51" i="119" s="1"/>
  <c r="AC48" i="113"/>
  <c r="AE48" i="113" s="1"/>
  <c r="AC75" i="113"/>
  <c r="AE75" i="113" s="1"/>
  <c r="AC10" i="116"/>
  <c r="AE10" i="116" s="1"/>
  <c r="AE32" i="117"/>
  <c r="AG32" i="117" s="1"/>
  <c r="AD68" i="76"/>
  <c r="AF68" i="76" s="1"/>
  <c r="AD40" i="80"/>
  <c r="AF40" i="80" s="1"/>
  <c r="AD20" i="76"/>
  <c r="AF20" i="76" s="1"/>
  <c r="AC73" i="113"/>
  <c r="AE73" i="113" s="1"/>
  <c r="Q72" i="100"/>
  <c r="R72" i="100"/>
  <c r="AC46" i="113"/>
  <c r="AE46" i="113" s="1"/>
  <c r="Q45" i="100"/>
  <c r="R45" i="100"/>
  <c r="AC29" i="116"/>
  <c r="AE29" i="116" s="1"/>
  <c r="AC23" i="113"/>
  <c r="AE23" i="113" s="1"/>
  <c r="AD33" i="80"/>
  <c r="AF33" i="80" s="1"/>
  <c r="AD7" i="76"/>
  <c r="AF7" i="76" s="1"/>
  <c r="AI28" i="117"/>
  <c r="AJ28" i="117" s="1"/>
  <c r="AK28" i="117"/>
  <c r="AC36" i="120"/>
  <c r="AE36" i="120" s="1"/>
  <c r="AC54" i="119"/>
  <c r="AE54" i="119" s="1"/>
  <c r="AD11" i="76"/>
  <c r="AF11" i="76" s="1"/>
  <c r="AG38" i="114"/>
  <c r="AH38" i="114" s="1"/>
  <c r="AI38" i="114"/>
  <c r="AI53" i="117"/>
  <c r="AJ53" i="117" s="1"/>
  <c r="AK53" i="117"/>
  <c r="AC74" i="116"/>
  <c r="AE74" i="116" s="1"/>
  <c r="AC16" i="113"/>
  <c r="AE16" i="113" s="1"/>
  <c r="Q15" i="100"/>
  <c r="R15" i="100"/>
  <c r="AC18" i="120"/>
  <c r="AE18" i="120" s="1"/>
  <c r="K20" i="72"/>
  <c r="AL21" i="117"/>
  <c r="AC52" i="120"/>
  <c r="AE52" i="120" s="1"/>
  <c r="AC55" i="113"/>
  <c r="AE55" i="113" s="1"/>
  <c r="Q54" i="100"/>
  <c r="R54" i="100"/>
  <c r="L33" i="72"/>
  <c r="AJ34" i="118"/>
  <c r="AC62" i="119"/>
  <c r="AE62" i="119" s="1"/>
  <c r="N38" i="72"/>
  <c r="AJ39" i="120"/>
  <c r="AK29" i="46"/>
  <c r="AL29" i="46" s="1"/>
  <c r="AN29" i="46" s="1"/>
  <c r="AM29" i="46"/>
  <c r="AE19" i="117"/>
  <c r="AG19" i="117" s="1"/>
  <c r="AC19" i="118"/>
  <c r="AE19" i="118" s="1"/>
  <c r="AD30" i="76"/>
  <c r="AF30" i="76" s="1"/>
  <c r="R36" i="100"/>
  <c r="AD25" i="80"/>
  <c r="AF25" i="80" s="1"/>
  <c r="L26" i="72"/>
  <c r="AJ27" i="118"/>
  <c r="AE42" i="117"/>
  <c r="AG42" i="117" s="1"/>
  <c r="L21" i="72"/>
  <c r="AJ22" i="118"/>
  <c r="AD29" i="76"/>
  <c r="AF29" i="76" s="1"/>
  <c r="AC46" i="119"/>
  <c r="AE46" i="119" s="1"/>
  <c r="K28" i="72"/>
  <c r="AL29" i="117"/>
  <c r="M22" i="72"/>
  <c r="AJ23" i="119"/>
  <c r="AF9" i="119"/>
  <c r="AG9" i="119" s="1"/>
  <c r="AH9" i="119" s="1"/>
  <c r="AI9" i="119"/>
  <c r="L8" i="72"/>
  <c r="AJ9" i="118"/>
  <c r="L70" i="72"/>
  <c r="AJ71" i="118"/>
  <c r="K24" i="72"/>
  <c r="AL25" i="117"/>
  <c r="AC36" i="119"/>
  <c r="AE36" i="119" s="1"/>
  <c r="F53" i="72"/>
  <c r="AJ54" i="113"/>
  <c r="AG13" i="116"/>
  <c r="AH13" i="116" s="1"/>
  <c r="AI13" i="116"/>
  <c r="AC26" i="119"/>
  <c r="AE26" i="119" s="1"/>
  <c r="AD65" i="76"/>
  <c r="AF65" i="76" s="1"/>
  <c r="H11" i="72"/>
  <c r="AJ12" i="115"/>
  <c r="H74" i="72"/>
  <c r="AJ75" i="115"/>
  <c r="AF49" i="119"/>
  <c r="AG49" i="119" s="1"/>
  <c r="AH49" i="119" s="1"/>
  <c r="AI49" i="119"/>
  <c r="AC16" i="116"/>
  <c r="AE16" i="116" s="1"/>
  <c r="Q59" i="100"/>
  <c r="F59" i="72"/>
  <c r="AJ60" i="113"/>
  <c r="R20" i="100"/>
  <c r="R65" i="100"/>
  <c r="AC57" i="118"/>
  <c r="AE57" i="118" s="1"/>
  <c r="AD60" i="76"/>
  <c r="AF60" i="76" s="1"/>
  <c r="AI17" i="46"/>
  <c r="AG18" i="46"/>
  <c r="AG38" i="46" s="1"/>
  <c r="AC24" i="113"/>
  <c r="AE24" i="113" s="1"/>
  <c r="AC8" i="118"/>
  <c r="AE8" i="118" s="1"/>
  <c r="AE43" i="117"/>
  <c r="AG43" i="117" s="1"/>
  <c r="AG40" i="113"/>
  <c r="AH40" i="113" s="1"/>
  <c r="AI40" i="113"/>
  <c r="AC15" i="119"/>
  <c r="AE15" i="119" s="1"/>
  <c r="AC47" i="118"/>
  <c r="AE47" i="118" s="1"/>
  <c r="AC51" i="113"/>
  <c r="AE51" i="113" s="1"/>
  <c r="AC48" i="118"/>
  <c r="AE48" i="118" s="1"/>
  <c r="N9" i="72"/>
  <c r="AJ10" i="120"/>
  <c r="AD67" i="80"/>
  <c r="AF67" i="80" s="1"/>
  <c r="L16" i="72"/>
  <c r="AJ17" i="118"/>
  <c r="AG70" i="116"/>
  <c r="AH70" i="116" s="1"/>
  <c r="AI70" i="116"/>
  <c r="G36" i="72"/>
  <c r="AJ37" i="114"/>
  <c r="AE30" i="117"/>
  <c r="AG30" i="117" s="1"/>
  <c r="AG22" i="120"/>
  <c r="AH22" i="120" s="1"/>
  <c r="AI22" i="120"/>
  <c r="AD54" i="76"/>
  <c r="AF54" i="76" s="1"/>
  <c r="AE31" i="117"/>
  <c r="AG31" i="117" s="1"/>
  <c r="Q28" i="100"/>
  <c r="AD21" i="76"/>
  <c r="AF21" i="76" s="1"/>
  <c r="AE64" i="117"/>
  <c r="AG64" i="117" s="1"/>
  <c r="AG9" i="114"/>
  <c r="AH9" i="114" s="1"/>
  <c r="AI9" i="114"/>
  <c r="G64" i="81"/>
  <c r="H64" i="81"/>
  <c r="E71" i="81"/>
  <c r="AD57" i="80"/>
  <c r="AF57" i="80" s="1"/>
  <c r="AG28" i="120"/>
  <c r="AH28" i="120" s="1"/>
  <c r="AI28" i="120"/>
  <c r="AD34" i="76"/>
  <c r="AF34" i="76" s="1"/>
  <c r="AE54" i="117"/>
  <c r="AG54" i="117" s="1"/>
  <c r="AG26" i="118"/>
  <c r="AH26" i="118" s="1"/>
  <c r="AI26" i="118"/>
  <c r="Q25" i="100"/>
  <c r="R37" i="100"/>
  <c r="AG38" i="113"/>
  <c r="AH38" i="113" s="1"/>
  <c r="AI38" i="113"/>
  <c r="AI67" i="117"/>
  <c r="AJ67" i="117" s="1"/>
  <c r="AK67" i="117"/>
  <c r="AD72" i="76"/>
  <c r="AF72" i="76" s="1"/>
  <c r="AG49" i="118"/>
  <c r="AH49" i="118" s="1"/>
  <c r="AI49" i="118"/>
  <c r="AI16" i="117"/>
  <c r="AJ16" i="117" s="1"/>
  <c r="AK16" i="117"/>
  <c r="AF60" i="119"/>
  <c r="AG60" i="119" s="1"/>
  <c r="AH60" i="119" s="1"/>
  <c r="AI60" i="119"/>
  <c r="Q17" i="100"/>
  <c r="AG21" i="118"/>
  <c r="AH21" i="118" s="1"/>
  <c r="AI21" i="118"/>
  <c r="AC66" i="114"/>
  <c r="AE66" i="114" s="1"/>
  <c r="AH42" i="76"/>
  <c r="AI42" i="76" s="1"/>
  <c r="AJ42" i="76"/>
  <c r="AD53" i="76"/>
  <c r="AF53" i="76" s="1"/>
  <c r="AI57" i="117"/>
  <c r="AJ57" i="117" s="1"/>
  <c r="AK57" i="117"/>
  <c r="AC39" i="119"/>
  <c r="AE39" i="119" s="1"/>
  <c r="L18" i="100"/>
  <c r="AB19" i="119"/>
  <c r="AL19" i="119" s="1"/>
  <c r="AO19" i="119" s="1"/>
  <c r="AB18" i="72" s="1"/>
  <c r="AD67" i="76"/>
  <c r="AF67" i="76" s="1"/>
  <c r="AD11" i="80"/>
  <c r="AF11" i="80" s="1"/>
  <c r="AE38" i="117"/>
  <c r="AG38" i="117" s="1"/>
  <c r="AD14" i="80"/>
  <c r="AF14" i="80" s="1"/>
  <c r="AD32" i="76"/>
  <c r="AF32" i="76" s="1"/>
  <c r="AC59" i="116"/>
  <c r="AE59" i="116" s="1"/>
  <c r="AC16" i="114"/>
  <c r="AE16" i="114" s="1"/>
  <c r="AD59" i="80"/>
  <c r="AF59" i="80" s="1"/>
  <c r="AA77" i="115"/>
  <c r="H6" i="100"/>
  <c r="H75" i="100" s="1"/>
  <c r="AB7" i="115"/>
  <c r="AC7" i="115" s="1"/>
  <c r="AG10" i="118"/>
  <c r="AH10" i="118" s="1"/>
  <c r="AI10" i="118"/>
  <c r="AF69" i="119"/>
  <c r="AG69" i="119" s="1"/>
  <c r="AH69" i="119" s="1"/>
  <c r="AI69" i="119"/>
  <c r="AH43" i="80"/>
  <c r="AI43" i="80" s="1"/>
  <c r="AJ43" i="80"/>
  <c r="AF22" i="119"/>
  <c r="AG22" i="119" s="1"/>
  <c r="AH22" i="119" s="1"/>
  <c r="AI22" i="119"/>
  <c r="AH48" i="80"/>
  <c r="AI48" i="80" s="1"/>
  <c r="AJ48" i="80"/>
  <c r="AG56" i="120"/>
  <c r="AH56" i="120" s="1"/>
  <c r="AI56" i="120"/>
  <c r="AH27" i="80"/>
  <c r="AI27" i="80" s="1"/>
  <c r="AJ27" i="80"/>
  <c r="AG29" i="118"/>
  <c r="AH29" i="118" s="1"/>
  <c r="AI29" i="118"/>
  <c r="AH33" i="76"/>
  <c r="AI33" i="76" s="1"/>
  <c r="AJ33" i="76"/>
  <c r="AG9" i="116"/>
  <c r="AH9" i="116" s="1"/>
  <c r="AI9" i="116"/>
  <c r="AH23" i="76"/>
  <c r="AI23" i="76" s="1"/>
  <c r="AJ23" i="76"/>
  <c r="AG59" i="120"/>
  <c r="AH59" i="120" s="1"/>
  <c r="AI59" i="120"/>
  <c r="AG28" i="114"/>
  <c r="AH28" i="114" s="1"/>
  <c r="AI28" i="114"/>
  <c r="AG36" i="114"/>
  <c r="AH36" i="114" s="1"/>
  <c r="AI36" i="114"/>
  <c r="AG41" i="114"/>
  <c r="AH41" i="114" s="1"/>
  <c r="AI41" i="114"/>
  <c r="AG38" i="118"/>
  <c r="AH38" i="118" s="1"/>
  <c r="AI38" i="118"/>
  <c r="AG53" i="114"/>
  <c r="AH53" i="114" s="1"/>
  <c r="AI53" i="114"/>
  <c r="AG16" i="118"/>
  <c r="AH16" i="118" s="1"/>
  <c r="AI16" i="118"/>
  <c r="AG21" i="120"/>
  <c r="AH21" i="120" s="1"/>
  <c r="AI21" i="120"/>
  <c r="AG66" i="118"/>
  <c r="AH66" i="118" s="1"/>
  <c r="AI66" i="118"/>
  <c r="AG55" i="120"/>
  <c r="AH55" i="120" s="1"/>
  <c r="AI55" i="120"/>
  <c r="AG57" i="113"/>
  <c r="AH57" i="113" s="1"/>
  <c r="AI57" i="113"/>
  <c r="Q56" i="100"/>
  <c r="R56" i="100"/>
  <c r="AH37" i="76"/>
  <c r="AI37" i="76" s="1"/>
  <c r="AJ37" i="76"/>
  <c r="G10" i="100"/>
  <c r="AB11" i="114"/>
  <c r="AL11" i="114" s="1"/>
  <c r="AO11" i="114" s="1"/>
  <c r="W10" i="72" s="1"/>
  <c r="AC11" i="114"/>
  <c r="AE11" i="114" s="1"/>
  <c r="AH9" i="76"/>
  <c r="AI9" i="76" s="1"/>
  <c r="AJ9" i="76"/>
  <c r="AB24" i="119"/>
  <c r="AL24" i="119" s="1"/>
  <c r="AO24" i="119" s="1"/>
  <c r="AB23" i="72" s="1"/>
  <c r="L23" i="100"/>
  <c r="AC24" i="119"/>
  <c r="AE24" i="119" s="1"/>
  <c r="AG24" i="118"/>
  <c r="AH24" i="118" s="1"/>
  <c r="AI24" i="118"/>
  <c r="K67" i="100"/>
  <c r="R67" i="100" s="1"/>
  <c r="AB68" i="118"/>
  <c r="AL68" i="118" s="1"/>
  <c r="AO68" i="118" s="1"/>
  <c r="AA67" i="72" s="1"/>
  <c r="M19" i="100"/>
  <c r="AB20" i="120"/>
  <c r="AL20" i="120" s="1"/>
  <c r="AO20" i="120" s="1"/>
  <c r="AC19" i="72" s="1"/>
  <c r="AH6" i="76"/>
  <c r="AI6" i="76" s="1"/>
  <c r="AJ6" i="76"/>
  <c r="AG8" i="120"/>
  <c r="AH8" i="120" s="1"/>
  <c r="AI8" i="120"/>
  <c r="AI72" i="117"/>
  <c r="AJ72" i="117" s="1"/>
  <c r="AK72" i="117"/>
  <c r="AG12" i="118"/>
  <c r="AH12" i="118" s="1"/>
  <c r="AI12" i="118"/>
  <c r="AG58" i="113"/>
  <c r="AH58" i="113" s="1"/>
  <c r="AI58" i="113"/>
  <c r="I13" i="100"/>
  <c r="AB14" i="116"/>
  <c r="AL14" i="116" s="1"/>
  <c r="AO14" i="116" s="1"/>
  <c r="Y13" i="72" s="1"/>
  <c r="G14" i="100"/>
  <c r="AB15" i="114"/>
  <c r="AL15" i="114" s="1"/>
  <c r="AO15" i="114" s="1"/>
  <c r="W14" i="72" s="1"/>
  <c r="N14" i="100"/>
  <c r="AC13" i="76"/>
  <c r="AP13" i="76" s="1"/>
  <c r="AD14" i="72" s="1"/>
  <c r="O46" i="100"/>
  <c r="AC45" i="80"/>
  <c r="AP45" i="80" s="1"/>
  <c r="AE46" i="72" s="1"/>
  <c r="F62" i="100"/>
  <c r="AB63" i="113"/>
  <c r="AL63" i="113" s="1"/>
  <c r="AO63" i="113" s="1"/>
  <c r="V62" i="72" s="1"/>
  <c r="J50" i="100"/>
  <c r="AD51" i="117"/>
  <c r="AN51" i="117" s="1"/>
  <c r="AQ51" i="117" s="1"/>
  <c r="Z50" i="72" s="1"/>
  <c r="M47" i="100"/>
  <c r="AB48" i="120"/>
  <c r="AL48" i="120" s="1"/>
  <c r="AO48" i="120" s="1"/>
  <c r="AC47" i="72" s="1"/>
  <c r="K74" i="100"/>
  <c r="AB75" i="118"/>
  <c r="AL75" i="118" s="1"/>
  <c r="AO75" i="118" s="1"/>
  <c r="AA74" i="72" s="1"/>
  <c r="I32" i="100"/>
  <c r="AB33" i="116"/>
  <c r="AL33" i="116" s="1"/>
  <c r="AO33" i="116" s="1"/>
  <c r="Y32" i="72" s="1"/>
  <c r="M32" i="100"/>
  <c r="AB33" i="120"/>
  <c r="AL33" i="120" s="1"/>
  <c r="AO33" i="120" s="1"/>
  <c r="AC32" i="72" s="1"/>
  <c r="AH30" i="80"/>
  <c r="AI30" i="80" s="1"/>
  <c r="AJ30" i="80"/>
  <c r="AI69" i="117"/>
  <c r="AJ69" i="117" s="1"/>
  <c r="AK69" i="117"/>
  <c r="AH35" i="80"/>
  <c r="AI35" i="80" s="1"/>
  <c r="AJ35" i="80"/>
  <c r="AG27" i="120"/>
  <c r="AH27" i="120" s="1"/>
  <c r="AI27" i="120"/>
  <c r="AF30" i="119"/>
  <c r="AG30" i="119" s="1"/>
  <c r="AH30" i="119" s="1"/>
  <c r="AI30" i="119"/>
  <c r="AG22" i="113"/>
  <c r="AH22" i="113" s="1"/>
  <c r="AI22" i="113"/>
  <c r="Q21" i="100"/>
  <c r="R21" i="100"/>
  <c r="AF73" i="119"/>
  <c r="AG73" i="119" s="1"/>
  <c r="AH73" i="119" s="1"/>
  <c r="AI73" i="119"/>
  <c r="AG50" i="113"/>
  <c r="AH50" i="113" s="1"/>
  <c r="AI50" i="113"/>
  <c r="Q49" i="100"/>
  <c r="R49" i="100"/>
  <c r="AF56" i="119"/>
  <c r="AG56" i="119" s="1"/>
  <c r="AH56" i="119" s="1"/>
  <c r="AI56" i="119"/>
  <c r="AH29" i="80"/>
  <c r="AI29" i="80" s="1"/>
  <c r="AJ29" i="80"/>
  <c r="AH44" i="80"/>
  <c r="AI44" i="80" s="1"/>
  <c r="AJ44" i="80"/>
  <c r="AG64" i="113"/>
  <c r="AH64" i="113" s="1"/>
  <c r="AI64" i="113"/>
  <c r="Q63" i="100"/>
  <c r="R63" i="100"/>
  <c r="AI71" i="117"/>
  <c r="AJ71" i="117" s="1"/>
  <c r="AK71" i="117"/>
  <c r="AG25" i="116"/>
  <c r="AH25" i="116" s="1"/>
  <c r="AI25" i="116"/>
  <c r="AG59" i="113"/>
  <c r="AH59" i="113" s="1"/>
  <c r="AI59" i="113"/>
  <c r="Q58" i="100"/>
  <c r="R58" i="100"/>
  <c r="AG65" i="118"/>
  <c r="AH65" i="118" s="1"/>
  <c r="AI65" i="118"/>
  <c r="AG41" i="113"/>
  <c r="AH41" i="113" s="1"/>
  <c r="AI41" i="113"/>
  <c r="Q40" i="100"/>
  <c r="R40" i="100"/>
  <c r="AG38" i="116"/>
  <c r="AH38" i="116" s="1"/>
  <c r="AI38" i="116"/>
  <c r="H71" i="72"/>
  <c r="AJ72" i="115"/>
  <c r="AG15" i="115"/>
  <c r="AH15" i="115" s="1"/>
  <c r="AI15" i="115"/>
  <c r="H44" i="72"/>
  <c r="AJ45" i="115"/>
  <c r="AH51" i="76"/>
  <c r="AI51" i="76" s="1"/>
  <c r="AJ51" i="76"/>
  <c r="AI18" i="117"/>
  <c r="AJ18" i="117" s="1"/>
  <c r="AK18" i="117"/>
  <c r="AG66" i="120"/>
  <c r="AH66" i="120" s="1"/>
  <c r="AI66" i="120"/>
  <c r="AF52" i="119"/>
  <c r="AG52" i="119" s="1"/>
  <c r="AH52" i="119" s="1"/>
  <c r="AI52" i="119"/>
  <c r="AH60" i="80"/>
  <c r="AI60" i="80" s="1"/>
  <c r="AJ60" i="80"/>
  <c r="AB12" i="31"/>
  <c r="AG69" i="118"/>
  <c r="AH69" i="118" s="1"/>
  <c r="AI69" i="118"/>
  <c r="AF37" i="119"/>
  <c r="AG37" i="119" s="1"/>
  <c r="AH37" i="119" s="1"/>
  <c r="AI37" i="119"/>
  <c r="AG27" i="114"/>
  <c r="AH27" i="114" s="1"/>
  <c r="AI27" i="114"/>
  <c r="AG30" i="114"/>
  <c r="AH30" i="114" s="1"/>
  <c r="AI30" i="114"/>
  <c r="M41" i="72"/>
  <c r="AJ42" i="119"/>
  <c r="AG22" i="114"/>
  <c r="AH22" i="114" s="1"/>
  <c r="AI22" i="114"/>
  <c r="AG50" i="114"/>
  <c r="AH50" i="114" s="1"/>
  <c r="AI50" i="114"/>
  <c r="AG31" i="118"/>
  <c r="AH31" i="118" s="1"/>
  <c r="AI31" i="118"/>
  <c r="AG46" i="120"/>
  <c r="AH46" i="120" s="1"/>
  <c r="AI46" i="120"/>
  <c r="AH21" i="80"/>
  <c r="AI21" i="80" s="1"/>
  <c r="AJ21" i="80"/>
  <c r="AG35" i="120"/>
  <c r="AH35" i="120" s="1"/>
  <c r="AI35" i="120"/>
  <c r="AH69" i="76"/>
  <c r="AI69" i="76" s="1"/>
  <c r="AJ69" i="76"/>
  <c r="AF59" i="119"/>
  <c r="AG59" i="119" s="1"/>
  <c r="AH59" i="119" s="1"/>
  <c r="AI59" i="119"/>
  <c r="AG65" i="120"/>
  <c r="AH65" i="120" s="1"/>
  <c r="AI65" i="120"/>
  <c r="AI36" i="117"/>
  <c r="AJ36" i="117" s="1"/>
  <c r="AK36" i="117"/>
  <c r="AH39" i="80"/>
  <c r="AI39" i="80" s="1"/>
  <c r="AJ39" i="80"/>
  <c r="AI26" i="117"/>
  <c r="AJ26" i="117" s="1"/>
  <c r="AK26" i="117"/>
  <c r="AG67" i="116"/>
  <c r="AH67" i="116" s="1"/>
  <c r="AI67" i="116"/>
  <c r="H18" i="72"/>
  <c r="AJ19" i="115"/>
  <c r="AI74" i="117"/>
  <c r="AJ74" i="117" s="1"/>
  <c r="AK74" i="117"/>
  <c r="AH58" i="76"/>
  <c r="AI58" i="76" s="1"/>
  <c r="AJ58" i="76"/>
  <c r="AG18" i="118"/>
  <c r="AH18" i="118" s="1"/>
  <c r="AI18" i="118"/>
  <c r="AG61" i="113"/>
  <c r="AH61" i="113" s="1"/>
  <c r="AI61" i="113"/>
  <c r="AH42" i="80"/>
  <c r="AI42" i="80" s="1"/>
  <c r="AJ42" i="80"/>
  <c r="G43" i="72"/>
  <c r="AJ44" i="114"/>
  <c r="AG52" i="114"/>
  <c r="AH52" i="114" s="1"/>
  <c r="AI52" i="114"/>
  <c r="AG57" i="116"/>
  <c r="AH57" i="116" s="1"/>
  <c r="AI57" i="116"/>
  <c r="AG62" i="113"/>
  <c r="AH62" i="113" s="1"/>
  <c r="AI62" i="113"/>
  <c r="S22" i="72"/>
  <c r="S75" i="72" s="1"/>
  <c r="Y55" i="46"/>
  <c r="AB24" i="116"/>
  <c r="AL24" i="116" s="1"/>
  <c r="AO24" i="116" s="1"/>
  <c r="Y23" i="72" s="1"/>
  <c r="I23" i="100"/>
  <c r="AC24" i="116"/>
  <c r="AE24" i="116" s="1"/>
  <c r="M23" i="100"/>
  <c r="AB24" i="120"/>
  <c r="AL24" i="120" s="1"/>
  <c r="AO24" i="120" s="1"/>
  <c r="AC23" i="72" s="1"/>
  <c r="K19" i="100"/>
  <c r="AB20" i="118"/>
  <c r="AL20" i="118" s="1"/>
  <c r="AO20" i="118" s="1"/>
  <c r="AA19" i="72" s="1"/>
  <c r="N11" i="100"/>
  <c r="AC10" i="76"/>
  <c r="AP10" i="76" s="1"/>
  <c r="AD11" i="72" s="1"/>
  <c r="M57" i="100"/>
  <c r="AB58" i="120"/>
  <c r="AL58" i="120" s="1"/>
  <c r="AO58" i="120" s="1"/>
  <c r="AC57" i="72" s="1"/>
  <c r="J39" i="100"/>
  <c r="AD40" i="117"/>
  <c r="AN40" i="117" s="1"/>
  <c r="AQ40" i="117" s="1"/>
  <c r="Z39" i="72" s="1"/>
  <c r="J13" i="100"/>
  <c r="AD14" i="117"/>
  <c r="AN14" i="117" s="1"/>
  <c r="AQ14" i="117" s="1"/>
  <c r="Z13" i="72" s="1"/>
  <c r="G13" i="100"/>
  <c r="AB14" i="114"/>
  <c r="AL14" i="114" s="1"/>
  <c r="AO14" i="114" s="1"/>
  <c r="W13" i="72" s="1"/>
  <c r="O13" i="100"/>
  <c r="AC12" i="80"/>
  <c r="AP12" i="80" s="1"/>
  <c r="AE13" i="72" s="1"/>
  <c r="O14" i="100"/>
  <c r="AC13" i="80"/>
  <c r="AP13" i="80" s="1"/>
  <c r="AE14" i="72" s="1"/>
  <c r="I46" i="100"/>
  <c r="AB47" i="116"/>
  <c r="AL47" i="116" s="1"/>
  <c r="AO47" i="116" s="1"/>
  <c r="Y46" i="72" s="1"/>
  <c r="I50" i="100"/>
  <c r="AB51" i="116"/>
  <c r="AL51" i="116" s="1"/>
  <c r="AO51" i="116" s="1"/>
  <c r="Y50" i="72" s="1"/>
  <c r="K50" i="100"/>
  <c r="AB51" i="118"/>
  <c r="AL51" i="118" s="1"/>
  <c r="AO51" i="118" s="1"/>
  <c r="AA50" i="72" s="1"/>
  <c r="G47" i="100"/>
  <c r="Q47" i="100" s="1"/>
  <c r="AB48" i="114"/>
  <c r="AL48" i="114" s="1"/>
  <c r="AO48" i="114" s="1"/>
  <c r="W47" i="72" s="1"/>
  <c r="AD75" i="117"/>
  <c r="AN75" i="117" s="1"/>
  <c r="AQ75" i="117" s="1"/>
  <c r="Z74" i="72" s="1"/>
  <c r="J74" i="100"/>
  <c r="AE75" i="117"/>
  <c r="AG75" i="117" s="1"/>
  <c r="G74" i="100"/>
  <c r="R74" i="100" s="1"/>
  <c r="AB75" i="114"/>
  <c r="AL75" i="114" s="1"/>
  <c r="AO75" i="114" s="1"/>
  <c r="W74" i="72" s="1"/>
  <c r="K32" i="100"/>
  <c r="AB33" i="118"/>
  <c r="AL33" i="118" s="1"/>
  <c r="AO33" i="118" s="1"/>
  <c r="AA32" i="72" s="1"/>
  <c r="AG32" i="114"/>
  <c r="AH32" i="114" s="1"/>
  <c r="AI32" i="114"/>
  <c r="AH15" i="80"/>
  <c r="AI15" i="80" s="1"/>
  <c r="AJ15" i="80"/>
  <c r="AG70" i="120"/>
  <c r="AH70" i="120" s="1"/>
  <c r="AI70" i="120"/>
  <c r="AG27" i="113"/>
  <c r="AH27" i="113" s="1"/>
  <c r="AI27" i="113"/>
  <c r="AG45" i="113"/>
  <c r="AH45" i="113" s="1"/>
  <c r="AI45" i="113"/>
  <c r="R44" i="100"/>
  <c r="Q44" i="100"/>
  <c r="AG30" i="120"/>
  <c r="AH30" i="120" s="1"/>
  <c r="AI30" i="120"/>
  <c r="AG22" i="116"/>
  <c r="AH22" i="116" s="1"/>
  <c r="AI22" i="116"/>
  <c r="AH54" i="80"/>
  <c r="AI54" i="80" s="1"/>
  <c r="AJ54" i="80"/>
  <c r="AG46" i="116"/>
  <c r="AH46" i="116" s="1"/>
  <c r="AI46" i="116"/>
  <c r="AG23" i="114"/>
  <c r="AH23" i="114" s="1"/>
  <c r="AI23" i="114"/>
  <c r="L63" i="72"/>
  <c r="AJ64" i="118"/>
  <c r="AI9" i="117"/>
  <c r="AJ9" i="117" s="1"/>
  <c r="AK9" i="117"/>
  <c r="F8" i="72"/>
  <c r="AJ9" i="113"/>
  <c r="AH57" i="76"/>
  <c r="AI57" i="76" s="1"/>
  <c r="AJ57" i="76"/>
  <c r="M27" i="72"/>
  <c r="AJ28" i="119"/>
  <c r="F64" i="72"/>
  <c r="AJ65" i="113"/>
  <c r="F35" i="72"/>
  <c r="AJ36" i="113"/>
  <c r="AI13" i="117"/>
  <c r="AJ13" i="117" s="1"/>
  <c r="AK13" i="117"/>
  <c r="F12" i="72"/>
  <c r="AJ13" i="113"/>
  <c r="AH36" i="76"/>
  <c r="AI36" i="76" s="1"/>
  <c r="AJ36" i="76"/>
  <c r="AG67" i="114"/>
  <c r="AH67" i="114" s="1"/>
  <c r="AI67" i="114"/>
  <c r="H8" i="72"/>
  <c r="AJ9" i="115"/>
  <c r="AH47" i="76"/>
  <c r="AI47" i="76" s="1"/>
  <c r="AJ47" i="76"/>
  <c r="AG49" i="116"/>
  <c r="AH49" i="116" s="1"/>
  <c r="AI49" i="116"/>
  <c r="N15" i="72"/>
  <c r="AJ16" i="120"/>
  <c r="I59" i="72"/>
  <c r="AJ60" i="116"/>
  <c r="M17" i="72"/>
  <c r="AJ18" i="119"/>
  <c r="AG61" i="120"/>
  <c r="AH61" i="120" s="1"/>
  <c r="AI61" i="120"/>
  <c r="R43" i="100"/>
  <c r="F43" i="72"/>
  <c r="AJ44" i="113"/>
  <c r="K51" i="72"/>
  <c r="AL52" i="117"/>
  <c r="AG34" i="120"/>
  <c r="AH34" i="120" s="1"/>
  <c r="AI34" i="120"/>
  <c r="AG39" i="116"/>
  <c r="AH39" i="116" s="1"/>
  <c r="AI39" i="116"/>
  <c r="H51" i="72"/>
  <c r="AJ52" i="115"/>
  <c r="G9" i="72"/>
  <c r="AJ10" i="114"/>
  <c r="AG32" i="120"/>
  <c r="AH32" i="120" s="1"/>
  <c r="AI32" i="120"/>
  <c r="AG69" i="113"/>
  <c r="AH69" i="113" s="1"/>
  <c r="AI69" i="113"/>
  <c r="Q68" i="100"/>
  <c r="R68" i="100"/>
  <c r="AH68" i="80"/>
  <c r="AI68" i="80" s="1"/>
  <c r="AJ68" i="80"/>
  <c r="AG37" i="120"/>
  <c r="AH37" i="120" s="1"/>
  <c r="AI37" i="120"/>
  <c r="AI27" i="117"/>
  <c r="AJ27" i="117" s="1"/>
  <c r="AK27" i="117"/>
  <c r="AG42" i="120"/>
  <c r="AH42" i="120" s="1"/>
  <c r="AI42" i="120"/>
  <c r="N72" i="72"/>
  <c r="AJ73" i="120"/>
  <c r="AI50" i="117"/>
  <c r="AJ50" i="117" s="1"/>
  <c r="AK50" i="117"/>
  <c r="AG31" i="113"/>
  <c r="AH31" i="113" s="1"/>
  <c r="AI31" i="113"/>
  <c r="Q30" i="100"/>
  <c r="R30" i="100"/>
  <c r="AG35" i="118"/>
  <c r="AH35" i="118" s="1"/>
  <c r="AI35" i="118"/>
  <c r="P24" i="72"/>
  <c r="AK23" i="80"/>
  <c r="L24" i="72"/>
  <c r="AJ25" i="118"/>
  <c r="L27" i="72"/>
  <c r="AJ28" i="118"/>
  <c r="P64" i="72"/>
  <c r="AK63" i="80"/>
  <c r="AI41" i="117"/>
  <c r="AJ41" i="117" s="1"/>
  <c r="AK41" i="117"/>
  <c r="M12" i="72"/>
  <c r="AJ13" i="119"/>
  <c r="L12" i="72"/>
  <c r="AJ13" i="118"/>
  <c r="N37" i="72"/>
  <c r="AJ38" i="120"/>
  <c r="F66" i="72"/>
  <c r="AJ67" i="113"/>
  <c r="H67" i="72"/>
  <c r="AJ68" i="115"/>
  <c r="I52" i="72"/>
  <c r="AJ53" i="116"/>
  <c r="M73" i="72"/>
  <c r="AJ74" i="119"/>
  <c r="P48" i="72"/>
  <c r="AK47" i="80"/>
  <c r="AG18" i="116"/>
  <c r="AH18" i="116" s="1"/>
  <c r="AI18" i="116"/>
  <c r="AI66" i="117"/>
  <c r="AJ66" i="117" s="1"/>
  <c r="AK66" i="117"/>
  <c r="O51" i="72"/>
  <c r="AK50" i="76"/>
  <c r="L51" i="72"/>
  <c r="AJ52" i="118"/>
  <c r="I54" i="72"/>
  <c r="AJ55" i="116"/>
  <c r="AH32" i="80"/>
  <c r="AI32" i="80" s="1"/>
  <c r="AJ32" i="80"/>
  <c r="AI34" i="117"/>
  <c r="AJ34" i="117" s="1"/>
  <c r="AK34" i="117"/>
  <c r="AG39" i="118"/>
  <c r="AH39" i="118" s="1"/>
  <c r="AI39" i="118"/>
  <c r="M10" i="100"/>
  <c r="AB11" i="120"/>
  <c r="AL11" i="120" s="1"/>
  <c r="AO11" i="120" s="1"/>
  <c r="AC10" i="72" s="1"/>
  <c r="O23" i="100"/>
  <c r="AC22" i="80"/>
  <c r="AP22" i="80" s="1"/>
  <c r="AE23" i="72" s="1"/>
  <c r="AH66" i="76"/>
  <c r="AI66" i="76" s="1"/>
  <c r="AJ66" i="76"/>
  <c r="F19" i="100"/>
  <c r="R19" i="100" s="1"/>
  <c r="AB20" i="113"/>
  <c r="AL20" i="113" s="1"/>
  <c r="AO20" i="113" s="1"/>
  <c r="V19" i="72" s="1"/>
  <c r="M42" i="100"/>
  <c r="AB43" i="120"/>
  <c r="AL43" i="120" s="1"/>
  <c r="AO43" i="120" s="1"/>
  <c r="AC42" i="72" s="1"/>
  <c r="K42" i="100"/>
  <c r="Q42" i="100" s="1"/>
  <c r="AB43" i="118"/>
  <c r="AL43" i="118" s="1"/>
  <c r="AO43" i="118" s="1"/>
  <c r="AA42" i="72" s="1"/>
  <c r="F71" i="100"/>
  <c r="AB72" i="113"/>
  <c r="AL72" i="113" s="1"/>
  <c r="AO72" i="113" s="1"/>
  <c r="V71" i="72" s="1"/>
  <c r="J11" i="100"/>
  <c r="AD12" i="117"/>
  <c r="AN12" i="117" s="1"/>
  <c r="AQ12" i="117" s="1"/>
  <c r="Z11" i="72" s="1"/>
  <c r="G11" i="100"/>
  <c r="AB12" i="114"/>
  <c r="AL12" i="114" s="1"/>
  <c r="AO12" i="114" s="1"/>
  <c r="W11" i="72" s="1"/>
  <c r="AB58" i="118"/>
  <c r="AL58" i="118" s="1"/>
  <c r="AO58" i="118" s="1"/>
  <c r="AA57" i="72" s="1"/>
  <c r="K57" i="100"/>
  <c r="Q57" i="100" s="1"/>
  <c r="AC58" i="118"/>
  <c r="AE58" i="118" s="1"/>
  <c r="K39" i="100"/>
  <c r="AB40" i="118"/>
  <c r="AL40" i="118" s="1"/>
  <c r="AO40" i="118" s="1"/>
  <c r="AA39" i="72" s="1"/>
  <c r="AH38" i="76"/>
  <c r="AI38" i="76" s="1"/>
  <c r="AJ38" i="76"/>
  <c r="AG14" i="113"/>
  <c r="AH14" i="113" s="1"/>
  <c r="AI14" i="113"/>
  <c r="Q13" i="100"/>
  <c r="R13" i="100"/>
  <c r="AG15" i="113"/>
  <c r="AH15" i="113" s="1"/>
  <c r="AI15" i="113"/>
  <c r="AF47" i="119"/>
  <c r="AG47" i="119" s="1"/>
  <c r="AH47" i="119" s="1"/>
  <c r="AI47" i="119"/>
  <c r="AH61" i="76"/>
  <c r="AI61" i="76" s="1"/>
  <c r="AJ61" i="76"/>
  <c r="G50" i="100"/>
  <c r="Q50" i="100" s="1"/>
  <c r="AB51" i="114"/>
  <c r="AL51" i="114" s="1"/>
  <c r="AO51" i="114" s="1"/>
  <c r="W50" i="72" s="1"/>
  <c r="AH46" i="76"/>
  <c r="AI46" i="76" s="1"/>
  <c r="AJ46" i="76"/>
  <c r="AF75" i="119"/>
  <c r="AG75" i="119" s="1"/>
  <c r="AH75" i="119" s="1"/>
  <c r="AI75" i="119"/>
  <c r="AF33" i="119"/>
  <c r="AG33" i="119" s="1"/>
  <c r="AH33" i="119" s="1"/>
  <c r="AI33" i="119"/>
  <c r="AG10" i="113"/>
  <c r="AH10" i="113" s="1"/>
  <c r="AI10" i="113"/>
  <c r="Q9" i="100"/>
  <c r="R9" i="100"/>
  <c r="AG32" i="118"/>
  <c r="AH32" i="118" s="1"/>
  <c r="AI32" i="118"/>
  <c r="AI17" i="117"/>
  <c r="AJ17" i="117" s="1"/>
  <c r="AK17" i="117"/>
  <c r="AG37" i="118"/>
  <c r="AH37" i="118" s="1"/>
  <c r="AI37" i="118"/>
  <c r="AG42" i="114"/>
  <c r="AH42" i="114" s="1"/>
  <c r="AI42" i="114"/>
  <c r="AH71" i="76"/>
  <c r="AI71" i="76" s="1"/>
  <c r="AJ71" i="76"/>
  <c r="AG50" i="120"/>
  <c r="AH50" i="120" s="1"/>
  <c r="AI50" i="120"/>
  <c r="AG29" i="120"/>
  <c r="AH29" i="120" s="1"/>
  <c r="AI29" i="120"/>
  <c r="AI23" i="117"/>
  <c r="AJ23" i="117" s="1"/>
  <c r="AK23" i="117"/>
  <c r="AH62" i="76"/>
  <c r="AI62" i="76" s="1"/>
  <c r="AJ62" i="76"/>
  <c r="AF35" i="119"/>
  <c r="AG35" i="119" s="1"/>
  <c r="AH35" i="119" s="1"/>
  <c r="AI35" i="119"/>
  <c r="AG9" i="120"/>
  <c r="AH9" i="120" s="1"/>
  <c r="AI9" i="120"/>
  <c r="AH63" i="76"/>
  <c r="AI63" i="76" s="1"/>
  <c r="AJ63" i="76"/>
  <c r="AG36" i="116"/>
  <c r="AH36" i="116" s="1"/>
  <c r="AI36" i="116"/>
  <c r="AF41" i="119"/>
  <c r="AG41" i="119" s="1"/>
  <c r="AH41" i="119" s="1"/>
  <c r="AI41" i="119"/>
  <c r="AG13" i="120"/>
  <c r="AH13" i="120" s="1"/>
  <c r="AI13" i="120"/>
  <c r="AH65" i="80"/>
  <c r="AI65" i="80" s="1"/>
  <c r="AJ65" i="80"/>
  <c r="H30" i="72"/>
  <c r="AJ31" i="115"/>
  <c r="H72" i="72"/>
  <c r="AJ73" i="115"/>
  <c r="AG53" i="118"/>
  <c r="AH53" i="118" s="1"/>
  <c r="AI53" i="118"/>
  <c r="AF16" i="119"/>
  <c r="AG16" i="119" s="1"/>
  <c r="AH16" i="119" s="1"/>
  <c r="AI16" i="119"/>
  <c r="AG60" i="114"/>
  <c r="AH60" i="114" s="1"/>
  <c r="AI60" i="114"/>
  <c r="AH64" i="80"/>
  <c r="AI64" i="80" s="1"/>
  <c r="AJ64" i="80"/>
  <c r="I43" i="72"/>
  <c r="AJ44" i="116"/>
  <c r="AI55" i="117"/>
  <c r="AJ55" i="117" s="1"/>
  <c r="AK55" i="117"/>
  <c r="AG34" i="113"/>
  <c r="AH34" i="113" s="1"/>
  <c r="AI34" i="113"/>
  <c r="Q33" i="100"/>
  <c r="R33" i="100"/>
  <c r="AG69" i="116"/>
  <c r="AH69" i="116" s="1"/>
  <c r="AI69" i="116"/>
  <c r="F36" i="72"/>
  <c r="AJ37" i="113"/>
  <c r="AG45" i="114"/>
  <c r="AH45" i="114" s="1"/>
  <c r="AI45" i="114"/>
  <c r="I29" i="72"/>
  <c r="AJ30" i="116"/>
  <c r="L41" i="72"/>
  <c r="AJ42" i="118"/>
  <c r="AI22" i="117"/>
  <c r="AJ22" i="117" s="1"/>
  <c r="AK22" i="117"/>
  <c r="I49" i="72"/>
  <c r="AJ50" i="116"/>
  <c r="M49" i="72"/>
  <c r="AJ50" i="119"/>
  <c r="AG31" i="114"/>
  <c r="AH31" i="114" s="1"/>
  <c r="AI31" i="114"/>
  <c r="AG23" i="118"/>
  <c r="AH23" i="118" s="1"/>
  <c r="AI23" i="118"/>
  <c r="G63" i="72"/>
  <c r="AJ64" i="114"/>
  <c r="AH26" i="80"/>
  <c r="AI26" i="80" s="1"/>
  <c r="AJ26" i="80"/>
  <c r="G64" i="72"/>
  <c r="AJ65" i="114"/>
  <c r="AG54" i="116"/>
  <c r="AH54" i="116" s="1"/>
  <c r="AI54" i="116"/>
  <c r="O40" i="72"/>
  <c r="AK39" i="76"/>
  <c r="AG26" i="116"/>
  <c r="AH26" i="116" s="1"/>
  <c r="AI26" i="116"/>
  <c r="AF38" i="119"/>
  <c r="AG38" i="119" s="1"/>
  <c r="AH38" i="119" s="1"/>
  <c r="AI38" i="119"/>
  <c r="R51" i="100"/>
  <c r="M52" i="72"/>
  <c r="AJ53" i="119"/>
  <c r="L73" i="72"/>
  <c r="AJ74" i="118"/>
  <c r="AI49" i="117"/>
  <c r="AJ49" i="117" s="1"/>
  <c r="AK49" i="117"/>
  <c r="AH16" i="80"/>
  <c r="AI16" i="80" s="1"/>
  <c r="AJ16" i="80"/>
  <c r="F20" i="72"/>
  <c r="AJ21" i="113"/>
  <c r="M60" i="72"/>
  <c r="AJ61" i="119"/>
  <c r="F65" i="72"/>
  <c r="AJ66" i="113"/>
  <c r="L43" i="72"/>
  <c r="AJ44" i="118"/>
  <c r="M54" i="72"/>
  <c r="AJ55" i="119"/>
  <c r="AG34" i="116"/>
  <c r="AH34" i="116" s="1"/>
  <c r="AI34" i="116"/>
  <c r="AH37" i="80"/>
  <c r="AI37" i="80" s="1"/>
  <c r="AJ37" i="80"/>
  <c r="AF38" i="46"/>
  <c r="AF44" i="46" s="1"/>
  <c r="AG11" i="118"/>
  <c r="AH11" i="118" s="1"/>
  <c r="AI11" i="118"/>
  <c r="AG68" i="120"/>
  <c r="AH68" i="120" s="1"/>
  <c r="AI68" i="120"/>
  <c r="AG20" i="114"/>
  <c r="AH20" i="114" s="1"/>
  <c r="AI20" i="114"/>
  <c r="AG72" i="120"/>
  <c r="AH72" i="120" s="1"/>
  <c r="AI72" i="120"/>
  <c r="AG12" i="120"/>
  <c r="AH12" i="120" s="1"/>
  <c r="AI12" i="120"/>
  <c r="Q39" i="100"/>
  <c r="R39" i="100"/>
  <c r="AG47" i="120"/>
  <c r="AH47" i="120" s="1"/>
  <c r="AI47" i="120"/>
  <c r="AG63" i="114"/>
  <c r="AH63" i="114" s="1"/>
  <c r="AI63" i="114"/>
  <c r="AG75" i="120"/>
  <c r="AH75" i="120" s="1"/>
  <c r="AI75" i="120"/>
  <c r="AF32" i="119"/>
  <c r="AG32" i="119" s="1"/>
  <c r="AH32" i="119" s="1"/>
  <c r="AI32" i="119"/>
  <c r="AG17" i="114"/>
  <c r="AH17" i="114" s="1"/>
  <c r="AI17" i="114"/>
  <c r="AF27" i="119"/>
  <c r="AG27" i="119" s="1"/>
  <c r="AH27" i="119" s="1"/>
  <c r="AI27" i="119"/>
  <c r="L44" i="72"/>
  <c r="AJ45" i="118"/>
  <c r="N44" i="72"/>
  <c r="AJ45" i="120"/>
  <c r="AG42" i="116"/>
  <c r="AH42" i="116" s="1"/>
  <c r="AI42" i="116"/>
  <c r="F41" i="72"/>
  <c r="AJ42" i="113"/>
  <c r="AG73" i="116"/>
  <c r="AH73" i="116" s="1"/>
  <c r="AI73" i="116"/>
  <c r="AG56" i="114"/>
  <c r="AH56" i="114" s="1"/>
  <c r="AI56" i="114"/>
  <c r="AG29" i="113"/>
  <c r="AH29" i="113" s="1"/>
  <c r="AI29" i="113"/>
  <c r="AG23" i="120"/>
  <c r="AH23" i="120" s="1"/>
  <c r="AI23" i="120"/>
  <c r="AG35" i="116"/>
  <c r="AH35" i="116" s="1"/>
  <c r="AI35" i="116"/>
  <c r="AG71" i="114"/>
  <c r="AH71" i="114" s="1"/>
  <c r="AI71" i="114"/>
  <c r="F24" i="72"/>
  <c r="AJ25" i="113"/>
  <c r="AG59" i="118"/>
  <c r="AH59" i="118" s="1"/>
  <c r="AI59" i="118"/>
  <c r="AF65" i="119"/>
  <c r="AG65" i="119" s="1"/>
  <c r="AH65" i="119" s="1"/>
  <c r="AI65" i="119"/>
  <c r="AG54" i="114"/>
  <c r="AH54" i="114" s="1"/>
  <c r="AI54" i="114"/>
  <c r="AG41" i="116"/>
  <c r="AH41" i="116" s="1"/>
  <c r="AI41" i="116"/>
  <c r="G12" i="72"/>
  <c r="AJ13" i="114"/>
  <c r="AG26" i="113"/>
  <c r="AH26" i="113" s="1"/>
  <c r="AI26" i="113"/>
  <c r="AG67" i="120"/>
  <c r="AH67" i="120" s="1"/>
  <c r="AI67" i="120"/>
  <c r="AG44" i="115"/>
  <c r="AH44" i="115" s="1"/>
  <c r="AI44" i="115"/>
  <c r="AG74" i="120"/>
  <c r="AH74" i="120" s="1"/>
  <c r="AI74" i="120"/>
  <c r="AG49" i="120"/>
  <c r="AH49" i="120" s="1"/>
  <c r="AI49" i="120"/>
  <c r="AG60" i="120"/>
  <c r="AH60" i="120" s="1"/>
  <c r="AI60" i="120"/>
  <c r="AG18" i="113"/>
  <c r="AH18" i="113" s="1"/>
  <c r="AI18" i="113"/>
  <c r="AG21" i="114"/>
  <c r="AH21" i="114" s="1"/>
  <c r="AI21" i="114"/>
  <c r="I65" i="72"/>
  <c r="AJ66" i="116"/>
  <c r="AG52" i="113"/>
  <c r="AH52" i="113" s="1"/>
  <c r="AI52" i="113"/>
  <c r="AG57" i="120"/>
  <c r="AH57" i="120" s="1"/>
  <c r="AI57" i="120"/>
  <c r="AG62" i="116"/>
  <c r="AH62" i="116" s="1"/>
  <c r="AI62" i="116"/>
  <c r="I18" i="100"/>
  <c r="AB19" i="116"/>
  <c r="AL19" i="116" s="1"/>
  <c r="AO19" i="116" s="1"/>
  <c r="Y18" i="72" s="1"/>
  <c r="AC19" i="116"/>
  <c r="AE19" i="116" s="1"/>
  <c r="M18" i="100"/>
  <c r="AB19" i="120"/>
  <c r="AL19" i="120" s="1"/>
  <c r="AO19" i="120" s="1"/>
  <c r="AC18" i="72" s="1"/>
  <c r="AG17" i="116"/>
  <c r="AH17" i="116" s="1"/>
  <c r="AI17" i="116"/>
  <c r="AG26" i="114"/>
  <c r="AH26" i="114" s="1"/>
  <c r="AI26" i="114"/>
  <c r="AH14" i="76"/>
  <c r="AI14" i="76" s="1"/>
  <c r="AJ14" i="76"/>
  <c r="AI39" i="117"/>
  <c r="AJ39" i="117" s="1"/>
  <c r="AK39" i="117"/>
  <c r="AF67" i="119"/>
  <c r="AG67" i="119" s="1"/>
  <c r="AH67" i="119" s="1"/>
  <c r="AI67" i="119"/>
  <c r="AH50" i="80"/>
  <c r="AI50" i="80" s="1"/>
  <c r="AJ50" i="80"/>
  <c r="AG62" i="114"/>
  <c r="AH62" i="114" s="1"/>
  <c r="AI62" i="114"/>
  <c r="AI71" i="119" l="1"/>
  <c r="AF71" i="119"/>
  <c r="AG71" i="119" s="1"/>
  <c r="AH71" i="119" s="1"/>
  <c r="AC51" i="114"/>
  <c r="AE51" i="114" s="1"/>
  <c r="AC11" i="120"/>
  <c r="AE11" i="120" s="1"/>
  <c r="AI21" i="116"/>
  <c r="AG21" i="116"/>
  <c r="AH21" i="116" s="1"/>
  <c r="AI59" i="114"/>
  <c r="AG59" i="114"/>
  <c r="AH59" i="114" s="1"/>
  <c r="K10" i="130"/>
  <c r="I13" i="130"/>
  <c r="K13" i="130" s="1"/>
  <c r="L13" i="130" s="1"/>
  <c r="M13" i="130" s="1"/>
  <c r="N13" i="130" s="1"/>
  <c r="Q13" i="130" s="1"/>
  <c r="S13" i="130" s="1"/>
  <c r="T13" i="130" s="1"/>
  <c r="I14" i="130"/>
  <c r="K14" i="130" s="1"/>
  <c r="L14" i="130" s="1"/>
  <c r="M14" i="130" s="1"/>
  <c r="N14" i="130" s="1"/>
  <c r="Q14" i="130" s="1"/>
  <c r="S14" i="130" s="1"/>
  <c r="T14" i="130" s="1"/>
  <c r="AK44" i="117"/>
  <c r="AI44" i="117"/>
  <c r="AJ44" i="117" s="1"/>
  <c r="AD12" i="80"/>
  <c r="AF12" i="80" s="1"/>
  <c r="AC68" i="118"/>
  <c r="AE68" i="118" s="1"/>
  <c r="AC19" i="119"/>
  <c r="AE19" i="119" s="1"/>
  <c r="AC20" i="119"/>
  <c r="AE20" i="119" s="1"/>
  <c r="AC47" i="114"/>
  <c r="AE47" i="114" s="1"/>
  <c r="AC63" i="116"/>
  <c r="AE63" i="116" s="1"/>
  <c r="AE12" i="117"/>
  <c r="AG12" i="117" s="1"/>
  <c r="AC48" i="120"/>
  <c r="AE48" i="120" s="1"/>
  <c r="AE11" i="117"/>
  <c r="AG11" i="117" s="1"/>
  <c r="AD56" i="80"/>
  <c r="AF56" i="80" s="1"/>
  <c r="AC43" i="114"/>
  <c r="AE43" i="114" s="1"/>
  <c r="AE63" i="117"/>
  <c r="AG63" i="117" s="1"/>
  <c r="AC58" i="119"/>
  <c r="AE58" i="119" s="1"/>
  <c r="AC68" i="114"/>
  <c r="AE68" i="114" s="1"/>
  <c r="AC75" i="116"/>
  <c r="AE75" i="116" s="1"/>
  <c r="AC24" i="114"/>
  <c r="AE24" i="114" s="1"/>
  <c r="AC68" i="119"/>
  <c r="AE68" i="119" s="1"/>
  <c r="AD46" i="80"/>
  <c r="AF46" i="80" s="1"/>
  <c r="AD22" i="76"/>
  <c r="AF22" i="76" s="1"/>
  <c r="AD38" i="80"/>
  <c r="AF38" i="80" s="1"/>
  <c r="AC20" i="113"/>
  <c r="AE20" i="113" s="1"/>
  <c r="AC33" i="118"/>
  <c r="AE33" i="118" s="1"/>
  <c r="AC51" i="118"/>
  <c r="AE51" i="118" s="1"/>
  <c r="AC58" i="120"/>
  <c r="AE58" i="120" s="1"/>
  <c r="AD13" i="76"/>
  <c r="AF13" i="76" s="1"/>
  <c r="AC48" i="119"/>
  <c r="AE48" i="119" s="1"/>
  <c r="AC14" i="118"/>
  <c r="AE14" i="118" s="1"/>
  <c r="AC43" i="116"/>
  <c r="AE43" i="116" s="1"/>
  <c r="AC47" i="116"/>
  <c r="AE47" i="116" s="1"/>
  <c r="AE14" i="117"/>
  <c r="AG14" i="117" s="1"/>
  <c r="AC20" i="118"/>
  <c r="AE20" i="118" s="1"/>
  <c r="R23" i="100"/>
  <c r="AD70" i="76"/>
  <c r="AF70" i="76" s="1"/>
  <c r="AD31" i="76"/>
  <c r="AF31" i="76" s="1"/>
  <c r="AC51" i="120"/>
  <c r="AE51" i="120" s="1"/>
  <c r="AC15" i="116"/>
  <c r="AE15" i="116" s="1"/>
  <c r="AC40" i="120"/>
  <c r="AE40" i="120" s="1"/>
  <c r="AD70" i="80"/>
  <c r="AF70" i="80" s="1"/>
  <c r="AD18" i="76"/>
  <c r="AF18" i="76" s="1"/>
  <c r="AC63" i="119"/>
  <c r="AE63" i="119" s="1"/>
  <c r="AD56" i="76"/>
  <c r="AF56" i="76" s="1"/>
  <c r="AC11" i="113"/>
  <c r="AE11" i="113" s="1"/>
  <c r="AE33" i="117"/>
  <c r="AG33" i="117" s="1"/>
  <c r="AD61" i="80"/>
  <c r="AF61" i="80" s="1"/>
  <c r="AD41" i="80"/>
  <c r="AF41" i="80" s="1"/>
  <c r="AD17" i="80"/>
  <c r="AF17" i="80" s="1"/>
  <c r="R18" i="100"/>
  <c r="AC43" i="118"/>
  <c r="AE43" i="118" s="1"/>
  <c r="AC33" i="116"/>
  <c r="AE33" i="116" s="1"/>
  <c r="AC63" i="113"/>
  <c r="AE63" i="113" s="1"/>
  <c r="AC14" i="116"/>
  <c r="AE14" i="116" s="1"/>
  <c r="AE8" i="117"/>
  <c r="AG8" i="117" s="1"/>
  <c r="AD17" i="76"/>
  <c r="AF17" i="76" s="1"/>
  <c r="AC15" i="120"/>
  <c r="AE15" i="120" s="1"/>
  <c r="AC12" i="116"/>
  <c r="AE12" i="116" s="1"/>
  <c r="G61" i="72"/>
  <c r="AJ62" i="114"/>
  <c r="M66" i="72"/>
  <c r="AJ67" i="119"/>
  <c r="O15" i="72"/>
  <c r="AK14" i="76"/>
  <c r="G25" i="72"/>
  <c r="AJ26" i="114"/>
  <c r="I16" i="72"/>
  <c r="AJ17" i="116"/>
  <c r="AG19" i="116"/>
  <c r="AH19" i="116" s="1"/>
  <c r="AI19" i="116"/>
  <c r="I61" i="72"/>
  <c r="AJ62" i="116"/>
  <c r="N56" i="72"/>
  <c r="AJ57" i="120"/>
  <c r="F51" i="72"/>
  <c r="AJ52" i="113"/>
  <c r="G20" i="72"/>
  <c r="AJ21" i="114"/>
  <c r="F17" i="72"/>
  <c r="AJ18" i="113"/>
  <c r="N59" i="72"/>
  <c r="AJ60" i="120"/>
  <c r="N48" i="72"/>
  <c r="AJ49" i="120"/>
  <c r="N73" i="72"/>
  <c r="AJ74" i="120"/>
  <c r="H43" i="72"/>
  <c r="AJ44" i="115"/>
  <c r="N66" i="72"/>
  <c r="AJ67" i="120"/>
  <c r="F25" i="72"/>
  <c r="AJ26" i="113"/>
  <c r="I40" i="72"/>
  <c r="AJ41" i="116"/>
  <c r="G53" i="72"/>
  <c r="AJ54" i="114"/>
  <c r="M64" i="72"/>
  <c r="AJ65" i="119"/>
  <c r="L58" i="72"/>
  <c r="AJ59" i="118"/>
  <c r="G70" i="72"/>
  <c r="AJ71" i="114"/>
  <c r="I34" i="72"/>
  <c r="AJ35" i="116"/>
  <c r="N22" i="72"/>
  <c r="AJ23" i="120"/>
  <c r="F28" i="72"/>
  <c r="AJ29" i="113"/>
  <c r="G55" i="72"/>
  <c r="AJ56" i="114"/>
  <c r="I72" i="72"/>
  <c r="AJ73" i="116"/>
  <c r="I41" i="72"/>
  <c r="AJ42" i="116"/>
  <c r="M26" i="72"/>
  <c r="AJ27" i="119"/>
  <c r="G16" i="72"/>
  <c r="AJ17" i="114"/>
  <c r="M31" i="72"/>
  <c r="AJ32" i="119"/>
  <c r="N74" i="72"/>
  <c r="AJ75" i="120"/>
  <c r="G62" i="72"/>
  <c r="AJ63" i="114"/>
  <c r="N46" i="72"/>
  <c r="AJ47" i="120"/>
  <c r="N11" i="72"/>
  <c r="AJ12" i="120"/>
  <c r="N71" i="72"/>
  <c r="AJ72" i="120"/>
  <c r="G19" i="72"/>
  <c r="AJ20" i="114"/>
  <c r="N67" i="72"/>
  <c r="AJ68" i="120"/>
  <c r="L10" i="72"/>
  <c r="AJ11" i="118"/>
  <c r="M37" i="72"/>
  <c r="AJ38" i="119"/>
  <c r="I25" i="72"/>
  <c r="AJ26" i="116"/>
  <c r="I53" i="72"/>
  <c r="AJ54" i="116"/>
  <c r="P27" i="72"/>
  <c r="AK26" i="80"/>
  <c r="L22" i="72"/>
  <c r="AJ23" i="118"/>
  <c r="G30" i="72"/>
  <c r="AJ31" i="114"/>
  <c r="K21" i="72"/>
  <c r="AL22" i="117"/>
  <c r="G44" i="72"/>
  <c r="AJ45" i="114"/>
  <c r="I68" i="72"/>
  <c r="AJ69" i="116"/>
  <c r="F33" i="72"/>
  <c r="AJ34" i="113"/>
  <c r="K54" i="72"/>
  <c r="AL55" i="117"/>
  <c r="P65" i="72"/>
  <c r="AK64" i="80"/>
  <c r="G59" i="72"/>
  <c r="AJ60" i="114"/>
  <c r="M15" i="72"/>
  <c r="AJ16" i="119"/>
  <c r="L52" i="72"/>
  <c r="AJ53" i="118"/>
  <c r="P66" i="72"/>
  <c r="AK65" i="80"/>
  <c r="N12" i="72"/>
  <c r="AJ13" i="120"/>
  <c r="M40" i="72"/>
  <c r="AJ41" i="119"/>
  <c r="I35" i="72"/>
  <c r="AJ36" i="116"/>
  <c r="O64" i="72"/>
  <c r="AK63" i="76"/>
  <c r="N8" i="72"/>
  <c r="AJ9" i="120"/>
  <c r="M34" i="72"/>
  <c r="AJ35" i="119"/>
  <c r="O63" i="72"/>
  <c r="AK62" i="76"/>
  <c r="K22" i="72"/>
  <c r="AL23" i="117"/>
  <c r="N28" i="72"/>
  <c r="AJ29" i="120"/>
  <c r="N49" i="72"/>
  <c r="AJ50" i="120"/>
  <c r="O72" i="72"/>
  <c r="AK71" i="76"/>
  <c r="G41" i="72"/>
  <c r="AJ42" i="114"/>
  <c r="L36" i="72"/>
  <c r="AJ37" i="118"/>
  <c r="K16" i="72"/>
  <c r="AL17" i="117"/>
  <c r="L31" i="72"/>
  <c r="AJ32" i="118"/>
  <c r="F9" i="72"/>
  <c r="AJ10" i="113"/>
  <c r="M32" i="72"/>
  <c r="AJ33" i="119"/>
  <c r="M74" i="72"/>
  <c r="AJ75" i="119"/>
  <c r="O47" i="72"/>
  <c r="AK46" i="76"/>
  <c r="AC40" i="118"/>
  <c r="AE40" i="118" s="1"/>
  <c r="AC12" i="114"/>
  <c r="AE12" i="114" s="1"/>
  <c r="AC72" i="113"/>
  <c r="AE72" i="113" s="1"/>
  <c r="Q71" i="100"/>
  <c r="R71" i="100"/>
  <c r="AC43" i="120"/>
  <c r="AE43" i="120" s="1"/>
  <c r="AD22" i="80"/>
  <c r="AF22" i="80" s="1"/>
  <c r="K40" i="72"/>
  <c r="AL41" i="117"/>
  <c r="L34" i="72"/>
  <c r="AJ35" i="118"/>
  <c r="F30" i="72"/>
  <c r="AJ31" i="113"/>
  <c r="K49" i="72"/>
  <c r="AL50" i="117"/>
  <c r="N41" i="72"/>
  <c r="AJ42" i="120"/>
  <c r="K26" i="72"/>
  <c r="AL27" i="117"/>
  <c r="N36" i="72"/>
  <c r="AJ37" i="120"/>
  <c r="P69" i="72"/>
  <c r="AK68" i="80"/>
  <c r="F68" i="72"/>
  <c r="AJ69" i="113"/>
  <c r="N31" i="72"/>
  <c r="AJ32" i="120"/>
  <c r="N60" i="72"/>
  <c r="AJ61" i="120"/>
  <c r="I48" i="72"/>
  <c r="AJ49" i="116"/>
  <c r="O48" i="72"/>
  <c r="AK47" i="76"/>
  <c r="G66" i="72"/>
  <c r="AJ67" i="114"/>
  <c r="O37" i="72"/>
  <c r="AK36" i="76"/>
  <c r="K12" i="72"/>
  <c r="AL13" i="117"/>
  <c r="O58" i="72"/>
  <c r="AK57" i="76"/>
  <c r="K8" i="72"/>
  <c r="AL9" i="117"/>
  <c r="G22" i="72"/>
  <c r="AJ23" i="114"/>
  <c r="I45" i="72"/>
  <c r="AJ46" i="116"/>
  <c r="P55" i="72"/>
  <c r="AK54" i="80"/>
  <c r="I21" i="72"/>
  <c r="AJ22" i="116"/>
  <c r="N29" i="72"/>
  <c r="AJ30" i="120"/>
  <c r="F44" i="72"/>
  <c r="AJ45" i="113"/>
  <c r="F26" i="72"/>
  <c r="AJ27" i="113"/>
  <c r="N69" i="72"/>
  <c r="AJ70" i="120"/>
  <c r="P16" i="72"/>
  <c r="AK15" i="80"/>
  <c r="G31" i="72"/>
  <c r="AJ32" i="114"/>
  <c r="AC75" i="114"/>
  <c r="AE75" i="114" s="1"/>
  <c r="AC48" i="114"/>
  <c r="AE48" i="114" s="1"/>
  <c r="AC51" i="116"/>
  <c r="AE51" i="116" s="1"/>
  <c r="AD13" i="80"/>
  <c r="AF13" i="80" s="1"/>
  <c r="AC14" i="114"/>
  <c r="AE14" i="114" s="1"/>
  <c r="AE40" i="117"/>
  <c r="AG40" i="117" s="1"/>
  <c r="AD10" i="76"/>
  <c r="AF10" i="76" s="1"/>
  <c r="AC24" i="120"/>
  <c r="AE24" i="120" s="1"/>
  <c r="AC33" i="120"/>
  <c r="AE33" i="120" s="1"/>
  <c r="AC75" i="118"/>
  <c r="AE75" i="118" s="1"/>
  <c r="AE51" i="117"/>
  <c r="AG51" i="117" s="1"/>
  <c r="AD45" i="80"/>
  <c r="AF45" i="80" s="1"/>
  <c r="AC15" i="114"/>
  <c r="AE15" i="114" s="1"/>
  <c r="R14" i="100"/>
  <c r="Q14" i="100"/>
  <c r="R57" i="100"/>
  <c r="R42" i="100"/>
  <c r="AC20" i="120"/>
  <c r="AE20" i="120" s="1"/>
  <c r="AF24" i="119"/>
  <c r="AG24" i="119" s="1"/>
  <c r="AH24" i="119" s="1"/>
  <c r="AI24" i="119"/>
  <c r="O10" i="72"/>
  <c r="AK9" i="76"/>
  <c r="AE7" i="115"/>
  <c r="AC77" i="115"/>
  <c r="AH59" i="80"/>
  <c r="AI59" i="80" s="1"/>
  <c r="AJ59" i="80"/>
  <c r="AG59" i="116"/>
  <c r="AH59" i="116" s="1"/>
  <c r="AI59" i="116"/>
  <c r="AH14" i="80"/>
  <c r="AI14" i="80" s="1"/>
  <c r="AJ14" i="80"/>
  <c r="AH11" i="80"/>
  <c r="AI11" i="80" s="1"/>
  <c r="AJ11" i="80"/>
  <c r="AF19" i="119"/>
  <c r="AG19" i="119" s="1"/>
  <c r="AH19" i="119" s="1"/>
  <c r="AI19" i="119"/>
  <c r="AF39" i="119"/>
  <c r="AG39" i="119" s="1"/>
  <c r="AH39" i="119" s="1"/>
  <c r="AI39" i="119"/>
  <c r="K56" i="72"/>
  <c r="AL57" i="117"/>
  <c r="AG66" i="114"/>
  <c r="AH66" i="114" s="1"/>
  <c r="AI66" i="114"/>
  <c r="L20" i="72"/>
  <c r="AJ21" i="118"/>
  <c r="AH72" i="76"/>
  <c r="AI72" i="76" s="1"/>
  <c r="AJ72" i="76"/>
  <c r="K66" i="72"/>
  <c r="AL67" i="117"/>
  <c r="F37" i="72"/>
  <c r="AJ38" i="113"/>
  <c r="L25" i="72"/>
  <c r="AJ26" i="118"/>
  <c r="AH34" i="76"/>
  <c r="AI34" i="76" s="1"/>
  <c r="AJ34" i="76"/>
  <c r="N27" i="72"/>
  <c r="AJ28" i="120"/>
  <c r="H71" i="81"/>
  <c r="G71" i="81"/>
  <c r="E89" i="81"/>
  <c r="AI64" i="117"/>
  <c r="AJ64" i="117" s="1"/>
  <c r="AK64" i="117"/>
  <c r="AH54" i="76"/>
  <c r="AI54" i="76" s="1"/>
  <c r="AJ54" i="76"/>
  <c r="N21" i="72"/>
  <c r="AJ22" i="120"/>
  <c r="AH67" i="80"/>
  <c r="AI67" i="80" s="1"/>
  <c r="AJ67" i="80"/>
  <c r="R50" i="100"/>
  <c r="AG51" i="113"/>
  <c r="AH51" i="113" s="1"/>
  <c r="AI51" i="113"/>
  <c r="AF15" i="119"/>
  <c r="AG15" i="119" s="1"/>
  <c r="AH15" i="119" s="1"/>
  <c r="AI15" i="119"/>
  <c r="F39" i="72"/>
  <c r="AJ40" i="113"/>
  <c r="AG8" i="118"/>
  <c r="AH8" i="118" s="1"/>
  <c r="AI8" i="118"/>
  <c r="Q23" i="100"/>
  <c r="AH60" i="76"/>
  <c r="AI60" i="76" s="1"/>
  <c r="AJ60" i="76"/>
  <c r="AH65" i="76"/>
  <c r="AI65" i="76" s="1"/>
  <c r="AJ65" i="76"/>
  <c r="AF36" i="119"/>
  <c r="AG36" i="119" s="1"/>
  <c r="AH36" i="119" s="1"/>
  <c r="AI36" i="119"/>
  <c r="M8" i="72"/>
  <c r="AJ9" i="119"/>
  <c r="AH29" i="76"/>
  <c r="AI29" i="76" s="1"/>
  <c r="AJ29" i="76"/>
  <c r="AH25" i="80"/>
  <c r="AI25" i="80" s="1"/>
  <c r="AJ25" i="80"/>
  <c r="AH30" i="76"/>
  <c r="AI30" i="76" s="1"/>
  <c r="AJ30" i="76"/>
  <c r="AI19" i="117"/>
  <c r="AJ19" i="117" s="1"/>
  <c r="AK19" i="117"/>
  <c r="AG55" i="113"/>
  <c r="AH55" i="113" s="1"/>
  <c r="AI55" i="113"/>
  <c r="AG18" i="120"/>
  <c r="AH18" i="120" s="1"/>
  <c r="AI18" i="120"/>
  <c r="AG74" i="116"/>
  <c r="AH74" i="116" s="1"/>
  <c r="AI74" i="116"/>
  <c r="K52" i="72"/>
  <c r="AL53" i="117"/>
  <c r="G37" i="72"/>
  <c r="AJ38" i="114"/>
  <c r="AF54" i="119"/>
  <c r="AG54" i="119" s="1"/>
  <c r="AH54" i="119" s="1"/>
  <c r="AI54" i="119"/>
  <c r="AH7" i="76"/>
  <c r="AI7" i="76" s="1"/>
  <c r="AJ7" i="76"/>
  <c r="AG23" i="113"/>
  <c r="AH23" i="113" s="1"/>
  <c r="AI23" i="113"/>
  <c r="AG46" i="113"/>
  <c r="AH46" i="113" s="1"/>
  <c r="AI46" i="113"/>
  <c r="AH20" i="76"/>
  <c r="AI20" i="76" s="1"/>
  <c r="AJ20" i="76"/>
  <c r="AH68" i="76"/>
  <c r="AI68" i="76" s="1"/>
  <c r="AJ68" i="76"/>
  <c r="AG10" i="116"/>
  <c r="AH10" i="116" s="1"/>
  <c r="AI10" i="116"/>
  <c r="Q74" i="100"/>
  <c r="R47" i="100"/>
  <c r="AG48" i="113"/>
  <c r="AH48" i="113" s="1"/>
  <c r="AI48" i="113"/>
  <c r="AH49" i="80"/>
  <c r="AI49" i="80" s="1"/>
  <c r="AJ49" i="80"/>
  <c r="AH12" i="76"/>
  <c r="AI12" i="76" s="1"/>
  <c r="AJ12" i="76"/>
  <c r="AI58" i="117"/>
  <c r="AJ58" i="117" s="1"/>
  <c r="AK58" i="117"/>
  <c r="AH70" i="76"/>
  <c r="AI70" i="76" s="1"/>
  <c r="AJ70" i="76"/>
  <c r="AG43" i="114"/>
  <c r="AH43" i="114" s="1"/>
  <c r="AI43" i="114"/>
  <c r="AF20" i="119"/>
  <c r="AG20" i="119" s="1"/>
  <c r="AH20" i="119" s="1"/>
  <c r="AI20" i="119"/>
  <c r="Q67" i="100"/>
  <c r="AG39" i="113"/>
  <c r="AH39" i="113" s="1"/>
  <c r="AI39" i="113"/>
  <c r="AI56" i="117"/>
  <c r="AJ56" i="117" s="1"/>
  <c r="AK56" i="117"/>
  <c r="I36" i="72"/>
  <c r="AJ37" i="116"/>
  <c r="AH8" i="80"/>
  <c r="AI8" i="80" s="1"/>
  <c r="AJ8" i="80"/>
  <c r="Q18" i="100"/>
  <c r="AG62" i="120"/>
  <c r="AH62" i="120" s="1"/>
  <c r="AI62" i="120"/>
  <c r="AH19" i="80"/>
  <c r="AI19" i="80" s="1"/>
  <c r="AJ19" i="80"/>
  <c r="AH24" i="76"/>
  <c r="AI24" i="76" s="1"/>
  <c r="AJ24" i="76"/>
  <c r="AH52" i="80"/>
  <c r="AI52" i="80" s="1"/>
  <c r="AJ52" i="80"/>
  <c r="M24" i="72"/>
  <c r="AJ25" i="119"/>
  <c r="AH69" i="80"/>
  <c r="AI69" i="80" s="1"/>
  <c r="AJ69" i="80"/>
  <c r="AI35" i="117"/>
  <c r="AJ35" i="117" s="1"/>
  <c r="AK35" i="117"/>
  <c r="AG31" i="116"/>
  <c r="AH31" i="116" s="1"/>
  <c r="AI31" i="116"/>
  <c r="W9" i="31"/>
  <c r="Y9" i="31" s="1"/>
  <c r="Z9" i="31" s="1"/>
  <c r="AB9" i="31" s="1"/>
  <c r="AG45" i="116"/>
  <c r="AH45" i="116" s="1"/>
  <c r="AI45" i="116"/>
  <c r="AH15" i="76"/>
  <c r="AI15" i="76" s="1"/>
  <c r="AJ15" i="76"/>
  <c r="G68" i="72"/>
  <c r="AJ69" i="114"/>
  <c r="AH31" i="76"/>
  <c r="AI31" i="76" s="1"/>
  <c r="AJ31" i="76"/>
  <c r="AF48" i="119"/>
  <c r="AG48" i="119" s="1"/>
  <c r="AH48" i="119" s="1"/>
  <c r="AI48" i="119"/>
  <c r="AG51" i="120"/>
  <c r="AH51" i="120" s="1"/>
  <c r="AI51" i="120"/>
  <c r="AI63" i="117"/>
  <c r="AJ63" i="117" s="1"/>
  <c r="AK63" i="117"/>
  <c r="AG15" i="116"/>
  <c r="AH15" i="116" s="1"/>
  <c r="AI15" i="116"/>
  <c r="AG14" i="118"/>
  <c r="AH14" i="118" s="1"/>
  <c r="AI14" i="118"/>
  <c r="AG40" i="120"/>
  <c r="AH40" i="120" s="1"/>
  <c r="AI40" i="120"/>
  <c r="AF58" i="119"/>
  <c r="AG58" i="119" s="1"/>
  <c r="AH58" i="119" s="1"/>
  <c r="AI58" i="119"/>
  <c r="AH70" i="80"/>
  <c r="AI70" i="80" s="1"/>
  <c r="AJ70" i="80"/>
  <c r="AG43" i="116"/>
  <c r="AH43" i="116" s="1"/>
  <c r="AI43" i="116"/>
  <c r="AH18" i="76"/>
  <c r="AI18" i="76" s="1"/>
  <c r="AJ18" i="76"/>
  <c r="Q19" i="100"/>
  <c r="AG68" i="114"/>
  <c r="AH68" i="114" s="1"/>
  <c r="AI68" i="114"/>
  <c r="AG34" i="119"/>
  <c r="AH34" i="119" s="1"/>
  <c r="AI34" i="119"/>
  <c r="AH64" i="76"/>
  <c r="AI64" i="76" s="1"/>
  <c r="AJ64" i="76"/>
  <c r="AF21" i="119"/>
  <c r="AG21" i="119" s="1"/>
  <c r="AH21" i="119" s="1"/>
  <c r="AI21" i="119"/>
  <c r="O17" i="72"/>
  <c r="AK16" i="76"/>
  <c r="AG67" i="118"/>
  <c r="AH67" i="118" s="1"/>
  <c r="AI67" i="118"/>
  <c r="G72" i="72"/>
  <c r="AJ73" i="114"/>
  <c r="P21" i="72"/>
  <c r="AK20" i="80"/>
  <c r="AH25" i="76"/>
  <c r="AI25" i="76" s="1"/>
  <c r="AJ25" i="76"/>
  <c r="AF10" i="119"/>
  <c r="AG10" i="119" s="1"/>
  <c r="AH10" i="119" s="1"/>
  <c r="AI10" i="119"/>
  <c r="P56" i="72"/>
  <c r="AK55" i="80"/>
  <c r="AH58" i="80"/>
  <c r="AI58" i="80" s="1"/>
  <c r="AJ58" i="80"/>
  <c r="AG26" i="120"/>
  <c r="AH26" i="120" s="1"/>
  <c r="AI26" i="120"/>
  <c r="AG28" i="113"/>
  <c r="AH28" i="113" s="1"/>
  <c r="AI28" i="113"/>
  <c r="K58" i="72"/>
  <c r="AL59" i="117"/>
  <c r="AG71" i="120"/>
  <c r="AH71" i="120" s="1"/>
  <c r="AI71" i="120"/>
  <c r="G45" i="72"/>
  <c r="AJ46" i="114"/>
  <c r="AF31" i="119"/>
  <c r="AG31" i="119" s="1"/>
  <c r="AH31" i="119" s="1"/>
  <c r="AI31" i="119"/>
  <c r="I55" i="72"/>
  <c r="AJ56" i="116"/>
  <c r="AG73" i="118"/>
  <c r="AH73" i="118" s="1"/>
  <c r="AI73" i="118"/>
  <c r="AG27" i="116"/>
  <c r="AH27" i="116" s="1"/>
  <c r="AI27" i="116"/>
  <c r="AG70" i="113"/>
  <c r="AH70" i="113" s="1"/>
  <c r="AI70" i="113"/>
  <c r="AH8" i="76"/>
  <c r="AI8" i="76" s="1"/>
  <c r="AJ8" i="76"/>
  <c r="AG75" i="116"/>
  <c r="AH75" i="116" s="1"/>
  <c r="AI75" i="116"/>
  <c r="I47" i="72"/>
  <c r="AJ48" i="116"/>
  <c r="AF63" i="119"/>
  <c r="AG63" i="119" s="1"/>
  <c r="AH63" i="119" s="1"/>
  <c r="AI63" i="119"/>
  <c r="AG40" i="116"/>
  <c r="AH40" i="116" s="1"/>
  <c r="AI40" i="116"/>
  <c r="AD10" i="80"/>
  <c r="AF10" i="80" s="1"/>
  <c r="R7" i="100"/>
  <c r="AG8" i="113"/>
  <c r="AH8" i="113" s="1"/>
  <c r="AI8" i="113"/>
  <c r="AI20" i="117"/>
  <c r="AJ20" i="117" s="1"/>
  <c r="AK20" i="117"/>
  <c r="K67" i="72"/>
  <c r="AL68" i="117"/>
  <c r="AG11" i="113"/>
  <c r="AH11" i="113" s="1"/>
  <c r="AI11" i="113"/>
  <c r="Q10" i="100"/>
  <c r="R10" i="100"/>
  <c r="AG39" i="114"/>
  <c r="AH39" i="114" s="1"/>
  <c r="AI39" i="114"/>
  <c r="AG61" i="118"/>
  <c r="AH61" i="118" s="1"/>
  <c r="AI61" i="118"/>
  <c r="AG74" i="114"/>
  <c r="AH74" i="114" s="1"/>
  <c r="AI74" i="114"/>
  <c r="N52" i="72"/>
  <c r="AJ53" i="120"/>
  <c r="P25" i="72"/>
  <c r="AK24" i="80"/>
  <c r="AG35" i="114"/>
  <c r="AH35" i="114" s="1"/>
  <c r="AI35" i="114"/>
  <c r="AG56" i="118"/>
  <c r="AH56" i="118" s="1"/>
  <c r="AI56" i="118"/>
  <c r="P72" i="72"/>
  <c r="AK71" i="80"/>
  <c r="AG17" i="113"/>
  <c r="AH17" i="113" s="1"/>
  <c r="AI17" i="113"/>
  <c r="AM30" i="46"/>
  <c r="AL28" i="46"/>
  <c r="AK30" i="46"/>
  <c r="Y7" i="118"/>
  <c r="Y76" i="118" s="1"/>
  <c r="U7" i="118"/>
  <c r="W7" i="118"/>
  <c r="Z5" i="80"/>
  <c r="Z74" i="80" s="1"/>
  <c r="X5" i="80"/>
  <c r="V5" i="80"/>
  <c r="W7" i="116"/>
  <c r="Y7" i="116"/>
  <c r="Y76" i="116" s="1"/>
  <c r="U7" i="116"/>
  <c r="Y7" i="119"/>
  <c r="Y76" i="119" s="1"/>
  <c r="W7" i="119"/>
  <c r="U7" i="119"/>
  <c r="AI33" i="117"/>
  <c r="AJ33" i="117" s="1"/>
  <c r="AK33" i="117"/>
  <c r="AH61" i="80"/>
  <c r="AI61" i="80" s="1"/>
  <c r="AJ61" i="80"/>
  <c r="AH56" i="80"/>
  <c r="AI56" i="80" s="1"/>
  <c r="AJ56" i="80"/>
  <c r="AG72" i="116"/>
  <c r="AH72" i="116" s="1"/>
  <c r="AI72" i="116"/>
  <c r="AF43" i="119"/>
  <c r="AG43" i="119" s="1"/>
  <c r="AH43" i="119" s="1"/>
  <c r="AI43" i="119"/>
  <c r="AC8" i="114"/>
  <c r="AE8" i="114" s="1"/>
  <c r="AC68" i="116"/>
  <c r="AE68" i="116" s="1"/>
  <c r="AC11" i="119"/>
  <c r="AE11" i="119" s="1"/>
  <c r="AC33" i="113"/>
  <c r="AE33" i="113" s="1"/>
  <c r="Q32" i="100"/>
  <c r="R32" i="100"/>
  <c r="AE47" i="117"/>
  <c r="AG47" i="117" s="1"/>
  <c r="AD73" i="80"/>
  <c r="AF73" i="80" s="1"/>
  <c r="AC40" i="119"/>
  <c r="AE40" i="119" s="1"/>
  <c r="AD6" i="80"/>
  <c r="AF6" i="80" s="1"/>
  <c r="AH22" i="76"/>
  <c r="AI22" i="76" s="1"/>
  <c r="AJ22" i="76"/>
  <c r="AH17" i="80"/>
  <c r="AI17" i="80" s="1"/>
  <c r="AJ17" i="80"/>
  <c r="AG63" i="116"/>
  <c r="AH63" i="116" s="1"/>
  <c r="AI63" i="116"/>
  <c r="P51" i="72"/>
  <c r="AK50" i="80"/>
  <c r="K38" i="72"/>
  <c r="AL39" i="117"/>
  <c r="AC19" i="120"/>
  <c r="AE19" i="120" s="1"/>
  <c r="P38" i="72"/>
  <c r="AK37" i="80"/>
  <c r="I33" i="72"/>
  <c r="AJ34" i="116"/>
  <c r="P17" i="72"/>
  <c r="AK16" i="80"/>
  <c r="K48" i="72"/>
  <c r="AL49" i="117"/>
  <c r="AG51" i="114"/>
  <c r="AH51" i="114" s="1"/>
  <c r="AI51" i="114"/>
  <c r="O62" i="72"/>
  <c r="AK61" i="76"/>
  <c r="M46" i="72"/>
  <c r="AJ47" i="119"/>
  <c r="F14" i="72"/>
  <c r="AJ15" i="113"/>
  <c r="F13" i="72"/>
  <c r="AJ14" i="113"/>
  <c r="O39" i="72"/>
  <c r="AK38" i="76"/>
  <c r="AG58" i="118"/>
  <c r="AH58" i="118" s="1"/>
  <c r="AI58" i="118"/>
  <c r="AI12" i="117"/>
  <c r="AJ12" i="117" s="1"/>
  <c r="AK12" i="117"/>
  <c r="AG43" i="118"/>
  <c r="AH43" i="118" s="1"/>
  <c r="AI43" i="118"/>
  <c r="AG20" i="113"/>
  <c r="AH20" i="113" s="1"/>
  <c r="AI20" i="113"/>
  <c r="O67" i="72"/>
  <c r="AK66" i="76"/>
  <c r="AG11" i="120"/>
  <c r="AH11" i="120" s="1"/>
  <c r="AI11" i="120"/>
  <c r="L38" i="72"/>
  <c r="AJ39" i="118"/>
  <c r="K33" i="72"/>
  <c r="AL34" i="117"/>
  <c r="P33" i="72"/>
  <c r="AK32" i="80"/>
  <c r="K65" i="72"/>
  <c r="AL66" i="117"/>
  <c r="I17" i="72"/>
  <c r="AJ18" i="116"/>
  <c r="I38" i="72"/>
  <c r="AJ39" i="116"/>
  <c r="N33" i="72"/>
  <c r="AJ34" i="120"/>
  <c r="AG33" i="118"/>
  <c r="AH33" i="118" s="1"/>
  <c r="AI33" i="118"/>
  <c r="AI75" i="117"/>
  <c r="AJ75" i="117" s="1"/>
  <c r="AK75" i="117"/>
  <c r="AG51" i="118"/>
  <c r="AH51" i="118" s="1"/>
  <c r="AI51" i="118"/>
  <c r="AG47" i="116"/>
  <c r="AH47" i="116" s="1"/>
  <c r="AI47" i="116"/>
  <c r="AH12" i="80"/>
  <c r="AI12" i="80" s="1"/>
  <c r="AJ12" i="80"/>
  <c r="AI14" i="117"/>
  <c r="AJ14" i="117" s="1"/>
  <c r="AK14" i="117"/>
  <c r="AG58" i="120"/>
  <c r="AH58" i="120" s="1"/>
  <c r="AI58" i="120"/>
  <c r="AG20" i="118"/>
  <c r="AH20" i="118" s="1"/>
  <c r="AI20" i="118"/>
  <c r="AG24" i="116"/>
  <c r="AH24" i="116" s="1"/>
  <c r="AI24" i="116"/>
  <c r="F61" i="72"/>
  <c r="AJ62" i="113"/>
  <c r="I56" i="72"/>
  <c r="AJ57" i="116"/>
  <c r="G51" i="72"/>
  <c r="AJ52" i="114"/>
  <c r="P43" i="72"/>
  <c r="AK42" i="80"/>
  <c r="F60" i="72"/>
  <c r="AJ61" i="113"/>
  <c r="L17" i="72"/>
  <c r="AJ18" i="118"/>
  <c r="O59" i="72"/>
  <c r="AK58" i="76"/>
  <c r="K73" i="72"/>
  <c r="AL74" i="117"/>
  <c r="I66" i="72"/>
  <c r="AJ67" i="116"/>
  <c r="K25" i="72"/>
  <c r="AL26" i="117"/>
  <c r="P40" i="72"/>
  <c r="AK39" i="80"/>
  <c r="K35" i="72"/>
  <c r="AL36" i="117"/>
  <c r="N64" i="72"/>
  <c r="AJ65" i="120"/>
  <c r="M58" i="72"/>
  <c r="AJ59" i="119"/>
  <c r="O70" i="72"/>
  <c r="AK69" i="76"/>
  <c r="N34" i="72"/>
  <c r="AJ35" i="120"/>
  <c r="P22" i="72"/>
  <c r="AK21" i="80"/>
  <c r="N45" i="72"/>
  <c r="AJ46" i="120"/>
  <c r="L30" i="72"/>
  <c r="AJ31" i="118"/>
  <c r="G49" i="72"/>
  <c r="AJ50" i="114"/>
  <c r="G21" i="72"/>
  <c r="AJ22" i="114"/>
  <c r="G29" i="72"/>
  <c r="AJ30" i="114"/>
  <c r="G26" i="72"/>
  <c r="AJ27" i="114"/>
  <c r="M36" i="72"/>
  <c r="AJ37" i="119"/>
  <c r="L68" i="72"/>
  <c r="AJ69" i="118"/>
  <c r="P61" i="72"/>
  <c r="AK60" i="80"/>
  <c r="M51" i="72"/>
  <c r="AJ52" i="119"/>
  <c r="N65" i="72"/>
  <c r="AJ66" i="120"/>
  <c r="K17" i="72"/>
  <c r="AL18" i="117"/>
  <c r="O52" i="72"/>
  <c r="AK51" i="76"/>
  <c r="H14" i="72"/>
  <c r="AJ15" i="115"/>
  <c r="I37" i="72"/>
  <c r="AJ38" i="116"/>
  <c r="F40" i="72"/>
  <c r="AJ41" i="113"/>
  <c r="L64" i="72"/>
  <c r="AJ65" i="118"/>
  <c r="F58" i="72"/>
  <c r="AJ59" i="113"/>
  <c r="I24" i="72"/>
  <c r="AJ25" i="116"/>
  <c r="K70" i="72"/>
  <c r="AL71" i="117"/>
  <c r="F63" i="72"/>
  <c r="AJ64" i="113"/>
  <c r="P45" i="72"/>
  <c r="AK44" i="80"/>
  <c r="P30" i="72"/>
  <c r="AK29" i="80"/>
  <c r="M55" i="72"/>
  <c r="AJ56" i="119"/>
  <c r="F49" i="72"/>
  <c r="AJ50" i="113"/>
  <c r="M72" i="72"/>
  <c r="AJ73" i="119"/>
  <c r="F21" i="72"/>
  <c r="AJ22" i="113"/>
  <c r="M29" i="72"/>
  <c r="AJ30" i="119"/>
  <c r="N26" i="72"/>
  <c r="AJ27" i="120"/>
  <c r="P36" i="72"/>
  <c r="AK35" i="80"/>
  <c r="K68" i="72"/>
  <c r="AL69" i="117"/>
  <c r="P31" i="72"/>
  <c r="AK30" i="80"/>
  <c r="AG33" i="116"/>
  <c r="AH33" i="116" s="1"/>
  <c r="AI33" i="116"/>
  <c r="AG48" i="120"/>
  <c r="AH48" i="120" s="1"/>
  <c r="AI48" i="120"/>
  <c r="AG63" i="113"/>
  <c r="AH63" i="113" s="1"/>
  <c r="AI63" i="113"/>
  <c r="Q62" i="100"/>
  <c r="R62" i="100"/>
  <c r="AH13" i="76"/>
  <c r="AI13" i="76" s="1"/>
  <c r="AJ13" i="76"/>
  <c r="AG14" i="116"/>
  <c r="AH14" i="116" s="1"/>
  <c r="AI14" i="116"/>
  <c r="F57" i="72"/>
  <c r="AJ58" i="113"/>
  <c r="L11" i="72"/>
  <c r="AJ12" i="118"/>
  <c r="K71" i="72"/>
  <c r="AL72" i="117"/>
  <c r="N7" i="72"/>
  <c r="AJ8" i="120"/>
  <c r="O7" i="72"/>
  <c r="AK6" i="76"/>
  <c r="AG68" i="118"/>
  <c r="AH68" i="118" s="1"/>
  <c r="AI68" i="118"/>
  <c r="L23" i="72"/>
  <c r="AJ24" i="118"/>
  <c r="AG11" i="114"/>
  <c r="AH11" i="114" s="1"/>
  <c r="AI11" i="114"/>
  <c r="O38" i="72"/>
  <c r="AK37" i="76"/>
  <c r="F56" i="72"/>
  <c r="AJ57" i="113"/>
  <c r="N54" i="72"/>
  <c r="AJ55" i="120"/>
  <c r="L65" i="72"/>
  <c r="AJ66" i="118"/>
  <c r="N20" i="72"/>
  <c r="AJ21" i="120"/>
  <c r="L15" i="72"/>
  <c r="AJ16" i="118"/>
  <c r="G52" i="72"/>
  <c r="AJ53" i="114"/>
  <c r="L37" i="72"/>
  <c r="AJ38" i="118"/>
  <c r="G40" i="72"/>
  <c r="AJ41" i="114"/>
  <c r="G35" i="72"/>
  <c r="AJ36" i="114"/>
  <c r="G27" i="72"/>
  <c r="AJ28" i="114"/>
  <c r="N58" i="72"/>
  <c r="AJ59" i="120"/>
  <c r="O24" i="72"/>
  <c r="AK23" i="76"/>
  <c r="I8" i="72"/>
  <c r="AJ9" i="116"/>
  <c r="O34" i="72"/>
  <c r="AK33" i="76"/>
  <c r="L28" i="72"/>
  <c r="AJ29" i="118"/>
  <c r="P28" i="72"/>
  <c r="AK27" i="80"/>
  <c r="N55" i="72"/>
  <c r="AJ56" i="120"/>
  <c r="P49" i="72"/>
  <c r="AK48" i="80"/>
  <c r="M21" i="72"/>
  <c r="AJ22" i="119"/>
  <c r="P44" i="72"/>
  <c r="AK43" i="80"/>
  <c r="M68" i="72"/>
  <c r="AJ69" i="119"/>
  <c r="L9" i="72"/>
  <c r="AJ10" i="118"/>
  <c r="AL7" i="115"/>
  <c r="AB77" i="115"/>
  <c r="AG16" i="114"/>
  <c r="AH16" i="114" s="1"/>
  <c r="AI16" i="114"/>
  <c r="AH32" i="76"/>
  <c r="AI32" i="76" s="1"/>
  <c r="AJ32" i="76"/>
  <c r="AI38" i="117"/>
  <c r="AJ38" i="117" s="1"/>
  <c r="AK38" i="117"/>
  <c r="AH67" i="76"/>
  <c r="AI67" i="76" s="1"/>
  <c r="AJ67" i="76"/>
  <c r="AH53" i="76"/>
  <c r="AI53" i="76" s="1"/>
  <c r="AJ53" i="76"/>
  <c r="O43" i="72"/>
  <c r="AK42" i="76"/>
  <c r="M59" i="72"/>
  <c r="AJ60" i="119"/>
  <c r="K15" i="72"/>
  <c r="AL16" i="117"/>
  <c r="L48" i="72"/>
  <c r="AJ49" i="118"/>
  <c r="AI54" i="117"/>
  <c r="AJ54" i="117" s="1"/>
  <c r="AK54" i="117"/>
  <c r="AH57" i="80"/>
  <c r="AI57" i="80" s="1"/>
  <c r="AJ57" i="80"/>
  <c r="G8" i="72"/>
  <c r="AJ9" i="114"/>
  <c r="AH21" i="76"/>
  <c r="AI21" i="76" s="1"/>
  <c r="AJ21" i="76"/>
  <c r="AI31" i="117"/>
  <c r="AJ31" i="117" s="1"/>
  <c r="AK31" i="117"/>
  <c r="AI30" i="117"/>
  <c r="AJ30" i="117" s="1"/>
  <c r="AK30" i="117"/>
  <c r="I69" i="72"/>
  <c r="AJ70" i="116"/>
  <c r="AG48" i="118"/>
  <c r="AH48" i="118" s="1"/>
  <c r="AI48" i="118"/>
  <c r="AG47" i="118"/>
  <c r="AH47" i="118" s="1"/>
  <c r="AI47" i="118"/>
  <c r="AI43" i="117"/>
  <c r="AJ43" i="117" s="1"/>
  <c r="AK43" i="117"/>
  <c r="AG24" i="113"/>
  <c r="AH24" i="113" s="1"/>
  <c r="AI24" i="113"/>
  <c r="AK17" i="46"/>
  <c r="AM17" i="46"/>
  <c r="AM18" i="46" s="1"/>
  <c r="AI18" i="46"/>
  <c r="AI38" i="46" s="1"/>
  <c r="AG57" i="118"/>
  <c r="AH57" i="118" s="1"/>
  <c r="AI57" i="118"/>
  <c r="AG16" i="116"/>
  <c r="AH16" i="116" s="1"/>
  <c r="AI16" i="116"/>
  <c r="M48" i="72"/>
  <c r="AJ49" i="119"/>
  <c r="AF26" i="119"/>
  <c r="AG26" i="119" s="1"/>
  <c r="AH26" i="119" s="1"/>
  <c r="AI26" i="119"/>
  <c r="I12" i="72"/>
  <c r="AJ13" i="116"/>
  <c r="AF46" i="119"/>
  <c r="AG46" i="119" s="1"/>
  <c r="AH46" i="119" s="1"/>
  <c r="AI46" i="119"/>
  <c r="AI42" i="117"/>
  <c r="AJ42" i="117" s="1"/>
  <c r="AK42" i="117"/>
  <c r="AG19" i="118"/>
  <c r="AH19" i="118" s="1"/>
  <c r="AI19" i="118"/>
  <c r="AF62" i="119"/>
  <c r="AG62" i="119" s="1"/>
  <c r="AH62" i="119" s="1"/>
  <c r="AI62" i="119"/>
  <c r="AG52" i="120"/>
  <c r="AH52" i="120" s="1"/>
  <c r="AI52" i="120"/>
  <c r="AG16" i="113"/>
  <c r="AH16" i="113" s="1"/>
  <c r="AI16" i="113"/>
  <c r="AH11" i="76"/>
  <c r="AI11" i="76" s="1"/>
  <c r="AJ11" i="76"/>
  <c r="AG36" i="120"/>
  <c r="AH36" i="120" s="1"/>
  <c r="AI36" i="120"/>
  <c r="K27" i="72"/>
  <c r="AL28" i="117"/>
  <c r="AH33" i="80"/>
  <c r="AI33" i="80" s="1"/>
  <c r="AJ33" i="80"/>
  <c r="AG29" i="116"/>
  <c r="AH29" i="116" s="1"/>
  <c r="AI29" i="116"/>
  <c r="AG73" i="113"/>
  <c r="AH73" i="113" s="1"/>
  <c r="AI73" i="113"/>
  <c r="AH40" i="80"/>
  <c r="AI40" i="80" s="1"/>
  <c r="AJ40" i="80"/>
  <c r="AI32" i="117"/>
  <c r="AJ32" i="117" s="1"/>
  <c r="AK32" i="117"/>
  <c r="AG75" i="113"/>
  <c r="AH75" i="113" s="1"/>
  <c r="AI75" i="113"/>
  <c r="AF51" i="119"/>
  <c r="AG51" i="119" s="1"/>
  <c r="AH51" i="119" s="1"/>
  <c r="AI51" i="119"/>
  <c r="AG14" i="120"/>
  <c r="AH14" i="120" s="1"/>
  <c r="AI14" i="120"/>
  <c r="AC40" i="114"/>
  <c r="AE40" i="114" s="1"/>
  <c r="AC12" i="119"/>
  <c r="AE12" i="119" s="1"/>
  <c r="AD41" i="76"/>
  <c r="AF41" i="76" s="1"/>
  <c r="AG8" i="116"/>
  <c r="AH8" i="116" s="1"/>
  <c r="AI8" i="116"/>
  <c r="AG68" i="113"/>
  <c r="AH68" i="113" s="1"/>
  <c r="AI68" i="113"/>
  <c r="K23" i="72"/>
  <c r="AL24" i="117"/>
  <c r="AI62" i="117"/>
  <c r="AJ62" i="117" s="1"/>
  <c r="AK62" i="117"/>
  <c r="G33" i="72"/>
  <c r="AJ34" i="114"/>
  <c r="M56" i="72"/>
  <c r="AJ57" i="119"/>
  <c r="G17" i="72"/>
  <c r="AJ18" i="114"/>
  <c r="K59" i="72"/>
  <c r="AL60" i="117"/>
  <c r="AG36" i="118"/>
  <c r="AH36" i="118" s="1"/>
  <c r="AI36" i="118"/>
  <c r="AG46" i="118"/>
  <c r="AH46" i="118" s="1"/>
  <c r="AI46" i="118"/>
  <c r="AI73" i="117"/>
  <c r="AJ73" i="117" s="1"/>
  <c r="AK73" i="117"/>
  <c r="F29" i="72"/>
  <c r="AJ30" i="113"/>
  <c r="AG70" i="118"/>
  <c r="AH70" i="118" s="1"/>
  <c r="AI70" i="118"/>
  <c r="M16" i="72"/>
  <c r="AJ17" i="119"/>
  <c r="I31" i="72"/>
  <c r="AJ32" i="116"/>
  <c r="AG19" i="113"/>
  <c r="AH19" i="113" s="1"/>
  <c r="AI19" i="113"/>
  <c r="AH53" i="80"/>
  <c r="AI53" i="80" s="1"/>
  <c r="AJ53" i="80"/>
  <c r="K60" i="72"/>
  <c r="AL61" i="117"/>
  <c r="AG49" i="113"/>
  <c r="AH49" i="113" s="1"/>
  <c r="AI49" i="113"/>
  <c r="AN10" i="46"/>
  <c r="AH36" i="80"/>
  <c r="AI36" i="80" s="1"/>
  <c r="AJ36" i="80"/>
  <c r="AF29" i="119"/>
  <c r="AG29" i="119" s="1"/>
  <c r="AH29" i="119" s="1"/>
  <c r="AI29" i="119"/>
  <c r="AH48" i="76"/>
  <c r="AI48" i="76" s="1"/>
  <c r="AJ48" i="76"/>
  <c r="Z16" i="31"/>
  <c r="Y69" i="31"/>
  <c r="Y70" i="31" s="1"/>
  <c r="AH40" i="76"/>
  <c r="AI40" i="76" s="1"/>
  <c r="AJ40" i="76"/>
  <c r="AH43" i="76"/>
  <c r="AI43" i="76" s="1"/>
  <c r="AJ43" i="76"/>
  <c r="AI37" i="117"/>
  <c r="AJ37" i="117" s="1"/>
  <c r="AK37" i="117"/>
  <c r="AD31" i="80"/>
  <c r="AF31" i="80" s="1"/>
  <c r="AC33" i="114"/>
  <c r="AE33" i="114" s="1"/>
  <c r="AD49" i="76"/>
  <c r="AF49" i="76" s="1"/>
  <c r="AC63" i="120"/>
  <c r="AE63" i="120" s="1"/>
  <c r="AC47" i="113"/>
  <c r="AE47" i="113" s="1"/>
  <c r="Q46" i="100"/>
  <c r="R46" i="100"/>
  <c r="AC15" i="118"/>
  <c r="AE15" i="118" s="1"/>
  <c r="AC14" i="119"/>
  <c r="AE14" i="119" s="1"/>
  <c r="AC58" i="116"/>
  <c r="AE58" i="116" s="1"/>
  <c r="AC12" i="113"/>
  <c r="AE12" i="113" s="1"/>
  <c r="Q11" i="100"/>
  <c r="R11" i="100"/>
  <c r="AC72" i="114"/>
  <c r="AE72" i="114" s="1"/>
  <c r="AC8" i="119"/>
  <c r="AE8" i="119" s="1"/>
  <c r="AD66" i="80"/>
  <c r="AF66" i="80" s="1"/>
  <c r="AC11" i="116"/>
  <c r="AE11" i="116" s="1"/>
  <c r="AH55" i="76"/>
  <c r="AI55" i="76" s="1"/>
  <c r="AJ55" i="76"/>
  <c r="I51" i="72"/>
  <c r="AJ52" i="116"/>
  <c r="AG49" i="114"/>
  <c r="AH49" i="114" s="1"/>
  <c r="AI49" i="114"/>
  <c r="P73" i="72"/>
  <c r="AK72" i="80"/>
  <c r="AG41" i="118"/>
  <c r="AH41" i="118" s="1"/>
  <c r="AI41" i="118"/>
  <c r="O53" i="72"/>
  <c r="AK52" i="76"/>
  <c r="K64" i="72"/>
  <c r="AL65" i="117"/>
  <c r="O27" i="72"/>
  <c r="AK26" i="76"/>
  <c r="F70" i="72"/>
  <c r="AJ71" i="113"/>
  <c r="AH7" i="80"/>
  <c r="AI7" i="80" s="1"/>
  <c r="AJ7" i="80"/>
  <c r="P63" i="72"/>
  <c r="AK62" i="80"/>
  <c r="G28" i="72"/>
  <c r="AJ29" i="114"/>
  <c r="N30" i="72"/>
  <c r="AJ31" i="120"/>
  <c r="F55" i="72"/>
  <c r="AJ56" i="113"/>
  <c r="AI45" i="117"/>
  <c r="AJ45" i="117" s="1"/>
  <c r="AK45" i="117"/>
  <c r="AF70" i="119"/>
  <c r="AG70" i="119" s="1"/>
  <c r="AH70" i="119" s="1"/>
  <c r="AI70" i="119"/>
  <c r="AG44" i="120"/>
  <c r="AH44" i="120" s="1"/>
  <c r="AI44" i="120"/>
  <c r="G60" i="72"/>
  <c r="AJ61" i="114"/>
  <c r="AH51" i="80"/>
  <c r="AI51" i="80" s="1"/>
  <c r="AJ51" i="80"/>
  <c r="AG65" i="116"/>
  <c r="AH65" i="116" s="1"/>
  <c r="AI65" i="116"/>
  <c r="AG25" i="120"/>
  <c r="AH25" i="120" s="1"/>
  <c r="AI25" i="120"/>
  <c r="AH44" i="76"/>
  <c r="AI44" i="76" s="1"/>
  <c r="AJ44" i="76"/>
  <c r="AG50" i="118"/>
  <c r="AH50" i="118" s="1"/>
  <c r="AI50" i="118"/>
  <c r="AG30" i="118"/>
  <c r="AH30" i="118" s="1"/>
  <c r="AI30" i="118"/>
  <c r="AH35" i="76"/>
  <c r="AI35" i="76" s="1"/>
  <c r="AJ35" i="76"/>
  <c r="AG69" i="120"/>
  <c r="AH69" i="120" s="1"/>
  <c r="AI69" i="120"/>
  <c r="AD73" i="76"/>
  <c r="AF73" i="76" s="1"/>
  <c r="AC63" i="118"/>
  <c r="AE63" i="118" s="1"/>
  <c r="AE15" i="117"/>
  <c r="AG15" i="117" s="1"/>
  <c r="AH56" i="76"/>
  <c r="AI56" i="76" s="1"/>
  <c r="AJ56" i="76"/>
  <c r="AG72" i="118"/>
  <c r="AH72" i="118" s="1"/>
  <c r="AI72" i="118"/>
  <c r="F42" i="72"/>
  <c r="AJ43" i="113"/>
  <c r="AH18" i="80"/>
  <c r="AI18" i="80" s="1"/>
  <c r="AJ18" i="80"/>
  <c r="AG24" i="114"/>
  <c r="AH24" i="114" s="1"/>
  <c r="AI24" i="114"/>
  <c r="AI11" i="117"/>
  <c r="AJ11" i="117" s="1"/>
  <c r="AK11" i="117"/>
  <c r="AG62" i="118"/>
  <c r="AH62" i="118" s="1"/>
  <c r="AI62" i="118"/>
  <c r="G54" i="72"/>
  <c r="AJ55" i="114"/>
  <c r="M43" i="72"/>
  <c r="AJ44" i="119"/>
  <c r="AG60" i="118"/>
  <c r="AH60" i="118" s="1"/>
  <c r="AI60" i="118"/>
  <c r="AG54" i="120"/>
  <c r="AH54" i="120" s="1"/>
  <c r="AI54" i="120"/>
  <c r="P35" i="72"/>
  <c r="AK34" i="80"/>
  <c r="I27" i="72"/>
  <c r="AJ28" i="116"/>
  <c r="G24" i="72"/>
  <c r="AJ25" i="114"/>
  <c r="I70" i="72"/>
  <c r="AJ71" i="116"/>
  <c r="AI46" i="117"/>
  <c r="AJ46" i="117" s="1"/>
  <c r="AK46" i="117"/>
  <c r="AH28" i="76"/>
  <c r="AI28" i="76" s="1"/>
  <c r="AJ28" i="76"/>
  <c r="M44" i="72"/>
  <c r="AJ45" i="119"/>
  <c r="AI10" i="117"/>
  <c r="AJ10" i="117" s="1"/>
  <c r="AK10" i="117"/>
  <c r="Y7" i="113"/>
  <c r="Y76" i="113" s="1"/>
  <c r="W7" i="113"/>
  <c r="U7" i="113"/>
  <c r="Y7" i="120"/>
  <c r="Y76" i="120" s="1"/>
  <c r="W7" i="120"/>
  <c r="U7" i="120"/>
  <c r="U7" i="114"/>
  <c r="Y7" i="114"/>
  <c r="Y77" i="114" s="1"/>
  <c r="W7" i="114"/>
  <c r="W7" i="117"/>
  <c r="AA7" i="117"/>
  <c r="AA76" i="117" s="1"/>
  <c r="Y7" i="117"/>
  <c r="Z5" i="76"/>
  <c r="Z74" i="76" s="1"/>
  <c r="X5" i="76"/>
  <c r="V5" i="76"/>
  <c r="K69" i="72"/>
  <c r="AL70" i="117"/>
  <c r="AI48" i="117"/>
  <c r="AJ48" i="117" s="1"/>
  <c r="AK48" i="117"/>
  <c r="AD45" i="76"/>
  <c r="AF45" i="76" s="1"/>
  <c r="AC58" i="114"/>
  <c r="AE58" i="114" s="1"/>
  <c r="AC72" i="119"/>
  <c r="AE72" i="119" s="1"/>
  <c r="AH41" i="80"/>
  <c r="AI41" i="80" s="1"/>
  <c r="AJ41" i="80"/>
  <c r="AI8" i="117"/>
  <c r="AJ8" i="117" s="1"/>
  <c r="AK8" i="117"/>
  <c r="AF68" i="119"/>
  <c r="AG68" i="119" s="1"/>
  <c r="AH68" i="119" s="1"/>
  <c r="AI68" i="119"/>
  <c r="AH17" i="76"/>
  <c r="AI17" i="76" s="1"/>
  <c r="AJ17" i="76"/>
  <c r="AG47" i="114"/>
  <c r="AH47" i="114" s="1"/>
  <c r="AI47" i="114"/>
  <c r="AG15" i="120"/>
  <c r="AH15" i="120" s="1"/>
  <c r="AI15" i="120"/>
  <c r="AH46" i="80"/>
  <c r="AI46" i="80" s="1"/>
  <c r="AJ46" i="80"/>
  <c r="AG12" i="116"/>
  <c r="AH12" i="116" s="1"/>
  <c r="AI12" i="116"/>
  <c r="AG20" i="116"/>
  <c r="AH20" i="116" s="1"/>
  <c r="AI20" i="116"/>
  <c r="AD9" i="80"/>
  <c r="AF9" i="80" s="1"/>
  <c r="AC19" i="114"/>
  <c r="AE19" i="114" s="1"/>
  <c r="AH38" i="80"/>
  <c r="AI38" i="80" s="1"/>
  <c r="AJ38" i="80"/>
  <c r="G58" i="72" l="1"/>
  <c r="AJ59" i="114"/>
  <c r="I20" i="72"/>
  <c r="AJ21" i="116"/>
  <c r="M70" i="72"/>
  <c r="AJ71" i="119"/>
  <c r="I18" i="130"/>
  <c r="AM38" i="46"/>
  <c r="K18" i="130"/>
  <c r="L10" i="130"/>
  <c r="K43" i="72"/>
  <c r="AL44" i="117"/>
  <c r="W70" i="31"/>
  <c r="AH9" i="80"/>
  <c r="AI9" i="80" s="1"/>
  <c r="AJ9" i="80"/>
  <c r="P47" i="72"/>
  <c r="AK46" i="80"/>
  <c r="G46" i="72"/>
  <c r="AJ47" i="114"/>
  <c r="Z7" i="114"/>
  <c r="Z77" i="114" s="1"/>
  <c r="W77" i="114"/>
  <c r="U77" i="114"/>
  <c r="Z7" i="120"/>
  <c r="Z76" i="120" s="1"/>
  <c r="W76" i="120"/>
  <c r="U76" i="113"/>
  <c r="AI15" i="117"/>
  <c r="AJ15" i="117" s="1"/>
  <c r="AK15" i="117"/>
  <c r="AH73" i="76"/>
  <c r="AI73" i="76" s="1"/>
  <c r="AJ73" i="76"/>
  <c r="N68" i="72"/>
  <c r="AJ69" i="120"/>
  <c r="O36" i="72"/>
  <c r="AK35" i="76"/>
  <c r="L29" i="72"/>
  <c r="AJ30" i="118"/>
  <c r="L49" i="72"/>
  <c r="AJ50" i="118"/>
  <c r="O45" i="72"/>
  <c r="AK44" i="76"/>
  <c r="N24" i="72"/>
  <c r="R24" i="72" s="1"/>
  <c r="AF24" i="72" s="1"/>
  <c r="AJ25" i="120"/>
  <c r="I64" i="72"/>
  <c r="R64" i="72" s="1"/>
  <c r="AF64" i="72" s="1"/>
  <c r="AJ65" i="116"/>
  <c r="P52" i="72"/>
  <c r="R52" i="72" s="1"/>
  <c r="AF52" i="72" s="1"/>
  <c r="AK51" i="80"/>
  <c r="N43" i="72"/>
  <c r="AJ44" i="120"/>
  <c r="M69" i="72"/>
  <c r="AJ70" i="119"/>
  <c r="K44" i="72"/>
  <c r="AL45" i="117"/>
  <c r="P8" i="72"/>
  <c r="AK7" i="80"/>
  <c r="L40" i="72"/>
  <c r="R40" i="72" s="1"/>
  <c r="AF40" i="72" s="1"/>
  <c r="AJ41" i="118"/>
  <c r="G48" i="72"/>
  <c r="AJ49" i="114"/>
  <c r="O56" i="72"/>
  <c r="AK55" i="76"/>
  <c r="AH66" i="80"/>
  <c r="AI66" i="80" s="1"/>
  <c r="AJ66" i="80"/>
  <c r="AG72" i="114"/>
  <c r="AH72" i="114" s="1"/>
  <c r="AI72" i="114"/>
  <c r="AG58" i="116"/>
  <c r="AH58" i="116" s="1"/>
  <c r="AI58" i="116"/>
  <c r="AG15" i="118"/>
  <c r="AH15" i="118" s="1"/>
  <c r="AI15" i="118"/>
  <c r="AG63" i="120"/>
  <c r="AH63" i="120" s="1"/>
  <c r="AI63" i="120"/>
  <c r="AG33" i="114"/>
  <c r="AH33" i="114" s="1"/>
  <c r="AI33" i="114"/>
  <c r="F48" i="72"/>
  <c r="AJ49" i="113"/>
  <c r="P54" i="72"/>
  <c r="AK53" i="80"/>
  <c r="F18" i="72"/>
  <c r="AJ19" i="113"/>
  <c r="L69" i="72"/>
  <c r="AJ70" i="118"/>
  <c r="K72" i="72"/>
  <c r="AL73" i="117"/>
  <c r="L45" i="72"/>
  <c r="AJ46" i="118"/>
  <c r="AH41" i="76"/>
  <c r="AI41" i="76" s="1"/>
  <c r="AJ41" i="76"/>
  <c r="AG40" i="114"/>
  <c r="AH40" i="114" s="1"/>
  <c r="AI40" i="114"/>
  <c r="N13" i="72"/>
  <c r="AJ14" i="120"/>
  <c r="M50" i="72"/>
  <c r="AJ51" i="119"/>
  <c r="F74" i="72"/>
  <c r="AJ75" i="113"/>
  <c r="K31" i="72"/>
  <c r="AL32" i="117"/>
  <c r="P41" i="72"/>
  <c r="AK40" i="80"/>
  <c r="F72" i="72"/>
  <c r="AJ73" i="113"/>
  <c r="I28" i="72"/>
  <c r="AJ29" i="116"/>
  <c r="P34" i="72"/>
  <c r="AK33" i="80"/>
  <c r="N35" i="72"/>
  <c r="AJ36" i="120"/>
  <c r="O12" i="72"/>
  <c r="AK11" i="76"/>
  <c r="F15" i="72"/>
  <c r="AJ16" i="113"/>
  <c r="N51" i="72"/>
  <c r="AJ52" i="120"/>
  <c r="M61" i="72"/>
  <c r="AJ62" i="119"/>
  <c r="L18" i="72"/>
  <c r="AJ19" i="118"/>
  <c r="K41" i="72"/>
  <c r="AL42" i="117"/>
  <c r="M45" i="72"/>
  <c r="AJ46" i="119"/>
  <c r="L56" i="72"/>
  <c r="R56" i="72" s="1"/>
  <c r="AF56" i="72" s="1"/>
  <c r="AJ57" i="118"/>
  <c r="N10" i="72"/>
  <c r="AJ11" i="120"/>
  <c r="F19" i="72"/>
  <c r="AJ20" i="113"/>
  <c r="L42" i="72"/>
  <c r="AJ43" i="118"/>
  <c r="K11" i="72"/>
  <c r="AL12" i="117"/>
  <c r="L57" i="72"/>
  <c r="AJ58" i="118"/>
  <c r="G50" i="72"/>
  <c r="AJ51" i="114"/>
  <c r="AH6" i="80"/>
  <c r="AI6" i="80" s="1"/>
  <c r="AJ6" i="80"/>
  <c r="AH73" i="80"/>
  <c r="AI73" i="80" s="1"/>
  <c r="AJ73" i="80"/>
  <c r="AG33" i="113"/>
  <c r="AH33" i="113" s="1"/>
  <c r="AI33" i="113"/>
  <c r="AG68" i="116"/>
  <c r="AH68" i="116" s="1"/>
  <c r="AI68" i="116"/>
  <c r="U76" i="119"/>
  <c r="V74" i="80"/>
  <c r="U76" i="118"/>
  <c r="F16" i="72"/>
  <c r="AJ17" i="113"/>
  <c r="L55" i="72"/>
  <c r="AJ56" i="118"/>
  <c r="G34" i="72"/>
  <c r="AJ35" i="114"/>
  <c r="G73" i="72"/>
  <c r="AJ74" i="114"/>
  <c r="L60" i="72"/>
  <c r="AJ61" i="118"/>
  <c r="G38" i="72"/>
  <c r="AJ39" i="114"/>
  <c r="F10" i="72"/>
  <c r="AJ11" i="113"/>
  <c r="K19" i="72"/>
  <c r="AL20" i="117"/>
  <c r="F7" i="72"/>
  <c r="AJ8" i="113"/>
  <c r="AH10" i="80"/>
  <c r="AI10" i="80" s="1"/>
  <c r="AJ10" i="80"/>
  <c r="I39" i="72"/>
  <c r="AJ40" i="116"/>
  <c r="M62" i="72"/>
  <c r="AJ63" i="119"/>
  <c r="I74" i="72"/>
  <c r="AJ75" i="116"/>
  <c r="O9" i="72"/>
  <c r="AK8" i="76"/>
  <c r="F69" i="72"/>
  <c r="AJ70" i="113"/>
  <c r="I26" i="72"/>
  <c r="R26" i="72" s="1"/>
  <c r="AF26" i="72" s="1"/>
  <c r="AJ27" i="116"/>
  <c r="L72" i="72"/>
  <c r="AJ73" i="118"/>
  <c r="M30" i="72"/>
  <c r="AJ31" i="119"/>
  <c r="N70" i="72"/>
  <c r="AJ71" i="120"/>
  <c r="F27" i="72"/>
  <c r="R27" i="72" s="1"/>
  <c r="AF27" i="72" s="1"/>
  <c r="AJ28" i="113"/>
  <c r="N25" i="72"/>
  <c r="AJ26" i="120"/>
  <c r="P59" i="72"/>
  <c r="AK58" i="80"/>
  <c r="M9" i="72"/>
  <c r="AJ10" i="119"/>
  <c r="O26" i="72"/>
  <c r="AK25" i="76"/>
  <c r="L66" i="72"/>
  <c r="AJ67" i="118"/>
  <c r="M20" i="72"/>
  <c r="AJ21" i="119"/>
  <c r="O65" i="72"/>
  <c r="AK64" i="76"/>
  <c r="M33" i="72"/>
  <c r="AJ34" i="119"/>
  <c r="G67" i="72"/>
  <c r="AJ68" i="114"/>
  <c r="P20" i="72"/>
  <c r="AK19" i="80"/>
  <c r="N61" i="72"/>
  <c r="AJ62" i="120"/>
  <c r="M19" i="72"/>
  <c r="AJ20" i="119"/>
  <c r="G42" i="72"/>
  <c r="AJ43" i="114"/>
  <c r="O71" i="72"/>
  <c r="AK70" i="76"/>
  <c r="K57" i="72"/>
  <c r="AL58" i="117"/>
  <c r="O13" i="72"/>
  <c r="AK12" i="76"/>
  <c r="P50" i="72"/>
  <c r="AK49" i="80"/>
  <c r="F47" i="72"/>
  <c r="AJ48" i="113"/>
  <c r="I9" i="72"/>
  <c r="AJ10" i="116"/>
  <c r="O69" i="72"/>
  <c r="AK68" i="76"/>
  <c r="O21" i="72"/>
  <c r="R21" i="72" s="1"/>
  <c r="AF21" i="72" s="1"/>
  <c r="AK20" i="76"/>
  <c r="F45" i="72"/>
  <c r="AJ46" i="113"/>
  <c r="F22" i="72"/>
  <c r="AJ23" i="113"/>
  <c r="O8" i="72"/>
  <c r="AK7" i="76"/>
  <c r="M53" i="72"/>
  <c r="AJ54" i="119"/>
  <c r="I73" i="72"/>
  <c r="AJ74" i="116"/>
  <c r="N17" i="72"/>
  <c r="R17" i="72" s="1"/>
  <c r="AF17" i="72" s="1"/>
  <c r="AJ18" i="120"/>
  <c r="F54" i="72"/>
  <c r="AJ55" i="113"/>
  <c r="K18" i="72"/>
  <c r="AL19" i="117"/>
  <c r="O31" i="72"/>
  <c r="AK30" i="76"/>
  <c r="P26" i="72"/>
  <c r="AK25" i="80"/>
  <c r="O30" i="72"/>
  <c r="AK29" i="76"/>
  <c r="M35" i="72"/>
  <c r="AJ36" i="119"/>
  <c r="O66" i="72"/>
  <c r="R66" i="72" s="1"/>
  <c r="AF66" i="72" s="1"/>
  <c r="AK65" i="76"/>
  <c r="O61" i="72"/>
  <c r="AK60" i="76"/>
  <c r="P68" i="72"/>
  <c r="AK67" i="80"/>
  <c r="O55" i="72"/>
  <c r="AK54" i="76"/>
  <c r="K63" i="72"/>
  <c r="AL64" i="117"/>
  <c r="AG20" i="120"/>
  <c r="AH20" i="120" s="1"/>
  <c r="AI20" i="120"/>
  <c r="AH45" i="80"/>
  <c r="AI45" i="80" s="1"/>
  <c r="AJ45" i="80"/>
  <c r="AG75" i="118"/>
  <c r="AH75" i="118" s="1"/>
  <c r="AI75" i="118"/>
  <c r="AG24" i="120"/>
  <c r="AH24" i="120" s="1"/>
  <c r="AI24" i="120"/>
  <c r="AI40" i="117"/>
  <c r="AJ40" i="117" s="1"/>
  <c r="AK40" i="117"/>
  <c r="AH13" i="80"/>
  <c r="AI13" i="80" s="1"/>
  <c r="AJ13" i="80"/>
  <c r="AG48" i="114"/>
  <c r="AH48" i="114" s="1"/>
  <c r="AI48" i="114"/>
  <c r="AH22" i="80"/>
  <c r="AI22" i="80" s="1"/>
  <c r="AJ22" i="80"/>
  <c r="AG72" i="113"/>
  <c r="AH72" i="113" s="1"/>
  <c r="AI72" i="113"/>
  <c r="AG40" i="118"/>
  <c r="AH40" i="118" s="1"/>
  <c r="AI40" i="118"/>
  <c r="P39" i="72"/>
  <c r="AK38" i="80"/>
  <c r="I19" i="72"/>
  <c r="AJ20" i="116"/>
  <c r="I11" i="72"/>
  <c r="AJ12" i="116"/>
  <c r="N14" i="72"/>
  <c r="AJ15" i="120"/>
  <c r="O18" i="72"/>
  <c r="AK17" i="76"/>
  <c r="M67" i="72"/>
  <c r="AJ68" i="119"/>
  <c r="K7" i="72"/>
  <c r="AL8" i="117"/>
  <c r="P42" i="72"/>
  <c r="AK41" i="80"/>
  <c r="AG58" i="114"/>
  <c r="AH58" i="114" s="1"/>
  <c r="AI58" i="114"/>
  <c r="V74" i="76"/>
  <c r="AG19" i="114"/>
  <c r="AH19" i="114" s="1"/>
  <c r="AI19" i="114"/>
  <c r="AF72" i="119"/>
  <c r="AG72" i="119" s="1"/>
  <c r="AH72" i="119" s="1"/>
  <c r="AI72" i="119"/>
  <c r="AH45" i="76"/>
  <c r="AI45" i="76" s="1"/>
  <c r="AJ45" i="76"/>
  <c r="K47" i="72"/>
  <c r="AL48" i="117"/>
  <c r="AA5" i="76"/>
  <c r="AA74" i="76" s="1"/>
  <c r="X74" i="76"/>
  <c r="AB7" i="117"/>
  <c r="AB76" i="117" s="1"/>
  <c r="Y76" i="117"/>
  <c r="W76" i="117"/>
  <c r="U76" i="120"/>
  <c r="W76" i="113"/>
  <c r="Z7" i="113"/>
  <c r="Z76" i="113" s="1"/>
  <c r="K9" i="72"/>
  <c r="AL10" i="117"/>
  <c r="O29" i="72"/>
  <c r="AK28" i="76"/>
  <c r="K45" i="72"/>
  <c r="AL46" i="117"/>
  <c r="N53" i="72"/>
  <c r="AJ54" i="120"/>
  <c r="L59" i="72"/>
  <c r="AJ60" i="118"/>
  <c r="L61" i="72"/>
  <c r="AJ62" i="118"/>
  <c r="K10" i="72"/>
  <c r="AL11" i="117"/>
  <c r="G23" i="72"/>
  <c r="AJ24" i="114"/>
  <c r="P19" i="72"/>
  <c r="AK18" i="80"/>
  <c r="L71" i="72"/>
  <c r="AJ72" i="118"/>
  <c r="O57" i="72"/>
  <c r="AK56" i="76"/>
  <c r="AG63" i="118"/>
  <c r="AH63" i="118" s="1"/>
  <c r="AI63" i="118"/>
  <c r="AG11" i="116"/>
  <c r="AH11" i="116" s="1"/>
  <c r="AI11" i="116"/>
  <c r="AF8" i="119"/>
  <c r="AG8" i="119" s="1"/>
  <c r="AH8" i="119" s="1"/>
  <c r="AI8" i="119"/>
  <c r="AG12" i="113"/>
  <c r="AH12" i="113" s="1"/>
  <c r="AI12" i="113"/>
  <c r="AF14" i="119"/>
  <c r="AG14" i="119" s="1"/>
  <c r="AH14" i="119" s="1"/>
  <c r="AI14" i="119"/>
  <c r="AG47" i="113"/>
  <c r="AH47" i="113" s="1"/>
  <c r="AI47" i="113"/>
  <c r="AH49" i="76"/>
  <c r="AI49" i="76" s="1"/>
  <c r="AJ49" i="76"/>
  <c r="AH31" i="80"/>
  <c r="AI31" i="80" s="1"/>
  <c r="AJ31" i="80"/>
  <c r="K36" i="72"/>
  <c r="AL37" i="117"/>
  <c r="O44" i="72"/>
  <c r="AK43" i="76"/>
  <c r="O41" i="72"/>
  <c r="AK40" i="76"/>
  <c r="AB16" i="31"/>
  <c r="AB69" i="31" s="1"/>
  <c r="AB70" i="31" s="1"/>
  <c r="Z69" i="31"/>
  <c r="Z70" i="31" s="1"/>
  <c r="O49" i="72"/>
  <c r="R49" i="72" s="1"/>
  <c r="AF49" i="72" s="1"/>
  <c r="AK48" i="76"/>
  <c r="M28" i="72"/>
  <c r="AJ29" i="119"/>
  <c r="P37" i="72"/>
  <c r="AK36" i="80"/>
  <c r="L35" i="72"/>
  <c r="AJ36" i="118"/>
  <c r="K61" i="72"/>
  <c r="AL62" i="117"/>
  <c r="F67" i="72"/>
  <c r="AJ68" i="113"/>
  <c r="I7" i="72"/>
  <c r="AJ8" i="116"/>
  <c r="AF12" i="119"/>
  <c r="AG12" i="119" s="1"/>
  <c r="AH12" i="119" s="1"/>
  <c r="AI12" i="119"/>
  <c r="M25" i="72"/>
  <c r="AJ26" i="119"/>
  <c r="I15" i="72"/>
  <c r="AJ16" i="116"/>
  <c r="AL17" i="46"/>
  <c r="AK18" i="46"/>
  <c r="AK38" i="46" s="1"/>
  <c r="AK44" i="46" s="1"/>
  <c r="F23" i="72"/>
  <c r="AJ24" i="113"/>
  <c r="K42" i="72"/>
  <c r="AL43" i="117"/>
  <c r="L46" i="72"/>
  <c r="AJ47" i="118"/>
  <c r="L47" i="72"/>
  <c r="AJ48" i="118"/>
  <c r="K29" i="72"/>
  <c r="R29" i="72" s="1"/>
  <c r="AF29" i="72" s="1"/>
  <c r="AL30" i="117"/>
  <c r="K30" i="72"/>
  <c r="AL31" i="117"/>
  <c r="O22" i="72"/>
  <c r="AK21" i="76"/>
  <c r="P58" i="72"/>
  <c r="AK57" i="80"/>
  <c r="K53" i="72"/>
  <c r="AL54" i="117"/>
  <c r="O54" i="72"/>
  <c r="AK53" i="76"/>
  <c r="O68" i="72"/>
  <c r="AK67" i="76"/>
  <c r="K37" i="72"/>
  <c r="AL38" i="117"/>
  <c r="O33" i="72"/>
  <c r="AK32" i="76"/>
  <c r="G15" i="72"/>
  <c r="AJ16" i="114"/>
  <c r="AO7" i="115"/>
  <c r="AL76" i="115"/>
  <c r="G10" i="72"/>
  <c r="AJ11" i="114"/>
  <c r="L67" i="72"/>
  <c r="AJ68" i="118"/>
  <c r="I13" i="72"/>
  <c r="AJ14" i="116"/>
  <c r="O14" i="72"/>
  <c r="AK13" i="76"/>
  <c r="F62" i="72"/>
  <c r="AJ63" i="113"/>
  <c r="N47" i="72"/>
  <c r="AJ48" i="120"/>
  <c r="I32" i="72"/>
  <c r="AJ33" i="116"/>
  <c r="R63" i="72"/>
  <c r="AF63" i="72" s="1"/>
  <c r="I23" i="72"/>
  <c r="AJ24" i="116"/>
  <c r="L19" i="72"/>
  <c r="AJ20" i="118"/>
  <c r="N57" i="72"/>
  <c r="AJ58" i="120"/>
  <c r="K13" i="72"/>
  <c r="AL14" i="117"/>
  <c r="P13" i="72"/>
  <c r="AK12" i="80"/>
  <c r="I46" i="72"/>
  <c r="AJ47" i="116"/>
  <c r="L50" i="72"/>
  <c r="AJ51" i="118"/>
  <c r="K74" i="72"/>
  <c r="AL75" i="117"/>
  <c r="L32" i="72"/>
  <c r="AJ33" i="118"/>
  <c r="AG19" i="120"/>
  <c r="AH19" i="120" s="1"/>
  <c r="AI19" i="120"/>
  <c r="I62" i="72"/>
  <c r="AJ63" i="116"/>
  <c r="P18" i="72"/>
  <c r="AK17" i="80"/>
  <c r="O23" i="72"/>
  <c r="AK22" i="76"/>
  <c r="AF40" i="119"/>
  <c r="AG40" i="119" s="1"/>
  <c r="AH40" i="119" s="1"/>
  <c r="AI40" i="119"/>
  <c r="AI47" i="117"/>
  <c r="AJ47" i="117" s="1"/>
  <c r="AK47" i="117"/>
  <c r="AF11" i="119"/>
  <c r="AG11" i="119" s="1"/>
  <c r="AH11" i="119" s="1"/>
  <c r="AI11" i="119"/>
  <c r="AG8" i="114"/>
  <c r="AH8" i="114" s="1"/>
  <c r="AI8" i="114"/>
  <c r="M42" i="72"/>
  <c r="AJ43" i="119"/>
  <c r="I71" i="72"/>
  <c r="AJ72" i="116"/>
  <c r="P57" i="72"/>
  <c r="AK56" i="80"/>
  <c r="P62" i="72"/>
  <c r="AK61" i="80"/>
  <c r="K32" i="72"/>
  <c r="AL33" i="117"/>
  <c r="Z7" i="119"/>
  <c r="Z76" i="119" s="1"/>
  <c r="W76" i="119"/>
  <c r="U76" i="116"/>
  <c r="Z7" i="116"/>
  <c r="Z76" i="116" s="1"/>
  <c r="W76" i="116"/>
  <c r="AA5" i="80"/>
  <c r="AA74" i="80" s="1"/>
  <c r="X74" i="80"/>
  <c r="Z7" i="118"/>
  <c r="Z76" i="118" s="1"/>
  <c r="W76" i="118"/>
  <c r="AL30" i="46"/>
  <c r="D14" i="72" s="1"/>
  <c r="AN28" i="46"/>
  <c r="AN30" i="46" s="1"/>
  <c r="O19" i="72"/>
  <c r="AK18" i="76"/>
  <c r="I42" i="72"/>
  <c r="AJ43" i="116"/>
  <c r="P71" i="72"/>
  <c r="AK70" i="80"/>
  <c r="M57" i="72"/>
  <c r="AJ58" i="119"/>
  <c r="N39" i="72"/>
  <c r="AJ40" i="120"/>
  <c r="L13" i="72"/>
  <c r="AJ14" i="118"/>
  <c r="I14" i="72"/>
  <c r="AJ15" i="116"/>
  <c r="K62" i="72"/>
  <c r="AL63" i="117"/>
  <c r="N50" i="72"/>
  <c r="AJ51" i="120"/>
  <c r="M47" i="72"/>
  <c r="AJ48" i="119"/>
  <c r="O32" i="72"/>
  <c r="AK31" i="76"/>
  <c r="O16" i="72"/>
  <c r="AK15" i="76"/>
  <c r="I44" i="72"/>
  <c r="AJ45" i="116"/>
  <c r="I30" i="72"/>
  <c r="AJ31" i="116"/>
  <c r="K34" i="72"/>
  <c r="AL35" i="117"/>
  <c r="P70" i="72"/>
  <c r="AK69" i="80"/>
  <c r="P53" i="72"/>
  <c r="AK52" i="80"/>
  <c r="O25" i="72"/>
  <c r="AK24" i="76"/>
  <c r="P9" i="72"/>
  <c r="AK8" i="80"/>
  <c r="K55" i="72"/>
  <c r="R55" i="72" s="1"/>
  <c r="AF55" i="72" s="1"/>
  <c r="AL56" i="117"/>
  <c r="F38" i="72"/>
  <c r="AJ39" i="113"/>
  <c r="L7" i="72"/>
  <c r="AJ8" i="118"/>
  <c r="M14" i="72"/>
  <c r="AJ15" i="119"/>
  <c r="F50" i="72"/>
  <c r="AJ51" i="113"/>
  <c r="G89" i="81"/>
  <c r="E91" i="81"/>
  <c r="H89" i="81"/>
  <c r="O35" i="72"/>
  <c r="AK34" i="76"/>
  <c r="R37" i="72"/>
  <c r="AF37" i="72" s="1"/>
  <c r="O73" i="72"/>
  <c r="AK72" i="76"/>
  <c r="G65" i="72"/>
  <c r="R65" i="72" s="1"/>
  <c r="AF65" i="72" s="1"/>
  <c r="AJ66" i="114"/>
  <c r="M38" i="72"/>
  <c r="AJ39" i="119"/>
  <c r="M18" i="72"/>
  <c r="AJ19" i="119"/>
  <c r="P12" i="72"/>
  <c r="AK11" i="80"/>
  <c r="P15" i="72"/>
  <c r="AK14" i="80"/>
  <c r="I58" i="72"/>
  <c r="R58" i="72" s="1"/>
  <c r="AF58" i="72" s="1"/>
  <c r="AJ59" i="116"/>
  <c r="P60" i="72"/>
  <c r="R60" i="72" s="1"/>
  <c r="AF60" i="72" s="1"/>
  <c r="AK59" i="80"/>
  <c r="AG7" i="115"/>
  <c r="AH7" i="115" s="1"/>
  <c r="AE77" i="115"/>
  <c r="AI7" i="115"/>
  <c r="AI77" i="115" s="1"/>
  <c r="M23" i="72"/>
  <c r="AJ24" i="119"/>
  <c r="AG15" i="114"/>
  <c r="AH15" i="114" s="1"/>
  <c r="AI15" i="114"/>
  <c r="AI51" i="117"/>
  <c r="AJ51" i="117" s="1"/>
  <c r="AK51" i="117"/>
  <c r="AG33" i="120"/>
  <c r="AH33" i="120" s="1"/>
  <c r="AI33" i="120"/>
  <c r="AH10" i="76"/>
  <c r="AI10" i="76" s="1"/>
  <c r="AJ10" i="76"/>
  <c r="AG14" i="114"/>
  <c r="AH14" i="114" s="1"/>
  <c r="AI14" i="114"/>
  <c r="AG51" i="116"/>
  <c r="AH51" i="116" s="1"/>
  <c r="AI51" i="116"/>
  <c r="AG75" i="114"/>
  <c r="AH75" i="114" s="1"/>
  <c r="AI75" i="114"/>
  <c r="AG43" i="120"/>
  <c r="AH43" i="120" s="1"/>
  <c r="AI43" i="120"/>
  <c r="AG12" i="114"/>
  <c r="AH12" i="114" s="1"/>
  <c r="AI12" i="114"/>
  <c r="R25" i="72"/>
  <c r="AF25" i="72" s="1"/>
  <c r="R51" i="72"/>
  <c r="AF51" i="72" s="1"/>
  <c r="I18" i="72"/>
  <c r="AJ19" i="116"/>
  <c r="R35" i="72" l="1"/>
  <c r="AF35" i="72" s="1"/>
  <c r="R33" i="72"/>
  <c r="AF33" i="72" s="1"/>
  <c r="R59" i="72"/>
  <c r="AF59" i="72" s="1"/>
  <c r="R43" i="72"/>
  <c r="AF43" i="72" s="1"/>
  <c r="R30" i="72"/>
  <c r="AF30" i="72" s="1"/>
  <c r="M10" i="130"/>
  <c r="M18" i="130" s="1"/>
  <c r="L18" i="130"/>
  <c r="R15" i="72"/>
  <c r="AF15" i="72" s="1"/>
  <c r="R12" i="72"/>
  <c r="AF12" i="72" s="1"/>
  <c r="R28" i="72"/>
  <c r="AF28" i="72" s="1"/>
  <c r="R72" i="72"/>
  <c r="AF72" i="72" s="1"/>
  <c r="R41" i="72"/>
  <c r="AF41" i="72" s="1"/>
  <c r="R31" i="72"/>
  <c r="AF31" i="72" s="1"/>
  <c r="R8" i="72"/>
  <c r="AF8" i="72" s="1"/>
  <c r="R44" i="72"/>
  <c r="AF44" i="72" s="1"/>
  <c r="R36" i="72"/>
  <c r="AF36" i="72" s="1"/>
  <c r="R68" i="72"/>
  <c r="AF68" i="72" s="1"/>
  <c r="R38" i="72"/>
  <c r="AF38" i="72" s="1"/>
  <c r="R61" i="72"/>
  <c r="AF61" i="72" s="1"/>
  <c r="R9" i="72"/>
  <c r="AF9" i="72" s="1"/>
  <c r="R70" i="72"/>
  <c r="AF70" i="72" s="1"/>
  <c r="G11" i="72"/>
  <c r="AJ12" i="114"/>
  <c r="N42" i="72"/>
  <c r="AJ43" i="120"/>
  <c r="G74" i="72"/>
  <c r="AJ75" i="114"/>
  <c r="I50" i="72"/>
  <c r="AJ51" i="116"/>
  <c r="G13" i="72"/>
  <c r="AJ14" i="114"/>
  <c r="O11" i="72"/>
  <c r="AK10" i="76"/>
  <c r="N32" i="72"/>
  <c r="AJ33" i="120"/>
  <c r="K50" i="72"/>
  <c r="AL51" i="117"/>
  <c r="G14" i="72"/>
  <c r="AJ15" i="114"/>
  <c r="G91" i="81"/>
  <c r="G7" i="72"/>
  <c r="AJ8" i="114"/>
  <c r="M10" i="72"/>
  <c r="AJ11" i="119"/>
  <c r="K46" i="72"/>
  <c r="AL47" i="117"/>
  <c r="M39" i="72"/>
  <c r="AJ40" i="119"/>
  <c r="N18" i="72"/>
  <c r="AJ19" i="120"/>
  <c r="O46" i="72"/>
  <c r="AK45" i="76"/>
  <c r="M71" i="72"/>
  <c r="AJ72" i="119"/>
  <c r="G18" i="72"/>
  <c r="AJ19" i="114"/>
  <c r="AB5" i="76"/>
  <c r="G57" i="72"/>
  <c r="AJ58" i="114"/>
  <c r="AA7" i="118"/>
  <c r="AA7" i="119"/>
  <c r="G39" i="72"/>
  <c r="AJ40" i="114"/>
  <c r="O42" i="72"/>
  <c r="R42" i="72" s="1"/>
  <c r="AF42" i="72" s="1"/>
  <c r="AK41" i="76"/>
  <c r="G32" i="72"/>
  <c r="AJ33" i="114"/>
  <c r="N62" i="72"/>
  <c r="AJ63" i="120"/>
  <c r="L14" i="72"/>
  <c r="AJ15" i="118"/>
  <c r="I57" i="72"/>
  <c r="AJ58" i="116"/>
  <c r="G71" i="72"/>
  <c r="AJ72" i="114"/>
  <c r="P67" i="72"/>
  <c r="AK66" i="80"/>
  <c r="O74" i="72"/>
  <c r="AK73" i="76"/>
  <c r="K14" i="72"/>
  <c r="AL15" i="117"/>
  <c r="P10" i="72"/>
  <c r="AK9" i="80"/>
  <c r="AG77" i="115"/>
  <c r="AA7" i="116"/>
  <c r="X6" i="72"/>
  <c r="X75" i="72" s="1"/>
  <c r="AO76" i="115"/>
  <c r="R53" i="72"/>
  <c r="AF53" i="72" s="1"/>
  <c r="AN17" i="46"/>
  <c r="AN18" i="46" s="1"/>
  <c r="AN38" i="46" s="1"/>
  <c r="AL18" i="46"/>
  <c r="M11" i="72"/>
  <c r="AJ12" i="119"/>
  <c r="P32" i="72"/>
  <c r="AK31" i="80"/>
  <c r="O50" i="72"/>
  <c r="R50" i="72" s="1"/>
  <c r="AF50" i="72" s="1"/>
  <c r="AK49" i="76"/>
  <c r="F46" i="72"/>
  <c r="AJ47" i="113"/>
  <c r="M13" i="72"/>
  <c r="AJ14" i="119"/>
  <c r="F11" i="72"/>
  <c r="AJ12" i="113"/>
  <c r="M7" i="72"/>
  <c r="AJ8" i="119"/>
  <c r="I10" i="72"/>
  <c r="AJ11" i="116"/>
  <c r="L62" i="72"/>
  <c r="R62" i="72" s="1"/>
  <c r="AF62" i="72" s="1"/>
  <c r="AJ63" i="118"/>
  <c r="AA7" i="120"/>
  <c r="AC7" i="117"/>
  <c r="L39" i="72"/>
  <c r="AJ40" i="118"/>
  <c r="F71" i="72"/>
  <c r="R71" i="72" s="1"/>
  <c r="AF71" i="72" s="1"/>
  <c r="AJ72" i="113"/>
  <c r="P23" i="72"/>
  <c r="AK22" i="80"/>
  <c r="G47" i="72"/>
  <c r="AJ48" i="114"/>
  <c r="P14" i="72"/>
  <c r="AK13" i="80"/>
  <c r="K39" i="72"/>
  <c r="AL40" i="117"/>
  <c r="N23" i="72"/>
  <c r="R23" i="72" s="1"/>
  <c r="AF23" i="72" s="1"/>
  <c r="AJ24" i="120"/>
  <c r="L74" i="72"/>
  <c r="AJ75" i="118"/>
  <c r="P46" i="72"/>
  <c r="AK45" i="80"/>
  <c r="N19" i="72"/>
  <c r="R19" i="72" s="1"/>
  <c r="AF19" i="72" s="1"/>
  <c r="AJ20" i="120"/>
  <c r="R54" i="72"/>
  <c r="AF54" i="72" s="1"/>
  <c r="R45" i="72"/>
  <c r="AF45" i="72" s="1"/>
  <c r="R47" i="72"/>
  <c r="AF47" i="72" s="1"/>
  <c r="R20" i="72"/>
  <c r="AF20" i="72" s="1"/>
  <c r="R69" i="72"/>
  <c r="AF69" i="72" s="1"/>
  <c r="P11" i="72"/>
  <c r="AK10" i="80"/>
  <c r="R10" i="72"/>
  <c r="AF10" i="72" s="1"/>
  <c r="R73" i="72"/>
  <c r="AF73" i="72" s="1"/>
  <c r="R34" i="72"/>
  <c r="AF34" i="72" s="1"/>
  <c r="R16" i="72"/>
  <c r="AF16" i="72" s="1"/>
  <c r="AB5" i="80"/>
  <c r="I67" i="72"/>
  <c r="R67" i="72" s="1"/>
  <c r="AF67" i="72" s="1"/>
  <c r="AJ68" i="116"/>
  <c r="F32" i="72"/>
  <c r="R32" i="72" s="1"/>
  <c r="AF32" i="72" s="1"/>
  <c r="AJ33" i="113"/>
  <c r="P74" i="72"/>
  <c r="AK73" i="80"/>
  <c r="P7" i="72"/>
  <c r="R7" i="72" s="1"/>
  <c r="AF7" i="72" s="1"/>
  <c r="AK6" i="80"/>
  <c r="R18" i="72"/>
  <c r="AF18" i="72" s="1"/>
  <c r="R48" i="72"/>
  <c r="AF48" i="72" s="1"/>
  <c r="AA7" i="113"/>
  <c r="AA7" i="114"/>
  <c r="N10" i="130" l="1"/>
  <c r="M20" i="130"/>
  <c r="N20" i="130" s="1"/>
  <c r="Q20" i="130" s="1"/>
  <c r="S20" i="130" s="1"/>
  <c r="M22" i="130"/>
  <c r="R74" i="72"/>
  <c r="AF74" i="72" s="1"/>
  <c r="R14" i="72"/>
  <c r="AF14" i="72" s="1"/>
  <c r="J6" i="100"/>
  <c r="J75" i="100" s="1"/>
  <c r="AC76" i="117"/>
  <c r="AD7" i="117"/>
  <c r="AE7" i="117" s="1"/>
  <c r="I6" i="100"/>
  <c r="I75" i="100" s="1"/>
  <c r="AA76" i="116"/>
  <c r="AB7" i="116"/>
  <c r="AC7" i="116"/>
  <c r="L6" i="100"/>
  <c r="L75" i="100" s="1"/>
  <c r="AB7" i="119"/>
  <c r="AA76" i="119"/>
  <c r="AC7" i="119"/>
  <c r="N6" i="100"/>
  <c r="N75" i="100" s="1"/>
  <c r="AB74" i="76"/>
  <c r="AC5" i="76"/>
  <c r="AD5" i="76" s="1"/>
  <c r="R13" i="72"/>
  <c r="AF13" i="72" s="1"/>
  <c r="F6" i="100"/>
  <c r="AA76" i="113"/>
  <c r="AB7" i="113"/>
  <c r="AC7" i="113" s="1"/>
  <c r="G6" i="100"/>
  <c r="G75" i="100" s="1"/>
  <c r="AA77" i="114"/>
  <c r="AB7" i="114"/>
  <c r="AC7" i="114" s="1"/>
  <c r="O6" i="100"/>
  <c r="O75" i="100" s="1"/>
  <c r="AC5" i="80"/>
  <c r="AB74" i="80"/>
  <c r="AD5" i="80"/>
  <c r="AB7" i="120"/>
  <c r="AA76" i="120"/>
  <c r="AC7" i="120"/>
  <c r="M6" i="100"/>
  <c r="M75" i="100" s="1"/>
  <c r="R11" i="72"/>
  <c r="AF11" i="72" s="1"/>
  <c r="R46" i="72"/>
  <c r="AF46" i="72" s="1"/>
  <c r="AL38" i="46"/>
  <c r="D22" i="72"/>
  <c r="H6" i="72"/>
  <c r="H75" i="72" s="1"/>
  <c r="AH77" i="115"/>
  <c r="AJ77" i="115" s="1"/>
  <c r="AJ7" i="115"/>
  <c r="R39" i="72"/>
  <c r="AF39" i="72" s="1"/>
  <c r="K6" i="100"/>
  <c r="K75" i="100" s="1"/>
  <c r="AA76" i="118"/>
  <c r="AB7" i="118"/>
  <c r="AC7" i="118" s="1"/>
  <c r="R57" i="72"/>
  <c r="AF57" i="72" s="1"/>
  <c r="Q10" i="130" l="1"/>
  <c r="N18" i="130"/>
  <c r="N22" i="130" s="1"/>
  <c r="AF5" i="76"/>
  <c r="AD74" i="76"/>
  <c r="AE76" i="117"/>
  <c r="AG7" i="117"/>
  <c r="AL7" i="118"/>
  <c r="AB76" i="118"/>
  <c r="AC76" i="120"/>
  <c r="AE7" i="120"/>
  <c r="AL7" i="120"/>
  <c r="AB76" i="120"/>
  <c r="AL7" i="114"/>
  <c r="AB77" i="114"/>
  <c r="AL7" i="113"/>
  <c r="AB76" i="113"/>
  <c r="F75" i="100"/>
  <c r="Q6" i="100"/>
  <c r="R6" i="100"/>
  <c r="AC76" i="119"/>
  <c r="AE7" i="119"/>
  <c r="AB76" i="119"/>
  <c r="AL7" i="119"/>
  <c r="AC76" i="116"/>
  <c r="AE7" i="116"/>
  <c r="AE7" i="118"/>
  <c r="AC76" i="118"/>
  <c r="R22" i="72"/>
  <c r="AF22" i="72" s="1"/>
  <c r="D75" i="72"/>
  <c r="AD74" i="80"/>
  <c r="AF5" i="80"/>
  <c r="AP5" i="80"/>
  <c r="AC74" i="80"/>
  <c r="AC77" i="114"/>
  <c r="AE7" i="114"/>
  <c r="AC76" i="113"/>
  <c r="AE7" i="113"/>
  <c r="AP5" i="76"/>
  <c r="AC74" i="76"/>
  <c r="AL7" i="116"/>
  <c r="AB76" i="116"/>
  <c r="AD76" i="117"/>
  <c r="AN7" i="117"/>
  <c r="Q18" i="130" l="1"/>
  <c r="Q22" i="130" s="1"/>
  <c r="S10" i="130"/>
  <c r="AL76" i="116"/>
  <c r="AO7" i="116"/>
  <c r="AG7" i="118"/>
  <c r="AE76" i="118"/>
  <c r="AI7" i="118"/>
  <c r="AI76" i="118" s="1"/>
  <c r="Q75" i="100"/>
  <c r="AG7" i="120"/>
  <c r="AE76" i="120"/>
  <c r="AI7" i="120"/>
  <c r="AI76" i="120" s="1"/>
  <c r="AG76" i="117"/>
  <c r="AI7" i="117"/>
  <c r="AK7" i="117"/>
  <c r="AK76" i="117" s="1"/>
  <c r="AP74" i="76"/>
  <c r="AD6" i="72"/>
  <c r="AD75" i="72" s="1"/>
  <c r="AP74" i="80"/>
  <c r="AE6" i="72"/>
  <c r="AE75" i="72" s="1"/>
  <c r="AQ7" i="117"/>
  <c r="AN76" i="117"/>
  <c r="AE76" i="113"/>
  <c r="AG7" i="113"/>
  <c r="AI7" i="113"/>
  <c r="AI76" i="113" s="1"/>
  <c r="AG7" i="114"/>
  <c r="AE77" i="114"/>
  <c r="AI7" i="114"/>
  <c r="AI77" i="114" s="1"/>
  <c r="AH5" i="80"/>
  <c r="AF74" i="80"/>
  <c r="AJ5" i="80"/>
  <c r="AJ74" i="80" s="1"/>
  <c r="AG7" i="116"/>
  <c r="AE76" i="116"/>
  <c r="AI7" i="116"/>
  <c r="AI76" i="116" s="1"/>
  <c r="AO7" i="119"/>
  <c r="AL76" i="119"/>
  <c r="AE76" i="119"/>
  <c r="AF7" i="119"/>
  <c r="AF76" i="119" s="1"/>
  <c r="AI7" i="119"/>
  <c r="AI76" i="119" s="1"/>
  <c r="R75" i="100"/>
  <c r="AO7" i="113"/>
  <c r="AL76" i="113"/>
  <c r="AL77" i="114"/>
  <c r="AO7" i="114"/>
  <c r="AO7" i="120"/>
  <c r="AL76" i="120"/>
  <c r="AO7" i="118"/>
  <c r="AL76" i="118"/>
  <c r="AH5" i="76"/>
  <c r="AF74" i="76"/>
  <c r="AJ5" i="76"/>
  <c r="AJ74" i="76" s="1"/>
  <c r="S18" i="130" l="1"/>
  <c r="T10" i="130"/>
  <c r="T18" i="130" s="1"/>
  <c r="W6" i="72"/>
  <c r="W75" i="72" s="1"/>
  <c r="AO77" i="114"/>
  <c r="AG7" i="119"/>
  <c r="AB6" i="72"/>
  <c r="AB75" i="72" s="1"/>
  <c r="AO76" i="119"/>
  <c r="AH7" i="114"/>
  <c r="AG77" i="114"/>
  <c r="AH7" i="113"/>
  <c r="AG76" i="113"/>
  <c r="AO76" i="116"/>
  <c r="Y6" i="72"/>
  <c r="Y75" i="72" s="1"/>
  <c r="AI5" i="76"/>
  <c r="AH74" i="76"/>
  <c r="AO76" i="118"/>
  <c r="AA6" i="72"/>
  <c r="AA75" i="72" s="1"/>
  <c r="AO76" i="120"/>
  <c r="AC6" i="72"/>
  <c r="AC75" i="72" s="1"/>
  <c r="V6" i="72"/>
  <c r="V75" i="72" s="1"/>
  <c r="AO76" i="113"/>
  <c r="AH7" i="116"/>
  <c r="AG76" i="116"/>
  <c r="AI5" i="80"/>
  <c r="AH74" i="80"/>
  <c r="Z6" i="72"/>
  <c r="Z75" i="72" s="1"/>
  <c r="AQ76" i="117"/>
  <c r="AJ7" i="117"/>
  <c r="AI76" i="117"/>
  <c r="AH7" i="120"/>
  <c r="AG76" i="120"/>
  <c r="AH7" i="118"/>
  <c r="AG76" i="118"/>
  <c r="AH76" i="118" l="1"/>
  <c r="L6" i="72"/>
  <c r="L75" i="72" s="1"/>
  <c r="AJ7" i="118"/>
  <c r="AJ76" i="118" s="1"/>
  <c r="N6" i="72"/>
  <c r="N75" i="72" s="1"/>
  <c r="AH76" i="120"/>
  <c r="AJ7" i="120"/>
  <c r="AJ76" i="120" s="1"/>
  <c r="AJ76" i="117"/>
  <c r="K6" i="72"/>
  <c r="K75" i="72" s="1"/>
  <c r="AL7" i="117"/>
  <c r="AL76" i="117" s="1"/>
  <c r="P6" i="72"/>
  <c r="P75" i="72" s="1"/>
  <c r="AI74" i="80"/>
  <c r="AK5" i="80"/>
  <c r="AK74" i="80" s="1"/>
  <c r="AH76" i="116"/>
  <c r="I6" i="72"/>
  <c r="I75" i="72" s="1"/>
  <c r="AJ7" i="116"/>
  <c r="AJ76" i="116" s="1"/>
  <c r="AI74" i="76"/>
  <c r="O6" i="72"/>
  <c r="O75" i="72" s="1"/>
  <c r="AK5" i="76"/>
  <c r="AK74" i="76" s="1"/>
  <c r="AH76" i="113"/>
  <c r="F6" i="72"/>
  <c r="AJ7" i="113"/>
  <c r="AJ76" i="113" s="1"/>
  <c r="AH77" i="114"/>
  <c r="G6" i="72"/>
  <c r="G75" i="72" s="1"/>
  <c r="AJ7" i="114"/>
  <c r="AJ77" i="114" s="1"/>
  <c r="AH7" i="119"/>
  <c r="AG76" i="119"/>
  <c r="F75" i="72" l="1"/>
  <c r="AH76" i="119"/>
  <c r="M6" i="72"/>
  <c r="M75" i="72" s="1"/>
  <c r="AJ7" i="119"/>
  <c r="AJ76" i="119" s="1"/>
  <c r="R77" i="72" l="1"/>
  <c r="R6" i="72"/>
  <c r="AF6" i="72" l="1"/>
  <c r="AF75" i="72" s="1"/>
  <c r="R75" i="72"/>
  <c r="AF77" i="72" s="1"/>
  <c r="N79" i="120" l="1"/>
  <c r="N81" i="120" s="1"/>
  <c r="N79" i="116"/>
  <c r="N81" i="116" s="1"/>
  <c r="N79" i="118"/>
  <c r="N81" i="118" s="1"/>
  <c r="N79" i="117"/>
  <c r="N81" i="117" s="1"/>
  <c r="N80" i="115"/>
  <c r="N82" i="115" s="1"/>
  <c r="N81" i="113" l="1"/>
  <c r="N83" i="113" s="1"/>
  <c r="O78" i="76"/>
  <c r="O80" i="76" s="1"/>
  <c r="O77" i="80"/>
  <c r="O79" i="80" s="1"/>
  <c r="N79" i="119"/>
  <c r="N81" i="119" s="1"/>
  <c r="O80" i="114"/>
  <c r="O82" i="114" s="1"/>
</calcChain>
</file>

<file path=xl/sharedStrings.xml><?xml version="1.0" encoding="utf-8"?>
<sst xmlns="http://schemas.openxmlformats.org/spreadsheetml/2006/main" count="4019" uniqueCount="1467">
  <si>
    <t>Foreign Language 
Associates</t>
  </si>
  <si>
    <t>Pay Raise
&amp; Insurance
Supplement
Amounts
from Prior
Years</t>
  </si>
  <si>
    <t>FY2006/07
Hold 
Harmless 
Amount</t>
  </si>
  <si>
    <t>School 
System</t>
  </si>
  <si>
    <t>AD VALOREM 
CONSTITUTIONAL TAX</t>
  </si>
  <si>
    <t>COMBINED 
SALES 
PERCENT</t>
  </si>
  <si>
    <t>SALES
REVENUE 
(NON-DEBT)</t>
  </si>
  <si>
    <t>SALES 
REVENUE 
(DEBT)</t>
  </si>
  <si>
    <t>PARISH 
MILL 
RATE</t>
  </si>
  <si>
    <t>DIST 
MILL 
LOW</t>
  </si>
  <si>
    <t>DIST 
MILL 
HIGH</t>
  </si>
  <si>
    <t># 
OF 
DISTS.</t>
  </si>
  <si>
    <t>DIST 
REVENUE 
AMOUNT</t>
  </si>
  <si>
    <t>PARISH 
REVENUE 
AMOUNT</t>
  </si>
  <si>
    <t>TOTAL AVG. 
MILL RATE 
(NON DEBT)</t>
  </si>
  <si>
    <t>TOTAL AVG.
MILL RATE 
(DEBT)</t>
  </si>
  <si>
    <t>REVENUE
DISTRICT 
INCL. DEBT</t>
  </si>
  <si>
    <t>REVENUE
PARISHWIDE
INCL. DEBT</t>
  </si>
  <si>
    <t>PARISHWIDE  
MILLAGE 
INCL. DEBT</t>
  </si>
  <si>
    <t>TOTAL AVG.
MILL RATE 
INCLUDING
DEBT</t>
  </si>
  <si>
    <t>DEBT 
RATE</t>
  </si>
  <si>
    <t>% 
Change</t>
  </si>
  <si>
    <t>col. 34+col.30+col. 26</t>
  </si>
  <si>
    <t>set by resolution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</si>
  <si>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</si>
  <si>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</si>
  <si>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</si>
  <si>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</si>
  <si>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</si>
  <si>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</si>
  <si>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</si>
  <si>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</si>
  <si>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Foreign Language Associates</t>
  </si>
  <si>
    <t>Zachary Community</t>
  </si>
  <si>
    <t>Level 3 Legislative Enhancements</t>
  </si>
  <si>
    <t>col. 4 + col. 6 + col 13</t>
  </si>
  <si>
    <t>col. 5 + col. 7 + col 14</t>
  </si>
  <si>
    <t>col. 11 + col. 18</t>
  </si>
  <si>
    <t>(col. 19/ col. 3)*1000</t>
  </si>
  <si>
    <t>(col. 12/ col. 3)*1000</t>
  </si>
  <si>
    <t>SUMMARY OF AD VALOREM TAXES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</si>
  <si>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</si>
  <si>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</si>
  <si>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</si>
  <si>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</si>
  <si>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</si>
  <si>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</si>
  <si>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</si>
  <si>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</si>
  <si>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</si>
  <si>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</si>
  <si>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</si>
  <si>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</si>
  <si>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</si>
  <si>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</si>
  <si>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AD VALOREM RENEWABLE TAXES</t>
  </si>
  <si>
    <t>DEBT SERVICE TAXES</t>
  </si>
  <si>
    <t>TOTAL AD VALOREM TAXES         (DEBT)</t>
  </si>
  <si>
    <t>PARISH REVENUE AMOUNT</t>
  </si>
  <si>
    <t>DIST. MILL LOW</t>
  </si>
  <si>
    <t>DIST. MILL HIGH</t>
  </si>
  <si>
    <t># OF DISTS.</t>
  </si>
  <si>
    <t>(6b)</t>
  </si>
  <si>
    <t>("Table 7 state total col. 25" x "Tbl 7 col. 3") / 1000</t>
  </si>
  <si>
    <t>"Table 7 total col. 27" * "Tbl 7 col. 31"</t>
  </si>
  <si>
    <t>Input from SIS</t>
  </si>
  <si>
    <t>K.</t>
  </si>
  <si>
    <t>Foreign Associate Teacher Stipends</t>
  </si>
  <si>
    <t>Prior Year Audit Adjustments</t>
  </si>
  <si>
    <t>See 
Table 2</t>
  </si>
  <si>
    <t>col.13 x Tbl 3, col.1 (Oct 1 membership)</t>
  </si>
  <si>
    <t>If col 14 &gt;col. 15 then col. 15, otherwise col. 14</t>
  </si>
  <si>
    <t>AFR-kpc 63320 col.3</t>
  </si>
  <si>
    <t>AFR kpc 63320 col.4</t>
  </si>
  <si>
    <t>Input from LANSER</t>
  </si>
  <si>
    <t>Input from ASR</t>
  </si>
  <si>
    <t>SUMMARY OF SALES TAXES</t>
  </si>
  <si>
    <t>Col.2a X 17%</t>
  </si>
  <si>
    <t>Col.31 X 5%</t>
  </si>
  <si>
    <t>Col.4a X 150%</t>
  </si>
  <si>
    <t>Col.5a X  60%</t>
  </si>
  <si>
    <t>Per HCR 235</t>
  </si>
  <si>
    <t>SIS</t>
  </si>
  <si>
    <t>AFR kpcs (50% of 1210, 1220) 8231, 8232, 8233, 8234, 8240, 14200, 14300, 14400</t>
  </si>
  <si>
    <t>Col.35 / Tab.3 col.1</t>
  </si>
  <si>
    <t>State Share
Per Pupil
(Levels 
1, 2  &amp; 3)
for
Orleans 
Parish</t>
  </si>
  <si>
    <t>Recovery School District Funding</t>
  </si>
  <si>
    <t>Sitecode</t>
  </si>
  <si>
    <t>RSD Chartered</t>
  </si>
  <si>
    <t>Total RSD Chartered</t>
  </si>
  <si>
    <t>TOTAL RSD 
(Operated + Chartered)</t>
  </si>
  <si>
    <t xml:space="preserve">Percent 
State </t>
  </si>
  <si>
    <t>O.</t>
  </si>
  <si>
    <t>Adjustments</t>
  </si>
  <si>
    <t>P.</t>
  </si>
  <si>
    <t>Total 
Stipends
for Foreign
Associate
Teachers</t>
  </si>
  <si>
    <t>See Table 2</t>
  </si>
  <si>
    <t xml:space="preserve">COMPUTED SALES
TAX BASE with GROWTH CAP OF </t>
  </si>
  <si>
    <t>STATE TOTAL</t>
  </si>
  <si>
    <t>COMPUTED SALES TAX BASE</t>
  </si>
  <si>
    <t>NON-DEBT RATE</t>
  </si>
  <si>
    <t>Hide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</si>
  <si>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</si>
  <si>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</si>
  <si>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</si>
  <si>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</si>
  <si>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</si>
  <si>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</si>
  <si>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</si>
  <si>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</si>
  <si>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</si>
  <si>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</si>
  <si>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</si>
  <si>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</si>
  <si>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</si>
  <si>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</si>
  <si>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</si>
  <si>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</si>
  <si>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</si>
  <si>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</si>
  <si>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</si>
  <si>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</si>
  <si>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</si>
  <si>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</si>
  <si>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</si>
  <si>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</si>
  <si>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</si>
  <si>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</si>
  <si>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</si>
  <si>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</si>
  <si>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</si>
  <si>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</si>
  <si>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</si>
  <si>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</si>
  <si>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</si>
  <si>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</si>
  <si>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</si>
  <si>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</si>
  <si>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</si>
  <si>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</si>
  <si>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</si>
  <si>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</si>
  <si>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</si>
  <si>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</si>
  <si>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</si>
  <si>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</si>
  <si>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</si>
  <si>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</si>
  <si>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</si>
  <si>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</si>
  <si>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</si>
  <si>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</si>
  <si>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</si>
  <si>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</si>
  <si>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</si>
  <si>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</si>
  <si>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</si>
  <si>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</si>
  <si>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</si>
  <si>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</si>
  <si>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</si>
  <si>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</si>
  <si>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</si>
  <si>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</si>
  <si>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</si>
  <si>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</si>
  <si>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</si>
  <si>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</si>
  <si>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(3a)</t>
  </si>
  <si>
    <t>(4a)</t>
  </si>
  <si>
    <t>(5a)</t>
  </si>
  <si>
    <t>(2a)</t>
  </si>
  <si>
    <t>Level 1 Base Per Pupil Amount</t>
  </si>
  <si>
    <t>1.</t>
  </si>
  <si>
    <t>2.</t>
  </si>
  <si>
    <t>3.</t>
  </si>
  <si>
    <t>4.</t>
  </si>
  <si>
    <t>Exceptionalities Weight Factor (150%)</t>
  </si>
  <si>
    <t>5.</t>
  </si>
  <si>
    <t>Gifted/Talented Weight Factor (60%)</t>
  </si>
  <si>
    <t>6.</t>
  </si>
  <si>
    <t>Total Level 1 State and Local Costs (A X B)</t>
  </si>
  <si>
    <t>Level 2 Eligible Local Revenue</t>
  </si>
  <si>
    <t>A.</t>
  </si>
  <si>
    <t>B.</t>
  </si>
  <si>
    <t>C.</t>
  </si>
  <si>
    <t>D.</t>
  </si>
  <si>
    <t>E.</t>
  </si>
  <si>
    <t>G.</t>
  </si>
  <si>
    <t>H.</t>
  </si>
  <si>
    <t>I.</t>
  </si>
  <si>
    <t>J.</t>
  </si>
  <si>
    <t>M.</t>
  </si>
  <si>
    <t xml:space="preserve">TOTAL </t>
  </si>
  <si>
    <t>MFP Formula Items</t>
  </si>
  <si>
    <t xml:space="preserve">Economy-of-Scale Weight Factor </t>
  </si>
  <si>
    <t>Total Local Revenues in MFP</t>
  </si>
  <si>
    <t>Average Equivalent Millage Rate</t>
  </si>
  <si>
    <t>Average Equivalent Sales Tax Rate</t>
  </si>
  <si>
    <t>Property Tax Revenue</t>
  </si>
  <si>
    <t>Sales Tax Revenue</t>
  </si>
  <si>
    <t>7.</t>
  </si>
  <si>
    <t>Other Revenues Considered</t>
  </si>
  <si>
    <t>LEA</t>
  </si>
  <si>
    <t xml:space="preserve">cols. + 2+  3 + 4 + 5 + 6 </t>
  </si>
  <si>
    <t>AFR kpc 63320 col. 5</t>
  </si>
  <si>
    <t>if col 1 is less than 7500, then 7500 less col 1, otherwise 0</t>
  </si>
  <si>
    <t>col 6a / 37,500 max of 20% (7,500/37,500)</t>
  </si>
  <si>
    <t>col. 6b x  col. 1</t>
  </si>
  <si>
    <t>col. 8 x col. 9</t>
  </si>
  <si>
    <t>col. 1 + col. 7</t>
  </si>
  <si>
    <t>School</t>
  </si>
  <si>
    <t>At-Risk Weight Factor (22%)</t>
  </si>
  <si>
    <t>Career &amp; Technical Weight Factor (6%)</t>
  </si>
  <si>
    <t>Mandated Cost Adjustment ($100)</t>
  </si>
  <si>
    <t>Rank</t>
  </si>
  <si>
    <t>Level 3 State Funding for Foreign Associate Teachers</t>
  </si>
  <si>
    <t>St. John the Baptist</t>
  </si>
  <si>
    <t>MFP Simulation Summary (6-11-07)</t>
  </si>
  <si>
    <t>Level 1 and 2 State Share (C1+E1)</t>
  </si>
  <si>
    <t>F.</t>
  </si>
  <si>
    <t>Table 3, total of col.33</t>
  </si>
  <si>
    <t>(6a)</t>
  </si>
  <si>
    <t>R.S. 17:350.21 Lab School Funding</t>
  </si>
  <si>
    <t xml:space="preserve">
COMPUTED SALES 
TAX BASE
 PERCENT CHANGE</t>
  </si>
  <si>
    <t xml:space="preserve">Economy-of-Scale 
Weighted 
Add-On Units </t>
  </si>
  <si>
    <t>ELIGIBLE
 LOCAL REVENUE
 LEVEL 2</t>
  </si>
  <si>
    <t xml:space="preserve"> Local Deduction (Property, Sales &amp; Other Revenue)(continued)</t>
  </si>
  <si>
    <t>For Information Only</t>
  </si>
  <si>
    <t>Central Community</t>
  </si>
  <si>
    <t>% Change</t>
  </si>
  <si>
    <t xml:space="preserve">TOTAL
LEVEL 1
COSTS </t>
  </si>
  <si>
    <t>Local Share of 
Level 1
(DEDUCTION for Property &amp; Sales and Other Revenues)</t>
  </si>
  <si>
    <t xml:space="preserve">Local Revenue
 Limit on 
Level 2 State Support </t>
  </si>
  <si>
    <t>LOCAL SHARE 
of Level 2</t>
  </si>
  <si>
    <t>MFP 
State Average
 Per Pupil (L1,L2+L3)</t>
  </si>
  <si>
    <t>Projected Yield of Sales Tax Rate of</t>
  </si>
  <si>
    <t xml:space="preserve">Projected Yield of Property Tax Millage Rate of </t>
  </si>
  <si>
    <t>11a</t>
  </si>
  <si>
    <t>3a</t>
  </si>
  <si>
    <t>3b</t>
  </si>
  <si>
    <t>3c</t>
  </si>
  <si>
    <t>Hold Harmless (Total)</t>
  </si>
  <si>
    <t>TOTAL AD VALOREM TAXES
(NON DEBT)</t>
  </si>
  <si>
    <t>Per Pupil 
Local Share
 of Level 1</t>
  </si>
  <si>
    <t xml:space="preserve">Rank
</t>
  </si>
  <si>
    <t>Local Revenue as Percent of Total State and Local</t>
  </si>
  <si>
    <t>Table 6:  Calculation of the Local Deduction</t>
  </si>
  <si>
    <t>Per Pupil based on February 1 Membership</t>
  </si>
  <si>
    <t>Remaining
Hold 
Harmless
(FY2007/08)</t>
  </si>
  <si>
    <t>Weighted
 Add-On 
Units
Career &amp; Technical</t>
  </si>
  <si>
    <t>Total Net Assessed Property (capped at 10%)</t>
  </si>
  <si>
    <t>Total Est. Sales Tax Base (capped at 15%)</t>
  </si>
  <si>
    <t>State Share of Cost (65%)</t>
  </si>
  <si>
    <t>Local Share of Cost (35%)</t>
  </si>
  <si>
    <t xml:space="preserve">Level 2 State Support </t>
  </si>
  <si>
    <t>Weighted
Add-on 
Students
At Risk 
(with LEP)</t>
  </si>
  <si>
    <t xml:space="preserve">Weighted
Add-On
Students 
Other Exceptionalities </t>
  </si>
  <si>
    <t xml:space="preserve">Weighted
Add-On 
Students
Gifted/Talented </t>
  </si>
  <si>
    <t xml:space="preserve">Total Weighted 
Add-On 
Students
and/or Units </t>
  </si>
  <si>
    <t xml:space="preserve">Total 
Weighted
Membership
and/or Units </t>
  </si>
  <si>
    <t>DIST. 
REVENUE 
AMOUNT</t>
  </si>
  <si>
    <t>Stipend for First Year Foreign Associate Teachers</t>
  </si>
  <si>
    <t>Stipend for Second and Third Year Foreign Associate Teachers</t>
  </si>
  <si>
    <t>for Livingston</t>
  </si>
  <si>
    <t>ECONOMY-
OF-SCALE 
PERCENT 
SUPPORT</t>
  </si>
  <si>
    <t>ECONOMY-OF-SCALE:
If &lt; 7500, then 
7500 less 
February
Membership</t>
  </si>
  <si>
    <t>*</t>
  </si>
  <si>
    <t>Total Revenue 
(for Use in MFP Level 1 and 2)</t>
  </si>
  <si>
    <t>Local Deduction (Property, Sales &amp; Other Revenue)</t>
  </si>
  <si>
    <t>Other Revenue</t>
  </si>
  <si>
    <t>State 
Share
 %</t>
  </si>
  <si>
    <t>Local 
Share
 %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</si>
  <si>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</si>
  <si>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</si>
  <si>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>School
System</t>
  </si>
  <si>
    <t>Adjustments Due to Student, 
CAFR/AFR and PEP Audits</t>
  </si>
  <si>
    <t>Due 
District
(+)</t>
  </si>
  <si>
    <t>Due 
State
(-)</t>
  </si>
  <si>
    <t>Per Pupil 
Amount</t>
  </si>
  <si>
    <t>Local Share
of Level 1
with 75% max Local Share
(DEDUCTION for Property &amp; Sales and Other Revenues)</t>
  </si>
  <si>
    <t xml:space="preserve">Actual 
Sales and Property
Tax Revenues
(Including Debt) 
Plus Other Revenue </t>
  </si>
  <si>
    <t xml:space="preserve">Local Revenue
Over
Level 1 </t>
  </si>
  <si>
    <t xml:space="preserve">Local Revenue 
Under Level 1 </t>
  </si>
  <si>
    <t>Per Pupil
Amount</t>
  </si>
  <si>
    <t>Plus/(Minus) Prior Year Adjustments - LSU/SU Lab Schools</t>
  </si>
  <si>
    <t>Total Type 5 Charters 
East Baton Rouge Parish</t>
  </si>
  <si>
    <t>Total Type 5 Charters 
Caddo Parish</t>
  </si>
  <si>
    <t>Total RSD LA</t>
  </si>
  <si>
    <r>
      <t xml:space="preserve">State Share
Per Pupil
(Levels 
1, 2  &amp; 3)
</t>
    </r>
    <r>
      <rPr>
        <sz val="10"/>
        <color indexed="18"/>
        <rFont val="Arial"/>
        <family val="2"/>
      </rPr>
      <t>(Table 3, 
col. 29)</t>
    </r>
  </si>
  <si>
    <t>See
Table 2</t>
  </si>
  <si>
    <t>Total 
Local Deduction
(sales,prop,
other)</t>
  </si>
  <si>
    <t xml:space="preserve">     Prior Year Pay Raise/Insurance Supplements</t>
  </si>
  <si>
    <t xml:space="preserve">     Remaining Hold Harmless</t>
  </si>
  <si>
    <t xml:space="preserve">     Redistribution of Hold Harmless Phase-out</t>
  </si>
  <si>
    <t>Q.</t>
  </si>
  <si>
    <t>stipends not included in column 1 for OPSB or column 7. column 10 is OPSB only so that colukn 11 is OPSB only.  RSD stipends only on table 1 and table 4A</t>
  </si>
  <si>
    <t>Total OPSB + RSD + DOE</t>
  </si>
  <si>
    <t>(Table 3, 
col. 29)</t>
  </si>
  <si>
    <t>Total EBR Parish + 
RSD Charters</t>
  </si>
  <si>
    <t>Plus/(Minus) Prior Year Adjustments - RSD</t>
  </si>
  <si>
    <t xml:space="preserve">
STATE SHARE 
OF LEVEL 1</t>
  </si>
  <si>
    <t xml:space="preserve">
STATE SHARE
OF LEVEL 2 </t>
  </si>
  <si>
    <t xml:space="preserve">
Levels 1 &amp; 2
STATE SHARE
 OF COST</t>
  </si>
  <si>
    <r>
      <t xml:space="preserve">
Levels 1</t>
    </r>
    <r>
      <rPr>
        <b/>
        <i/>
        <sz val="10"/>
        <color indexed="18"/>
        <rFont val="Arial Narrow"/>
        <family val="2"/>
      </rPr>
      <t xml:space="preserve"> and 2
LOCAL </t>
    </r>
    <r>
      <rPr>
        <b/>
        <sz val="10"/>
        <color indexed="18"/>
        <rFont val="Arial Narrow"/>
        <family val="2"/>
      </rPr>
      <t>SHARE 
OF COST</t>
    </r>
  </si>
  <si>
    <r>
      <t xml:space="preserve">
</t>
    </r>
    <r>
      <rPr>
        <b/>
        <sz val="10"/>
        <color indexed="10"/>
        <rFont val="Arial Narrow"/>
        <family val="2"/>
      </rPr>
      <t xml:space="preserve">TOTAL STATE </t>
    </r>
    <r>
      <rPr>
        <b/>
        <sz val="10"/>
        <color indexed="18"/>
        <rFont val="Arial Narrow"/>
        <family val="2"/>
      </rPr>
      <t xml:space="preserve">
(with Continuation
of Pay Raises)
 AND
</t>
    </r>
    <r>
      <rPr>
        <b/>
        <sz val="10"/>
        <color indexed="10"/>
        <rFont val="Arial Narrow"/>
        <family val="2"/>
      </rPr>
      <t>LOCAL</t>
    </r>
    <r>
      <rPr>
        <b/>
        <sz val="10"/>
        <color indexed="18"/>
        <rFont val="Arial Narrow"/>
        <family val="2"/>
      </rPr>
      <t xml:space="preserve"> COST OF  
Levels 1 and 2</t>
    </r>
  </si>
  <si>
    <t>R.</t>
  </si>
  <si>
    <t>001</t>
  </si>
  <si>
    <t>Acadia Parish</t>
  </si>
  <si>
    <t>002</t>
  </si>
  <si>
    <t>Allen Parish</t>
  </si>
  <si>
    <t>003</t>
  </si>
  <si>
    <t>Ascension Parish</t>
  </si>
  <si>
    <t>004</t>
  </si>
  <si>
    <t>Assumption Parish</t>
  </si>
  <si>
    <t>005</t>
  </si>
  <si>
    <t>Avoyelles Parish</t>
  </si>
  <si>
    <t>006</t>
  </si>
  <si>
    <t>Beauregard Parish</t>
  </si>
  <si>
    <t>007</t>
  </si>
  <si>
    <t>Bienville Parish</t>
  </si>
  <si>
    <t>008</t>
  </si>
  <si>
    <t>Bossier Parish</t>
  </si>
  <si>
    <t>009</t>
  </si>
  <si>
    <t>Caddo Parish</t>
  </si>
  <si>
    <t>010</t>
  </si>
  <si>
    <t>Calcasieu Parish</t>
  </si>
  <si>
    <t>011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</si>
  <si>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</si>
  <si>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</si>
  <si>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</si>
  <si>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</si>
  <si>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</si>
  <si>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</si>
  <si>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</si>
  <si>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</si>
  <si>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</si>
  <si>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</si>
  <si>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</si>
  <si>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017</t>
  </si>
  <si>
    <t>East Baton Rouge Parish</t>
  </si>
  <si>
    <t>018</t>
  </si>
  <si>
    <t>East Carroll Parish</t>
  </si>
  <si>
    <t>019</t>
  </si>
  <si>
    <t>East Feliciana Parish</t>
  </si>
  <si>
    <t>020</t>
  </si>
  <si>
    <t>Evangeline Parish</t>
  </si>
  <si>
    <t>021</t>
  </si>
  <si>
    <t>Franklin Parish</t>
  </si>
  <si>
    <t>022</t>
  </si>
  <si>
    <t>Grant Parish</t>
  </si>
  <si>
    <t>023</t>
  </si>
  <si>
    <t>Iberia Parish</t>
  </si>
  <si>
    <t>024</t>
  </si>
  <si>
    <t>Iberville Parish</t>
  </si>
  <si>
    <t>025</t>
  </si>
  <si>
    <t>Jackson Parish</t>
  </si>
  <si>
    <t>026</t>
  </si>
  <si>
    <t>Jefferson Parish</t>
  </si>
  <si>
    <t>027</t>
  </si>
  <si>
    <t>Jefferson Davis Parish</t>
  </si>
  <si>
    <t>028</t>
  </si>
  <si>
    <t>Lafayette Parish</t>
  </si>
  <si>
    <t>029</t>
  </si>
  <si>
    <t>Lafourche Parish</t>
  </si>
  <si>
    <t>030</t>
  </si>
  <si>
    <t>LaSalle Parish</t>
  </si>
  <si>
    <t>031</t>
  </si>
  <si>
    <t>Lincoln Parish</t>
  </si>
  <si>
    <t>032</t>
  </si>
  <si>
    <t>Livingston Parish</t>
  </si>
  <si>
    <t>033</t>
  </si>
  <si>
    <t>Madison Parish</t>
  </si>
  <si>
    <t>034</t>
  </si>
  <si>
    <t>Morehouse Parish</t>
  </si>
  <si>
    <t>035</t>
  </si>
  <si>
    <t>Natchitoches Parish</t>
  </si>
  <si>
    <t>036</t>
  </si>
  <si>
    <t>Orleans Parish</t>
  </si>
  <si>
    <t>037</t>
  </si>
  <si>
    <t>Ouachita Parish</t>
  </si>
  <si>
    <t>038</t>
  </si>
  <si>
    <t>Plaquemines Parish</t>
  </si>
  <si>
    <t>039</t>
  </si>
  <si>
    <t>Pointe Coupee Parish</t>
  </si>
  <si>
    <t>040</t>
  </si>
  <si>
    <t>Rapides Parish</t>
  </si>
  <si>
    <t>041</t>
  </si>
  <si>
    <t>Red River Parish</t>
  </si>
  <si>
    <t>042</t>
  </si>
  <si>
    <t>Richland Parish</t>
  </si>
  <si>
    <t>043</t>
  </si>
  <si>
    <t>Sabine Parish</t>
  </si>
  <si>
    <t>044</t>
  </si>
  <si>
    <t>St. Bernard Parish</t>
  </si>
  <si>
    <t>045</t>
  </si>
  <si>
    <t>St. Charles Parish</t>
  </si>
  <si>
    <t>046</t>
  </si>
  <si>
    <t>St. Helena Parish</t>
  </si>
  <si>
    <t>047</t>
  </si>
  <si>
    <t>St. James Parish</t>
  </si>
  <si>
    <t>048</t>
  </si>
  <si>
    <t>St. John the Baptist Parish</t>
  </si>
  <si>
    <t>049</t>
  </si>
  <si>
    <t>St. Landry Parish</t>
  </si>
  <si>
    <t>050</t>
  </si>
  <si>
    <t>St. Martin Parish</t>
  </si>
  <si>
    <t>051</t>
  </si>
  <si>
    <t>St. Mary Parish</t>
  </si>
  <si>
    <t>052</t>
  </si>
  <si>
    <t>St. Tammany Parish</t>
  </si>
  <si>
    <t>053</t>
  </si>
  <si>
    <t>Tangipahoa Parish</t>
  </si>
  <si>
    <t>054</t>
  </si>
  <si>
    <t>Tensas Parish</t>
  </si>
  <si>
    <t>055</t>
  </si>
  <si>
    <t>Terrebonne Parish</t>
  </si>
  <si>
    <t>056</t>
  </si>
  <si>
    <t>Union Parish</t>
  </si>
  <si>
    <t>057</t>
  </si>
  <si>
    <t>Vermilion Parish</t>
  </si>
  <si>
    <t>058</t>
  </si>
  <si>
    <t>Vernon Parish</t>
  </si>
  <si>
    <t>059</t>
  </si>
  <si>
    <t>Washington Parish</t>
  </si>
  <si>
    <t>060</t>
  </si>
  <si>
    <t>Webster Parish</t>
  </si>
  <si>
    <t>061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</si>
  <si>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</si>
  <si>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</si>
  <si>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</si>
  <si>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</si>
  <si>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</si>
  <si>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</si>
  <si>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</si>
  <si>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065</t>
  </si>
  <si>
    <t>066</t>
  </si>
  <si>
    <t>067</t>
  </si>
  <si>
    <t>068</t>
  </si>
  <si>
    <t>069</t>
  </si>
  <si>
    <t>318</t>
  </si>
  <si>
    <t>319</t>
  </si>
  <si>
    <t>Southern University Lab School</t>
  </si>
  <si>
    <t>396</t>
  </si>
  <si>
    <t>371001</t>
  </si>
  <si>
    <t>372001</t>
  </si>
  <si>
    <t>377001</t>
  </si>
  <si>
    <t>Glen Oaks Middle School</t>
  </si>
  <si>
    <t>377002</t>
  </si>
  <si>
    <t>Prescott Middle School</t>
  </si>
  <si>
    <t>377004</t>
  </si>
  <si>
    <t>377005</t>
  </si>
  <si>
    <t>389002</t>
  </si>
  <si>
    <t>377003</t>
  </si>
  <si>
    <t>Pointe Coupee Central High School</t>
  </si>
  <si>
    <t>300001</t>
  </si>
  <si>
    <t>P. A. Capdau School</t>
  </si>
  <si>
    <t>300002</t>
  </si>
  <si>
    <t>Nelson Elementary School</t>
  </si>
  <si>
    <t>300003</t>
  </si>
  <si>
    <t>373001</t>
  </si>
  <si>
    <t>374001</t>
  </si>
  <si>
    <t>375001</t>
  </si>
  <si>
    <t>376001</t>
  </si>
  <si>
    <t>379001</t>
  </si>
  <si>
    <t>Crocker Arts and Technology School</t>
  </si>
  <si>
    <t>380001</t>
  </si>
  <si>
    <t>The Intercultural Charter School</t>
  </si>
  <si>
    <t>381001</t>
  </si>
  <si>
    <t>Akili Academy of New Orleans</t>
  </si>
  <si>
    <t>382001</t>
  </si>
  <si>
    <t>New Orleans Charter Science and Math Academy</t>
  </si>
  <si>
    <t>383001</t>
  </si>
  <si>
    <t>Sojourner Truth Academy</t>
  </si>
  <si>
    <t>384001</t>
  </si>
  <si>
    <t>Miller-McCoy Academy</t>
  </si>
  <si>
    <t>385001</t>
  </si>
  <si>
    <t>NOLA College Prep Charter School</t>
  </si>
  <si>
    <t>387001</t>
  </si>
  <si>
    <t>Langston Hughes Academy Charter School</t>
  </si>
  <si>
    <t>388001</t>
  </si>
  <si>
    <t>Andrew H. Wilson Charter School</t>
  </si>
  <si>
    <t>390001</t>
  </si>
  <si>
    <t>James M. Singleton Charter School</t>
  </si>
  <si>
    <t>391001</t>
  </si>
  <si>
    <t>Dr. M.L.K. Charter School for Science &amp; Tech.</t>
  </si>
  <si>
    <t>392001</t>
  </si>
  <si>
    <t>McDonogh #28 City Park Academy</t>
  </si>
  <si>
    <t>393001</t>
  </si>
  <si>
    <t>Lafayette Academy of New Orleans</t>
  </si>
  <si>
    <t>394003</t>
  </si>
  <si>
    <t>McDonogh #42 Elementary Charter School</t>
  </si>
  <si>
    <t>395001</t>
  </si>
  <si>
    <t>Martin Behrman Elementary School</t>
  </si>
  <si>
    <t>395002</t>
  </si>
  <si>
    <t>Dwight D. Eisenhower Elementary School</t>
  </si>
  <si>
    <t>395003</t>
  </si>
  <si>
    <t>William J. Fischer Elementary School</t>
  </si>
  <si>
    <t>395004</t>
  </si>
  <si>
    <t>McDonogh #32 Elementary School</t>
  </si>
  <si>
    <t>395005</t>
  </si>
  <si>
    <t>O.P. Walker Senior High School</t>
  </si>
  <si>
    <t>395007</t>
  </si>
  <si>
    <t>Algiers Technology Academy</t>
  </si>
  <si>
    <t>397001</t>
  </si>
  <si>
    <t>398001</t>
  </si>
  <si>
    <t>KIPP Believe College Prep (Phillips)</t>
  </si>
  <si>
    <t>398002</t>
  </si>
  <si>
    <t>KIPP McDonogh 15 School for the Creative Arts</t>
  </si>
  <si>
    <t>398003</t>
  </si>
  <si>
    <t>KIPP Central City Academy</t>
  </si>
  <si>
    <t>398004</t>
  </si>
  <si>
    <t>KIPP Central City Primary</t>
  </si>
  <si>
    <t>399001</t>
  </si>
  <si>
    <t>Samuel J. Green Charter School</t>
  </si>
  <si>
    <t>399002</t>
  </si>
  <si>
    <t>Arthur Ashe Charter School</t>
  </si>
  <si>
    <t>TIF Revenues</t>
  </si>
  <si>
    <t>Includes</t>
  </si>
  <si>
    <t>Firstline Schools, Inc.
(Samuel J. Green)</t>
  </si>
  <si>
    <r>
      <t xml:space="preserve">Pelican Foundation
</t>
    </r>
    <r>
      <rPr>
        <sz val="11"/>
        <rFont val="Arial"/>
        <family val="2"/>
      </rPr>
      <t>(Kenilworth Middle)</t>
    </r>
  </si>
  <si>
    <r>
      <t xml:space="preserve">Shreveport Charter, Inc.
</t>
    </r>
    <r>
      <rPr>
        <sz val="11"/>
        <rFont val="Arial"/>
        <family val="2"/>
      </rPr>
      <t>(Linwood M iddle)</t>
    </r>
  </si>
  <si>
    <t>L.</t>
  </si>
  <si>
    <t>Office of Juvenile Justice</t>
  </si>
  <si>
    <t>SCHOOL 
SYSTEM</t>
  </si>
  <si>
    <t>MFP Local Share of Educational Cost for 
Youth in Secure Care</t>
  </si>
  <si>
    <t>Per Pupil Amount
Adjusted for
 Year-Round
School</t>
  </si>
  <si>
    <t>Per Pupil Amount
Adjusted for
 Year-Round
School and 
50% Special Ed</t>
  </si>
  <si>
    <t>Adjusted
Local
Share
Per Pupil
including
OJJ</t>
  </si>
  <si>
    <t>MFP 
Budget Ltr</t>
  </si>
  <si>
    <t>col 2 X 1.3164</t>
  </si>
  <si>
    <t>col 3 + $1,470</t>
  </si>
  <si>
    <t>col 1 X col 4</t>
  </si>
  <si>
    <t>MFP
Budget Ltr</t>
  </si>
  <si>
    <t>Includes Continuation of FY2007/08 and FY08-09 Pay Raise</t>
  </si>
  <si>
    <t>**</t>
  </si>
  <si>
    <t>State Average is used in the calculation of students with prior residency of "Out of State" or "Unknown"</t>
  </si>
  <si>
    <t xml:space="preserve">Note:  </t>
  </si>
  <si>
    <t>The State may have to fund the local portion of students identified as being from out of the state</t>
  </si>
  <si>
    <t>(=56/177))</t>
  </si>
  <si>
    <t>Special Ed Students on 2/1/09 (state)</t>
  </si>
  <si>
    <t>base students 2/1/09 (state)</t>
  </si>
  <si>
    <t>percentage special ed students to base students (state average)</t>
  </si>
  <si>
    <t>weigted add on special ed students 2/1/09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</si>
  <si>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</si>
  <si>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</si>
  <si>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</si>
  <si>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</si>
  <si>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</si>
  <si>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14.1% of L1 &amp; L2 dolalrs x 354%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</si>
  <si>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</si>
  <si>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</si>
  <si>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</si>
  <si>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</si>
  <si>
    <t xml:space="preserve">Increase 
Cost 
Adjustment </t>
  </si>
  <si>
    <t>Continuation of
Prior Year
Pay Raises</t>
  </si>
  <si>
    <t>Continuation of Prior Year Pay Raises</t>
  </si>
  <si>
    <t>Continuation 
of
Prior Year
Pay Raises</t>
  </si>
  <si>
    <t>Mandated Cost 
Adjustment</t>
  </si>
  <si>
    <t>Continuation 
of 
Prior Year
Pay 
Raises</t>
  </si>
  <si>
    <t>Continuation of Prior Year 
Pay Raises</t>
  </si>
  <si>
    <t>Prior Year Pay Raises (FY01-02 through FY08-09)</t>
  </si>
  <si>
    <t xml:space="preserve">
Continuation
of
Prior Year 
Pay Raises
(FY2001-02 
through
FY2008-09)
Per Pupil
Amount</t>
  </si>
  <si>
    <t>Continuation
of Prior Year 
Pay Raises
(FY2001-02 
through
FY2008-09)
Per Pupil
Amount</t>
  </si>
  <si>
    <t>Continuation
of
Prior Year 
Pay Raises
(FY2001-02 
through
FY2008-09)
Per Pupil
Amount</t>
  </si>
  <si>
    <r>
      <t xml:space="preserve">Continuation of Prior Year Pay Raises
</t>
    </r>
    <r>
      <rPr>
        <b/>
        <sz val="10"/>
        <color indexed="18"/>
        <rFont val="Arial"/>
        <family val="2"/>
      </rPr>
      <t>(2001-02 Certificated, 2002-03 Support Worker, 
2006-07 Certificated and Support Worker,
2007-08 Certificated and Support Worker, and
FY2008-09 Certificated)</t>
    </r>
  </si>
  <si>
    <r>
      <t xml:space="preserve">
Levels 1, 2 &amp; 3
STATE SHARE
OF COST
</t>
    </r>
    <r>
      <rPr>
        <b/>
        <sz val="10"/>
        <color indexed="10"/>
        <rFont val="Arial"/>
        <family val="2"/>
      </rPr>
      <t xml:space="preserve">without </t>
    </r>
    <r>
      <rPr>
        <b/>
        <sz val="10"/>
        <color indexed="18"/>
        <rFont val="Arial"/>
        <family val="2"/>
      </rPr>
      <t>Continuation of Prior Year
Pay Raises</t>
    </r>
  </si>
  <si>
    <r>
      <t xml:space="preserve">
Level 3 State 
Funding 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indexed="18"/>
        <rFont val="Arial"/>
        <family val="2"/>
      </rPr>
      <t>Continuation 
of Prior Year
Pay Raises</t>
    </r>
  </si>
  <si>
    <r>
      <t xml:space="preserve">
Levels 1, 2 &amp; 3
STATE SHARE
OF COST
</t>
    </r>
    <r>
      <rPr>
        <b/>
        <sz val="10"/>
        <color indexed="10"/>
        <rFont val="Arial"/>
        <family val="2"/>
      </rPr>
      <t>with 
Continuation of 
Prior Year
Pay Raises</t>
    </r>
  </si>
  <si>
    <r>
      <t xml:space="preserve">
Level 3 
State 
Funding
</t>
    </r>
    <r>
      <rPr>
        <b/>
        <sz val="10"/>
        <color indexed="10"/>
        <rFont val="Arial"/>
        <family val="2"/>
      </rPr>
      <t xml:space="preserve">with 
Continuation of
 Prior Year
Pay Raises </t>
    </r>
  </si>
  <si>
    <t>State Funds 
(with Continuation of Prior Year Pay Raises)
as Percent 
of Total State
and Local</t>
  </si>
  <si>
    <r>
      <t>Total
Level 3
Unequalized 
Funding</t>
    </r>
    <r>
      <rPr>
        <b/>
        <sz val="10"/>
        <color indexed="18"/>
        <rFont val="Arial"/>
        <family val="2"/>
      </rPr>
      <t xml:space="preserve">
(Without Continuation
of 
Prior Year
Pay Raises)</t>
    </r>
  </si>
  <si>
    <t>Total
Level 3
Unequalized 
Funding 
with
Continuation
of Prior Year
Pay Raises</t>
  </si>
  <si>
    <t>Without Continuation of Prior Year Pay Raises</t>
  </si>
  <si>
    <t>With Continuation of Prior Year Pay Raises</t>
  </si>
  <si>
    <t>Total Students Funded through the MFP</t>
  </si>
  <si>
    <t xml:space="preserve">     LSU and Southern Lab Schools</t>
  </si>
  <si>
    <t xml:space="preserve">     Office of Juvenile Justice</t>
  </si>
  <si>
    <t>Plus/(Minus) Prior Year Adjustments - City/Parish Schools</t>
  </si>
  <si>
    <r>
      <t xml:space="preserve">
</t>
    </r>
    <r>
      <rPr>
        <sz val="12"/>
        <rFont val="Arial"/>
        <family val="2"/>
      </rPr>
      <t>Pointe Coupee Parish
School Board</t>
    </r>
  </si>
  <si>
    <t xml:space="preserve">
Caddo Parish School Board</t>
  </si>
  <si>
    <t>East Baton Rouge 
Parish School Board</t>
  </si>
  <si>
    <t>St. Helena Parish 
School Board</t>
  </si>
  <si>
    <t>Total Pointe Coupee
Parish + RSD Charters</t>
  </si>
  <si>
    <t>Total Caddo Parish + RSD Charters</t>
  </si>
  <si>
    <t>Total St. Helena Parish
+ RSD LA Operated</t>
  </si>
  <si>
    <t>RSD LA Operated
St. Helena Central Middle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</si>
  <si>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</si>
  <si>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</si>
  <si>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 xml:space="preserve">Other Local School System Funding </t>
  </si>
  <si>
    <t xml:space="preserve">State Share Formula Allocation (City/Parish Local School Systems) </t>
  </si>
  <si>
    <r>
      <t xml:space="preserve">State </t>
    </r>
    <r>
      <rPr>
        <b/>
        <sz val="10"/>
        <color indexed="18"/>
        <rFont val="Arial"/>
        <family val="2"/>
      </rPr>
      <t xml:space="preserve">
Admin 
Fee to
Dept. of
Education
(.25%)</t>
    </r>
  </si>
  <si>
    <t>Total 
State 
Allocation 
minus Admin.
Fee 
+/- Audit
Adjustments</t>
  </si>
  <si>
    <t xml:space="preserve"> </t>
  </si>
  <si>
    <r>
      <rPr>
        <b/>
        <sz val="10"/>
        <color indexed="18"/>
        <rFont val="Arial"/>
        <family val="2"/>
      </rPr>
      <t>Local</t>
    </r>
    <r>
      <rPr>
        <b/>
        <sz val="10"/>
        <color indexed="18"/>
        <rFont val="Arial"/>
        <family val="2"/>
      </rPr>
      <t xml:space="preserve">
Admin 
Fee to
</t>
    </r>
    <r>
      <rPr>
        <b/>
        <sz val="10"/>
        <color indexed="18"/>
        <rFont val="Arial"/>
        <family val="2"/>
      </rPr>
      <t>Dept.</t>
    </r>
    <r>
      <rPr>
        <b/>
        <sz val="10"/>
        <color indexed="18"/>
        <rFont val="Arial"/>
        <family val="2"/>
      </rPr>
      <t xml:space="preserve"> of
Education
(.25%)</t>
    </r>
  </si>
  <si>
    <t>L
E
A</t>
  </si>
  <si>
    <t>Difference</t>
  </si>
  <si>
    <t>Redistribution
of Hold Harmless 
Phase-out
(FY2007/08 - FY2011/12)</t>
  </si>
  <si>
    <t>LA School for Math, Science &amp; the Arts (LSMSA)</t>
  </si>
  <si>
    <t xml:space="preserve">     Legacy Type 2 Charter Schools</t>
  </si>
  <si>
    <t xml:space="preserve">     LA School for Math, Science and the Arts (LSMSA)</t>
  </si>
  <si>
    <t xml:space="preserve">     New Orleans Center for Creative Arts (NOCCA)</t>
  </si>
  <si>
    <t>New Orleans Center for Creative Arts (NOCCA)(full-day students)</t>
  </si>
  <si>
    <t>S.</t>
  </si>
  <si>
    <t>T.</t>
  </si>
  <si>
    <t>Success Preparatory Academy
(Success Prep)</t>
  </si>
  <si>
    <r>
      <t>RSD LA Operated
(</t>
    </r>
    <r>
      <rPr>
        <sz val="11"/>
        <rFont val="Arial"/>
        <family val="2"/>
      </rPr>
      <t>Linear Middle)</t>
    </r>
  </si>
  <si>
    <t>3960xx</t>
  </si>
  <si>
    <t>036xxx</t>
  </si>
  <si>
    <t>Feb. 1, 2011
MFP 
Funded
Membership
(Per SIS)</t>
  </si>
  <si>
    <t>Feb. 1, 2011
MFP Funded
Membership 
+ 
ADM* at OJJ</t>
  </si>
  <si>
    <t>Per SIS</t>
  </si>
  <si>
    <t>State Admin Fee</t>
  </si>
  <si>
    <t>Admin.
Fee
to
RSD</t>
  </si>
  <si>
    <t>Admin.
Fee
to 
LDOE</t>
  </si>
  <si>
    <t>Total
Admin.  
Fee</t>
  </si>
  <si>
    <t>Site
Code</t>
  </si>
  <si>
    <t>Local Admin Fee</t>
  </si>
  <si>
    <t>RSD Operated (Orleans Only)</t>
  </si>
  <si>
    <t>399004</t>
  </si>
  <si>
    <t>398006</t>
  </si>
  <si>
    <t>398005</t>
  </si>
  <si>
    <t>Esperanza Charter School</t>
  </si>
  <si>
    <t>393002</t>
  </si>
  <si>
    <t>Pride College Preparatory Academy</t>
  </si>
  <si>
    <t>Benjamin E. Mays Preparatory School</t>
  </si>
  <si>
    <t>Success Preparatory Academy</t>
  </si>
  <si>
    <t>Arise Academy</t>
  </si>
  <si>
    <t>369002</t>
  </si>
  <si>
    <t>369001</t>
  </si>
  <si>
    <t>368001</t>
  </si>
  <si>
    <t>367001</t>
  </si>
  <si>
    <t>366001</t>
  </si>
  <si>
    <t>300004</t>
  </si>
  <si>
    <t>Crestworth Learning Academy</t>
  </si>
  <si>
    <t>Dalton Elementary School</t>
  </si>
  <si>
    <t>Lanier Elementary School</t>
  </si>
  <si>
    <t>Kenilworth Science and Technology School</t>
  </si>
  <si>
    <t>New Vision Learning Academy</t>
  </si>
  <si>
    <t>Avoyelles Public Charter School</t>
  </si>
  <si>
    <t>Delhi Charter School</t>
  </si>
  <si>
    <t>Milestone SABIS Academy of New Orleans</t>
  </si>
  <si>
    <t>The MAX Charter School</t>
  </si>
  <si>
    <t>Linwood Public Charter School</t>
  </si>
  <si>
    <t>FY10-11
Audit 
Adjustments</t>
  </si>
  <si>
    <t>orleans decreased 54,750</t>
  </si>
  <si>
    <t>8.</t>
  </si>
  <si>
    <t>V.</t>
  </si>
  <si>
    <t>First Year Non-Legacy Type 2 Charter Schools</t>
  </si>
  <si>
    <t>Non-Legacy Type 2 Charters (Not 1st Year)</t>
  </si>
  <si>
    <t>ReNew Schools*
(K-8 Charter School/Sarah Reed)</t>
  </si>
  <si>
    <t xml:space="preserve">     Years 1 - 4/Years 1 - 5 Reduction of Remaining Hold Harmless</t>
  </si>
  <si>
    <t xml:space="preserve">Legacy Type 2 Charter Schools </t>
  </si>
  <si>
    <t>Plus/(Minus) Prior Year Adjustments - Non-Legacy Type 2 Charters</t>
  </si>
  <si>
    <t>Calculation for Prior Year Pay Raises</t>
  </si>
  <si>
    <t>MFP Allocation Including Adjustments (R + S)</t>
  </si>
  <si>
    <r>
      <t xml:space="preserve">LA Dept. of Education
</t>
    </r>
    <r>
      <rPr>
        <sz val="12"/>
        <rFont val="Arial"/>
        <family val="2"/>
      </rPr>
      <t>Administrative Fee (.25%)</t>
    </r>
  </si>
  <si>
    <r>
      <t xml:space="preserve">RSD LA
</t>
    </r>
    <r>
      <rPr>
        <sz val="12"/>
        <rFont val="Arial"/>
        <family val="2"/>
      </rPr>
      <t>Administrative Fee (1.75%)</t>
    </r>
  </si>
  <si>
    <t>Firstline Schools, Inc.*
(Firstline H.S. Charter)(Clark)</t>
  </si>
  <si>
    <t>N/A</t>
  </si>
  <si>
    <r>
      <t xml:space="preserve">
 State 
Per Pupil 
Levels
1, 2 &amp; 3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Budget 
Letter)</t>
    </r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</si>
  <si>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</si>
  <si>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t>Total LAVCA</t>
  </si>
  <si>
    <t xml:space="preserve">Total LA Connections </t>
  </si>
  <si>
    <r>
      <t xml:space="preserve">Transfer 
to pay
the local
share 
due to
Lycee Francois
</t>
    </r>
    <r>
      <rPr>
        <sz val="10"/>
        <color indexed="18"/>
        <rFont val="Arial"/>
        <family val="2"/>
      </rPr>
      <t>(Table 5C-1,
column 18)</t>
    </r>
  </si>
  <si>
    <t>Plus/(Minus) Prior Year Adjustments - Legacy Type 2 Charters</t>
  </si>
  <si>
    <t>ReNew Schools*
(ReNew Accel. H.S., City Park)</t>
  </si>
  <si>
    <t>ReNew Schools*
(ReNew Accel. H.S., West Bank)</t>
  </si>
  <si>
    <t>2010
TOTAL ASSESSED PROPERTY VALUE</t>
  </si>
  <si>
    <t>2010
ASSESSED HOMESTEAD EXEMPTION</t>
  </si>
  <si>
    <t>2010
NET ASSESSED TAXABLE PROPERTY</t>
  </si>
  <si>
    <t>(Prior Year)
 2009
Net Assessed Taxable Property (Without cap)</t>
  </si>
  <si>
    <t>2010
NET ASSESSED TAXABLE PROPERTY
with Cap of</t>
  </si>
  <si>
    <t>TOTAL 
AD VALOREM 
REVENUE 
INCLUDING DEBT
(2010-2011)</t>
  </si>
  <si>
    <t>TOTAL 
SALES TAX REVENUE
(2010-2011)</t>
  </si>
  <si>
    <t>(Prior Year)
2011-2012
 COMPUTED SALES TAX BASE
(Without cap)</t>
  </si>
  <si>
    <t>2012-2013
COMPUTED
 SALES TAX 
BASE</t>
  </si>
  <si>
    <t>OTHER REVENUES:  
Includes State and Federal taxes in lieu of &amp; 50% of earnings from 16th section and from other real estate
2010-2011 AFR</t>
  </si>
  <si>
    <t xml:space="preserve">  2010 ASSESSED PROPERTY VALUE</t>
  </si>
  <si>
    <t>Difference between 
FY2011-12
and 
FY2012-13
Simulation
STATE 
SHARE OF 
COST LEVELS
1, 2, &amp; 3</t>
  </si>
  <si>
    <t>2010
Net Assessed 
Property
(with 10% Cap)</t>
  </si>
  <si>
    <t>FY2010-11
Sales Tax Revenue
(per 10-11 AFR)</t>
  </si>
  <si>
    <t>FY2010-11
Computed Sales Tax Base with 15% Cap on Growth</t>
  </si>
  <si>
    <t>2010
Ad Valorem 
Tax Revenues
(per 10-11 AFR)</t>
  </si>
  <si>
    <t>11/12
Level 1</t>
  </si>
  <si>
    <t>11/12
Level II</t>
  </si>
  <si>
    <t>11/12 Column 16</t>
  </si>
  <si>
    <t>2/1//11
SIS
Base Count</t>
  </si>
  <si>
    <t>2/1/11
Total
Weighted
Count</t>
  </si>
  <si>
    <t>LSMSA</t>
  </si>
  <si>
    <r>
      <t xml:space="preserve">MFP State Share of Educational Cost 
</t>
    </r>
    <r>
      <rPr>
        <b/>
        <sz val="10"/>
        <color indexed="18"/>
        <rFont val="Arial"/>
        <family val="2"/>
      </rPr>
      <t>Based on Estimated 10.1.11 Residency Data</t>
    </r>
  </si>
  <si>
    <t>col 2 X 
col 3</t>
  </si>
  <si>
    <t>col 1 X 
col 5</t>
  </si>
  <si>
    <r>
      <t xml:space="preserve">FY 2012-13
Level 1
State 
Share
Percent
</t>
    </r>
    <r>
      <rPr>
        <sz val="8"/>
        <color indexed="18"/>
        <rFont val="Arial"/>
        <family val="2"/>
      </rPr>
      <t>(Table 3,
 Col 13)</t>
    </r>
  </si>
  <si>
    <r>
      <t xml:space="preserve">FY 2012-13
Level 1
Local 
Share
Percent
</t>
    </r>
    <r>
      <rPr>
        <sz val="8"/>
        <color indexed="18"/>
        <rFont val="Arial"/>
        <family val="2"/>
      </rPr>
      <t>(Table 3, 
Col 14)</t>
    </r>
  </si>
  <si>
    <t xml:space="preserve">State 
Share 
of 
State 
Per Pupil
</t>
  </si>
  <si>
    <t>NOCCA</t>
  </si>
  <si>
    <t>col 2 X 
col 4</t>
  </si>
  <si>
    <r>
      <t xml:space="preserve">FY2012-13
Levels 1, 2 &amp; 3
STATE SHARE
OF COST
Per Pupil
</t>
    </r>
    <r>
      <rPr>
        <sz val="8"/>
        <color indexed="18"/>
        <rFont val="Arial"/>
        <family val="2"/>
      </rPr>
      <t>(Table 3, Col 33)</t>
    </r>
  </si>
  <si>
    <r>
      <t xml:space="preserve">FY2012-13
State 
Share 
Percent
</t>
    </r>
    <r>
      <rPr>
        <sz val="8"/>
        <color indexed="18"/>
        <rFont val="Arial"/>
        <family val="2"/>
      </rPr>
      <t>(Table 3, 
Col 13)</t>
    </r>
  </si>
  <si>
    <r>
      <t xml:space="preserve">FY2012-13
Local 
Share
Percent
</t>
    </r>
    <r>
      <rPr>
        <sz val="8"/>
        <color indexed="18"/>
        <rFont val="Arial"/>
        <family val="2"/>
      </rPr>
      <t>(Table 3,
Col 14)</t>
    </r>
  </si>
  <si>
    <t xml:space="preserve">MFP Local Share of Educational Cost </t>
  </si>
  <si>
    <t>Continuation
of
Prior
Year
Pay Raises</t>
  </si>
  <si>
    <t>Crescent City Schools, Inc.
(Crescent City School)(Tubman)</t>
  </si>
  <si>
    <t>Comm. Leaders Adv. Student Suc
(Fannie C. Williams)</t>
  </si>
  <si>
    <t>Future is Now
(John McDonogh Senior H.S.)</t>
  </si>
  <si>
    <t>Friends of King
(Joseph A. Craig)</t>
  </si>
  <si>
    <t>N. O. College Prep
(Cohen College Prep)</t>
  </si>
  <si>
    <r>
      <t xml:space="preserve">Projected
MFP 
Member-
ship
</t>
    </r>
    <r>
      <rPr>
        <sz val="10"/>
        <color indexed="18"/>
        <rFont val="Arial"/>
        <family val="2"/>
      </rPr>
      <t>(Per SIS)</t>
    </r>
  </si>
  <si>
    <t>FY11-12
Audit 
Adjustments</t>
  </si>
  <si>
    <t>Prior Year
Reduction
of Remaining
Hold Harmless
(FY07/08 thru 
FY11/12)</t>
  </si>
  <si>
    <t>Remaining
Hold 
Harmless
(FY2012/13))</t>
  </si>
  <si>
    <t>One-Tenth (FY12/13)
Reduction of 
Remaining
 Hold Harmless</t>
  </si>
  <si>
    <r>
      <t xml:space="preserve">
Feb. 1, 2012
Member-
ship 
(pe</t>
    </r>
    <r>
      <rPr>
        <sz val="10"/>
        <color indexed="18"/>
        <rFont val="Arial"/>
        <family val="2"/>
      </rPr>
      <t>r</t>
    </r>
    <r>
      <rPr>
        <b/>
        <sz val="10"/>
        <color indexed="18"/>
        <rFont val="Arial"/>
        <family val="2"/>
      </rPr>
      <t xml:space="preserve"> SIS)</t>
    </r>
  </si>
  <si>
    <t>Hold Harmless
(Reduction for FY2012-13 is Available for Rewards)</t>
  </si>
  <si>
    <r>
      <t xml:space="preserve">FY2012-13
State Average
Levels 1, 2 &amp; 3
STATE SHARE
OF COST
Per Pupil
</t>
    </r>
    <r>
      <rPr>
        <sz val="8"/>
        <color indexed="18"/>
        <rFont val="Arial"/>
        <family val="2"/>
      </rPr>
      <t>(Table 3, Col 33)</t>
    </r>
  </si>
  <si>
    <t xml:space="preserve">Local 
Share 
of 
State 
Per Pupil
</t>
  </si>
  <si>
    <t xml:space="preserve">State
 Share 
of 
State 
Per Pupil
</t>
  </si>
  <si>
    <t xml:space="preserve">Local Share 
of 
State
 Per 
Pupil
</t>
  </si>
  <si>
    <t>Local Share of
Educational Cost</t>
  </si>
  <si>
    <t>W.</t>
  </si>
  <si>
    <t>X.</t>
  </si>
  <si>
    <t>LA School for the Deaf and Visually Impaired (LSDVI)</t>
  </si>
  <si>
    <t>State
Admin Fee
to the 
Dept. of
Education</t>
  </si>
  <si>
    <t>Local
Admin Fee
to the 
Dept. of
Educaton</t>
  </si>
  <si>
    <t>Local Share
Allocation
minus
Admin Fee</t>
  </si>
  <si>
    <r>
      <t xml:space="preserve">FY2012-13
Levels 1, 2 &amp; 3
STATE SHARE
OF COST Per Pupil without
Pay Raise
</t>
    </r>
    <r>
      <rPr>
        <sz val="10"/>
        <color indexed="18"/>
        <rFont val="Arial"/>
        <family val="2"/>
      </rPr>
      <t>(Table 3, Col 29)</t>
    </r>
  </si>
  <si>
    <t>Y.</t>
  </si>
  <si>
    <t>SSD</t>
  </si>
  <si>
    <t>Special School District (SSD)</t>
  </si>
  <si>
    <t>U.</t>
  </si>
  <si>
    <t>Z.</t>
  </si>
  <si>
    <t>1.98%/.85%</t>
  </si>
  <si>
    <t>Total MFP Allocation (I+J+K+L+M+N+O+P+Q+R+S+T+U+V)</t>
  </si>
  <si>
    <t>Number of Foreign Associate Teachers
Feb. 1, 2012</t>
  </si>
  <si>
    <t>Transfers</t>
  </si>
  <si>
    <t>1.  RSD</t>
  </si>
  <si>
    <t>3. Legacy Type 2 Charters</t>
  </si>
  <si>
    <t>4. LA School for the Deaf and Visually Impaired (LSDVI)</t>
  </si>
  <si>
    <t>5. Special School District (SSD)</t>
  </si>
  <si>
    <r>
      <t>FY2012-13
Levels 1, 2 &amp; 3
STATE SHARE
OF COST
Per Pupil</t>
    </r>
    <r>
      <rPr>
        <b/>
        <sz val="12"/>
        <color indexed="18"/>
        <rFont val="Arial"/>
        <family val="2"/>
      </rPr>
      <t>*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(Table 3, Col 33)</t>
    </r>
  </si>
  <si>
    <r>
      <t xml:space="preserve">FY2012-13
Levels 1 and 2
LOCAL 
SHARE 
OF COST
</t>
    </r>
    <r>
      <rPr>
        <sz val="10"/>
        <color indexed="18"/>
        <rFont val="Arial"/>
        <family val="2"/>
      </rPr>
      <t>(Table 3, Col 36)</t>
    </r>
  </si>
  <si>
    <r>
      <t>FY2011-12
STATE 
SHARE OF 
COST LEVELS
1, 2, &amp; 3
(July 2011)</t>
    </r>
    <r>
      <rPr>
        <b/>
        <sz val="8"/>
        <color indexed="10"/>
        <rFont val="Arial"/>
        <family val="2"/>
      </rPr>
      <t xml:space="preserve">
(includes 
Continuation of
 Prior Year Pay Raises)</t>
    </r>
  </si>
  <si>
    <t xml:space="preserve">FY2012-13Simulation
(column 16)
Actual 
Sales and Property
Tax Revenues
(Including Debt) 
Plus Other Revenue </t>
  </si>
  <si>
    <t>FY2012-13 
Simulation
projected
 2/1/12
SIS Base Count</t>
  </si>
  <si>
    <t>FY2012-13
Simulation
projected
2/1/12
Total Wgted Cnt</t>
  </si>
  <si>
    <t xml:space="preserve">FY2012-13
Simulation
STATE SHARE 
OF LEVEL 1
</t>
  </si>
  <si>
    <t xml:space="preserve">FY2012-13
Simulation
State Share of 
Level II
</t>
  </si>
  <si>
    <t>NOTE:  RSD Orleans is funded using the RSD's Differentiated Funding Formula for Special Education Students</t>
  </si>
  <si>
    <t>col 7 + col 8</t>
  </si>
  <si>
    <t>321</t>
  </si>
  <si>
    <t>329</t>
  </si>
  <si>
    <t>331</t>
  </si>
  <si>
    <t>333</t>
  </si>
  <si>
    <t>336</t>
  </si>
  <si>
    <t>337</t>
  </si>
  <si>
    <t>339</t>
  </si>
  <si>
    <t>340</t>
  </si>
  <si>
    <t>Lake Charles Charter Academy</t>
  </si>
  <si>
    <t xml:space="preserve">  b.</t>
  </si>
  <si>
    <t xml:space="preserve">  c.</t>
  </si>
  <si>
    <t xml:space="preserve">  d.</t>
  </si>
  <si>
    <t xml:space="preserve">  e.</t>
  </si>
  <si>
    <t xml:space="preserve">  f.</t>
  </si>
  <si>
    <t xml:space="preserve">  g.</t>
  </si>
  <si>
    <t xml:space="preserve">  h.</t>
  </si>
  <si>
    <t xml:space="preserve">   a.</t>
  </si>
  <si>
    <r>
      <t xml:space="preserve">
AT-RISK 
STUDENTS
</t>
    </r>
    <r>
      <rPr>
        <sz val="10"/>
        <color indexed="18"/>
        <rFont val="Arial"/>
        <family val="2"/>
      </rPr>
      <t>(Per SIS
2-1-12)</t>
    </r>
    <r>
      <rPr>
        <b/>
        <sz val="10"/>
        <color indexed="18"/>
        <rFont val="Arial"/>
        <family val="2"/>
      </rPr>
      <t xml:space="preserve">
</t>
    </r>
  </si>
  <si>
    <r>
      <t xml:space="preserve">
CAREER &amp; 
TECHNICAL
 ED UNITS
</t>
    </r>
    <r>
      <rPr>
        <sz val="10"/>
        <color indexed="18"/>
        <rFont val="Arial"/>
        <family val="2"/>
      </rPr>
      <t>(Per LEADS
10-1-11)</t>
    </r>
    <r>
      <rPr>
        <b/>
        <sz val="10"/>
        <color indexed="18"/>
        <rFont val="Arial"/>
        <family val="2"/>
      </rPr>
      <t xml:space="preserve">
</t>
    </r>
  </si>
  <si>
    <r>
      <t xml:space="preserve">
SPECIAL ED 
OTHER 
EXCEPTIONALITIES 
STUDENTS
</t>
    </r>
    <r>
      <rPr>
        <sz val="10"/>
        <color indexed="18"/>
        <rFont val="Arial"/>
        <family val="2"/>
      </rPr>
      <t>(Per SER
2-1-12)</t>
    </r>
    <r>
      <rPr>
        <b/>
        <sz val="10"/>
        <color indexed="18"/>
        <rFont val="Arial"/>
        <family val="2"/>
      </rPr>
      <t xml:space="preserve">
</t>
    </r>
  </si>
  <si>
    <r>
      <t xml:space="preserve">
SPECIAL ED 
GIFTED AND 
TALENTED 
STUDENTS
</t>
    </r>
    <r>
      <rPr>
        <sz val="10"/>
        <color indexed="18"/>
        <rFont val="Arial"/>
        <family val="2"/>
      </rPr>
      <t>(Per SER
2-1-12)</t>
    </r>
  </si>
  <si>
    <t xml:space="preserve">This report contains information that when combined with other reports and/or information a student’s </t>
  </si>
  <si>
    <t xml:space="preserve">identity might be revealed.  Personally identifiable student information must be kept confidential </t>
  </si>
  <si>
    <t>pursuant to the Family Educational Rights and Privacy Act (FERPA) codified at 20 U.S.C. 1232g.  </t>
  </si>
  <si>
    <t xml:space="preserve">Information in this report cannot be disclosed to any other person, except for employees of a </t>
  </si>
  <si>
    <t xml:space="preserve">student’s school or school system who must have access to that information in order to perform their </t>
  </si>
  <si>
    <t>official duties and for those other persons and entities specified in 20 U.S.C. 1232g.</t>
  </si>
  <si>
    <t>3_ Legacy-321001-New Vision Learning Academy</t>
  </si>
  <si>
    <t>3_ Legacy-329001-V_ B_ Glencoe Charter School</t>
  </si>
  <si>
    <t>3_ Legacy-331001-International School of Louisiana</t>
  </si>
  <si>
    <t>3_ Legacy-333001-Avoyelles Public Charter School</t>
  </si>
  <si>
    <t>3_ Legacy-336001-Delhi Charter School</t>
  </si>
  <si>
    <t>3_ Legacy-337001-Belle Chasse Academy</t>
  </si>
  <si>
    <t>3_ Legacy-339001-Milestone SABIS Academy of New Orleans</t>
  </si>
  <si>
    <t>3_ Legacy-340001-The MAX Charter School</t>
  </si>
  <si>
    <t>3_341001-D'Arbonne Woods Charter School</t>
  </si>
  <si>
    <t>3_343001-Madison Preparatory Academy</t>
  </si>
  <si>
    <t>3_343002-Louisiana Virtual Charter Academy</t>
  </si>
  <si>
    <t>3_345001-Louisiana Connections Academy</t>
  </si>
  <si>
    <t>3_346001-Lake Charles Charter Academy</t>
  </si>
  <si>
    <t>3_347001-Lycee Francais de la Nouvelle-Orleans</t>
  </si>
  <si>
    <t>LSDVI</t>
  </si>
  <si>
    <t>City of Monroe School District</t>
  </si>
  <si>
    <t>City of Bogalusa School District</t>
  </si>
  <si>
    <t>City of Baker School District</t>
  </si>
  <si>
    <t>Central Community School District</t>
  </si>
  <si>
    <t>Out-Of-State</t>
  </si>
  <si>
    <t>Zachary Community School District</t>
  </si>
  <si>
    <t>Ouachita -5,774,612</t>
  </si>
  <si>
    <t>Ouachita + 5,774,612</t>
  </si>
  <si>
    <t>St. James - 12,147</t>
  </si>
  <si>
    <t>St. James - 17,033</t>
  </si>
  <si>
    <r>
      <t xml:space="preserve"> Base Membership:  </t>
    </r>
    <r>
      <rPr>
        <b/>
        <sz val="11"/>
        <rFont val="Arial Narrow"/>
        <family val="2"/>
      </rPr>
      <t>Feb. 1, 2011 / Feb. 1, 2012</t>
    </r>
  </si>
  <si>
    <t>FY2012-13
MFP State
Share of Levels
1, 2, and 3
with
 Continuation 
of Prior-Year
 Pay Raises</t>
  </si>
  <si>
    <t xml:space="preserve">
Feb. 1, 2012
Student Membership </t>
  </si>
  <si>
    <r>
      <t xml:space="preserve">
MFP
Funded Membership
</t>
    </r>
    <r>
      <rPr>
        <sz val="10"/>
        <color indexed="18"/>
        <rFont val="Arial"/>
        <family val="2"/>
      </rPr>
      <t>(Per SIS)</t>
    </r>
  </si>
  <si>
    <r>
      <t xml:space="preserve">
Feb. 1, 2012
MFP Funded
Enrollment
</t>
    </r>
    <r>
      <rPr>
        <sz val="10"/>
        <color indexed="18"/>
        <rFont val="Arial"/>
        <family val="2"/>
      </rPr>
      <t>(Per SIS)</t>
    </r>
    <r>
      <rPr>
        <b/>
        <sz val="10"/>
        <color indexed="18"/>
        <rFont val="Arial"/>
        <family val="2"/>
      </rPr>
      <t xml:space="preserve">
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</si>
  <si>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>Out of State</t>
  </si>
  <si>
    <t>February 1, 2012 MFP &amp; Other Funded Membership for All Site Codes Except City/Parish School Districts</t>
  </si>
  <si>
    <t>Source:  SIS Database (Year 2011; PP=3)</t>
  </si>
  <si>
    <t>AsOfDate</t>
  </si>
  <si>
    <t>LeaGroupCode</t>
  </si>
  <si>
    <t>Location</t>
  </si>
  <si>
    <t>SiteCode</t>
  </si>
  <si>
    <t>SiteName</t>
  </si>
  <si>
    <t>MFP/Funded Membership</t>
  </si>
  <si>
    <t>MFP Funded Excluding City/Parish Schools</t>
  </si>
  <si>
    <t>2-Labs</t>
  </si>
  <si>
    <t>318001</t>
  </si>
  <si>
    <t>LSU Laboratory School</t>
  </si>
  <si>
    <t>319001</t>
  </si>
  <si>
    <t>3-Type 2 Charters</t>
  </si>
  <si>
    <t>321001</t>
  </si>
  <si>
    <t>329001</t>
  </si>
  <si>
    <t>V. B. Glencoe Charter School</t>
  </si>
  <si>
    <t>331001</t>
  </si>
  <si>
    <t>International School of Louisiana</t>
  </si>
  <si>
    <t>333001</t>
  </si>
  <si>
    <t>336001</t>
  </si>
  <si>
    <t>337001</t>
  </si>
  <si>
    <t>Belle Chasse Academy</t>
  </si>
  <si>
    <t>339001</t>
  </si>
  <si>
    <t>340001</t>
  </si>
  <si>
    <t>341</t>
  </si>
  <si>
    <t>341001</t>
  </si>
  <si>
    <t>D'Arbonne Woods Charter School</t>
  </si>
  <si>
    <t>343</t>
  </si>
  <si>
    <t>343001</t>
  </si>
  <si>
    <t>Madison Preparatory Academy</t>
  </si>
  <si>
    <t>343002</t>
  </si>
  <si>
    <t>Louisiana Virtual Charter Academy</t>
  </si>
  <si>
    <t>344</t>
  </si>
  <si>
    <t>344001</t>
  </si>
  <si>
    <t>International High School</t>
  </si>
  <si>
    <t>345</t>
  </si>
  <si>
    <t>345001</t>
  </si>
  <si>
    <t>Louisiana Connections Academy</t>
  </si>
  <si>
    <t>346</t>
  </si>
  <si>
    <t>346001</t>
  </si>
  <si>
    <t>347</t>
  </si>
  <si>
    <t>347001</t>
  </si>
  <si>
    <t>Lycee Francais de la Nouvelle-Orleans</t>
  </si>
  <si>
    <t>348</t>
  </si>
  <si>
    <t>348001</t>
  </si>
  <si>
    <t>New Orleans Military and Maritime Academy</t>
  </si>
  <si>
    <t>4-SSD</t>
  </si>
  <si>
    <t>101</t>
  </si>
  <si>
    <t>Scenic Alternative High School</t>
  </si>
  <si>
    <t>Riverside Alternative High School</t>
  </si>
  <si>
    <t>Southside Alternative High School</t>
  </si>
  <si>
    <t>101033</t>
  </si>
  <si>
    <t>Winn Correctional Center</t>
  </si>
  <si>
    <t>4-BESE</t>
  </si>
  <si>
    <t>302</t>
  </si>
  <si>
    <t>302006</t>
  </si>
  <si>
    <t>Louisiana School for Math Science &amp; the Arts</t>
  </si>
  <si>
    <t>304</t>
  </si>
  <si>
    <t>304001</t>
  </si>
  <si>
    <t>Louisiana School for the Deaf</t>
  </si>
  <si>
    <t>304002</t>
  </si>
  <si>
    <t>Louisiana School for the Visually Impaired</t>
  </si>
  <si>
    <t>306</t>
  </si>
  <si>
    <t>306001</t>
  </si>
  <si>
    <t>Louisiana Special Education Center</t>
  </si>
  <si>
    <t>334</t>
  </si>
  <si>
    <t>334001</t>
  </si>
  <si>
    <t>New Orleans Center for Creative Arts</t>
  </si>
  <si>
    <t>5 - RSD-LA</t>
  </si>
  <si>
    <t xml:space="preserve"> Caddo Parish</t>
  </si>
  <si>
    <t>371</t>
  </si>
  <si>
    <t xml:space="preserve"> East Baton Rouge Parish</t>
  </si>
  <si>
    <t>372</t>
  </si>
  <si>
    <t>377</t>
  </si>
  <si>
    <t>389</t>
  </si>
  <si>
    <t xml:space="preserve"> Pointe Coupee Parish</t>
  </si>
  <si>
    <t>5 - RSD-NO</t>
  </si>
  <si>
    <t>300</t>
  </si>
  <si>
    <t>Lake Area High School</t>
  </si>
  <si>
    <t>Gentilly Terrace School</t>
  </si>
  <si>
    <t>363</t>
  </si>
  <si>
    <t>363001</t>
  </si>
  <si>
    <t>Harriet Tubman Charter School</t>
  </si>
  <si>
    <t>364</t>
  </si>
  <si>
    <t>364001</t>
  </si>
  <si>
    <t>Fannie C. Williams Charter School</t>
  </si>
  <si>
    <t>366</t>
  </si>
  <si>
    <t>Lagniappe Academies of New Orleans</t>
  </si>
  <si>
    <t>367</t>
  </si>
  <si>
    <t>E. P. Harney Spirit of Excellence Academy</t>
  </si>
  <si>
    <t>368</t>
  </si>
  <si>
    <t>Morris Jeff Community School</t>
  </si>
  <si>
    <t>369</t>
  </si>
  <si>
    <t>Batiste Cultural Arts Academy at Live Oak Elem</t>
  </si>
  <si>
    <t>SciTech Academy at Laurel Elementary</t>
  </si>
  <si>
    <t>369003</t>
  </si>
  <si>
    <t>ReNEW at Reed Elementary</t>
  </si>
  <si>
    <t>369004</t>
  </si>
  <si>
    <t>ReNEW Accelerated High School #1</t>
  </si>
  <si>
    <t>369005</t>
  </si>
  <si>
    <t>ReNEW Accelerated High School #2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</si>
  <si>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</si>
  <si>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</si>
  <si>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</si>
  <si>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</si>
  <si>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</si>
  <si>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</si>
  <si>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</si>
  <si>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</si>
  <si>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</si>
  <si>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</si>
  <si>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385</t>
  </si>
  <si>
    <t>387</t>
  </si>
  <si>
    <t>388</t>
  </si>
  <si>
    <t>390</t>
  </si>
  <si>
    <t>391</t>
  </si>
  <si>
    <t>392</t>
  </si>
  <si>
    <t>393</t>
  </si>
  <si>
    <t>394</t>
  </si>
  <si>
    <t>395</t>
  </si>
  <si>
    <t>397</t>
  </si>
  <si>
    <t>Sophie B. Wright Inst. of Academic Excellence</t>
  </si>
  <si>
    <t>398</t>
  </si>
  <si>
    <t>KIPP Renaissance High School</t>
  </si>
  <si>
    <t>KIPP New Orleans Leadership Academy</t>
  </si>
  <si>
    <t>399</t>
  </si>
  <si>
    <t>399003</t>
  </si>
  <si>
    <t>Joseph S. Clark Preparatory High School</t>
  </si>
  <si>
    <t>John Dibert Community School</t>
  </si>
  <si>
    <t>5 - RSD-State Op</t>
  </si>
  <si>
    <t>396201</t>
  </si>
  <si>
    <t>Linear Leadership Academy</t>
  </si>
  <si>
    <t>396202</t>
  </si>
  <si>
    <t>Capitol High School</t>
  </si>
  <si>
    <t xml:space="preserve"> St. Helena Parish</t>
  </si>
  <si>
    <t>396200</t>
  </si>
  <si>
    <t>St. Helena Central Middle School</t>
  </si>
  <si>
    <t>396001</t>
  </si>
  <si>
    <t>Joseph A. Craig School</t>
  </si>
  <si>
    <t>396003</t>
  </si>
  <si>
    <t>Benjamin Banneker Elementary School</t>
  </si>
  <si>
    <t>396004</t>
  </si>
  <si>
    <t>Walter L. Cohen High School</t>
  </si>
  <si>
    <t>396008</t>
  </si>
  <si>
    <t>Dr. Charles Richard Drew Elementary School</t>
  </si>
  <si>
    <t>396009</t>
  </si>
  <si>
    <t>Paul B. Habans Elementary School</t>
  </si>
  <si>
    <t>396010</t>
  </si>
  <si>
    <t>Murray Henderson Elementary School</t>
  </si>
  <si>
    <t>396011</t>
  </si>
  <si>
    <t>John McDonogh Senior High School</t>
  </si>
  <si>
    <t>396012</t>
  </si>
  <si>
    <t>James Weldon Johnson School</t>
  </si>
  <si>
    <t>396017</t>
  </si>
  <si>
    <t>Sarah Towles Reed Senior High School</t>
  </si>
  <si>
    <t>396019</t>
  </si>
  <si>
    <t>A.P. Tureaud Elementary School</t>
  </si>
  <si>
    <t>396022</t>
  </si>
  <si>
    <t>Schwarz Alternative School</t>
  </si>
  <si>
    <t>396026</t>
  </si>
  <si>
    <t>G.W. Carver High School</t>
  </si>
  <si>
    <t>396029</t>
  </si>
  <si>
    <t>F.W. Gregory Elementary School</t>
  </si>
  <si>
    <t>396031</t>
  </si>
  <si>
    <t>L. B. Landry High School</t>
  </si>
  <si>
    <t>396034</t>
  </si>
  <si>
    <t>H.C. Schaumburg Elementary School</t>
  </si>
  <si>
    <t>396037</t>
  </si>
  <si>
    <t>Mary D. Coghill Elementary School</t>
  </si>
  <si>
    <t>396203</t>
  </si>
  <si>
    <t>Abramson Science and Technology School</t>
  </si>
  <si>
    <t>396700</t>
  </si>
  <si>
    <t>Recovery School District-LDE Central Office</t>
  </si>
  <si>
    <t>6-Corrections</t>
  </si>
  <si>
    <t>A02</t>
  </si>
  <si>
    <t>A02001</t>
  </si>
  <si>
    <t>A02002</t>
  </si>
  <si>
    <t>A02003</t>
  </si>
  <si>
    <t>Feb. 1. 2012
MFP Funded
Count
(Per SIS)</t>
  </si>
  <si>
    <r>
      <t xml:space="preserve">
Feb. 1, 2012
</t>
    </r>
    <r>
      <rPr>
        <sz val="10"/>
        <color indexed="18"/>
        <rFont val="Arial"/>
        <family val="2"/>
      </rPr>
      <t>(Per SIS)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</si>
  <si>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r>
      <t xml:space="preserve">Audit Adjs.
FY2011-12
MFP 
</t>
    </r>
    <r>
      <rPr>
        <sz val="10"/>
        <color indexed="18"/>
        <rFont val="Arial"/>
        <family val="2"/>
      </rPr>
      <t>(also includes 
2/1 midyear
 from 
FY2010-11</t>
    </r>
  </si>
  <si>
    <r>
      <t xml:space="preserve">Audit Adjs.
FY2011-12
MFP 
</t>
    </r>
    <r>
      <rPr>
        <sz val="10"/>
        <color indexed="18"/>
        <rFont val="Arial"/>
        <family val="2"/>
      </rPr>
      <t>(also includes 
2/1 midyear
 from 
FY2010-11)</t>
    </r>
  </si>
  <si>
    <r>
      <t>Audit
Adjustments
FY2011-12
MFP</t>
    </r>
    <r>
      <rPr>
        <sz val="10"/>
        <color indexed="18"/>
        <rFont val="Arial"/>
        <family val="2"/>
      </rPr>
      <t xml:space="preserve">
(Includes 
2/1 midyear
 from 
FY2010-11</t>
    </r>
  </si>
  <si>
    <t>Out of state</t>
  </si>
  <si>
    <t>Plus/(Minus) Prior Year Adjustments - OJJ</t>
  </si>
  <si>
    <t>9.</t>
  </si>
  <si>
    <t>* New Charters in FY2012-13 funded based on projected student count; will be updated to actual 10/1/12 count</t>
  </si>
  <si>
    <t xml:space="preserve">     First Year Non-Legacy Type 2 Charters (2)</t>
  </si>
  <si>
    <t>Rewards for Student Progress</t>
  </si>
  <si>
    <t>Continuation of Prior Year  Pay Raises
(FY2001-02 through
FY2008-09) 
90% Per Pupil
Amount</t>
  </si>
  <si>
    <t>Continuation of Prior Year  Pay Raises
(FY2001-02 through
FY2008-09)  
90% Per Pupil
Amount</t>
  </si>
  <si>
    <t>State MFP Appropriation/Executive Budget</t>
  </si>
  <si>
    <t>Estimated need in excess of MFP Appropriation/Executive Budget</t>
  </si>
  <si>
    <t xml:space="preserve">MFP State Share of Educational Cost 
</t>
  </si>
  <si>
    <t>Continuation
of
Prior
Year
Pay Raises
Per Pupil Amount</t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</si>
  <si>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</si>
  <si>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LA Virtual Charter Academy 
(LAVCA)
(Community School of 
Apprenticeship Learning,)
(CSAL)
</t>
    </r>
    <r>
      <rPr>
        <sz val="11"/>
        <color indexed="18"/>
        <rFont val="Arial"/>
        <family val="2"/>
      </rPr>
      <t>(Site Code 343002)
(Opened 11/12)
(Not in a District Bldg.)</t>
    </r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</si>
  <si>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</si>
  <si>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</si>
  <si>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</si>
  <si>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</si>
  <si>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 District Building)</t>
    </r>
    <r>
      <rPr>
        <b/>
        <sz val="11"/>
        <color indexed="18"/>
        <rFont val="Arial"/>
        <family val="2"/>
      </rPr>
      <t xml:space="preserve">
</t>
    </r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</si>
  <si>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</si>
  <si>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r>
      <t xml:space="preserve">Madison Prep 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</si>
  <si>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RSD Operated
</t>
    </r>
    <r>
      <rPr>
        <sz val="11"/>
        <rFont val="Arial"/>
        <family val="2"/>
      </rPr>
      <t>(Lanier Elementary )</t>
    </r>
  </si>
  <si>
    <t>RSD Operated
(Istrouma High School)</t>
  </si>
  <si>
    <r>
      <t xml:space="preserve">RSD Operated
</t>
    </r>
    <r>
      <rPr>
        <sz val="11"/>
        <rFont val="Arial"/>
        <family val="2"/>
      </rPr>
      <t>(Capitol High School)</t>
    </r>
  </si>
  <si>
    <r>
      <t xml:space="preserve">RSD Operated
</t>
    </r>
    <r>
      <rPr>
        <sz val="11"/>
        <rFont val="Arial"/>
        <family val="2"/>
      </rPr>
      <t>(Dalton Elementary)</t>
    </r>
  </si>
  <si>
    <r>
      <t xml:space="preserve">RSD Operated
</t>
    </r>
    <r>
      <rPr>
        <sz val="11"/>
        <rFont val="Arial"/>
        <family val="2"/>
      </rPr>
      <t>(Prescott Middle)</t>
    </r>
  </si>
  <si>
    <r>
      <t xml:space="preserve">RSD Operated
</t>
    </r>
    <r>
      <rPr>
        <sz val="11"/>
        <rFont val="Arial"/>
        <family val="2"/>
      </rPr>
      <t>(Glen Oaks Middle)</t>
    </r>
  </si>
  <si>
    <r>
      <t xml:space="preserve">RSD Operated
</t>
    </r>
    <r>
      <rPr>
        <sz val="11"/>
        <rFont val="Arial"/>
        <family val="2"/>
      </rPr>
      <t>(Pointe Coupee Central High)</t>
    </r>
  </si>
  <si>
    <r>
      <t xml:space="preserve">RSD Operated
</t>
    </r>
    <r>
      <rPr>
        <sz val="11"/>
        <rFont val="Arial"/>
        <family val="2"/>
      </rPr>
      <t>(Crestworth Middle)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</si>
  <si>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</si>
  <si>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t>Prepared:  06/08/2012</t>
  </si>
  <si>
    <t>DataSource</t>
  </si>
  <si>
    <t>Year</t>
  </si>
  <si>
    <t>PP</t>
  </si>
  <si>
    <t>As-Of-Date</t>
  </si>
  <si>
    <t>SponsorName</t>
  </si>
  <si>
    <t>City/Parish District MFP Counts</t>
  </si>
  <si>
    <t>05_RSD-LA</t>
  </si>
  <si>
    <t>05_RSD-NO</t>
  </si>
  <si>
    <t>05_RSD-State Operated</t>
  </si>
  <si>
    <t>3_344001-International High School of New Orleans</t>
  </si>
  <si>
    <t>3_348001-New Orleans Military/ Maritime Academy</t>
  </si>
  <si>
    <t>Scholar-
ships</t>
  </si>
  <si>
    <t>2_318001-LSU Laboratory School</t>
  </si>
  <si>
    <t>2_319001-Southern University Lab School</t>
  </si>
  <si>
    <t>4_101005-Eastern LA Mental System Forensic Div/Jackson</t>
  </si>
  <si>
    <t>4_101006-Eastern LA Mental Health/Greenwell Sprgs</t>
  </si>
  <si>
    <t>4_101007-Northlake Supports &amp; Services Center</t>
  </si>
  <si>
    <t>4_101009-Northwest Supports &amp; Services Center</t>
  </si>
  <si>
    <t>4_101010-Pinecrest Supports &amp; Services Center</t>
  </si>
  <si>
    <t>4_101012-Southeast Louisiana State Hospital</t>
  </si>
  <si>
    <t>4_101016-C_ Paul Phelps Correctional Center</t>
  </si>
  <si>
    <t>4_101017-David Wade Correctional Center</t>
  </si>
  <si>
    <t>4_101018-Scenic Alternative High School</t>
  </si>
  <si>
    <t>4_101019-Elayn Hunt Correctional Center</t>
  </si>
  <si>
    <t>4_101020-Louisiana Correctional Institute for Women</t>
  </si>
  <si>
    <t>4_101021-Riverside Alternative High School</t>
  </si>
  <si>
    <t>4_101022-Southside Alternative High School</t>
  </si>
  <si>
    <t>4_101023-Louisiana State Penitentiary</t>
  </si>
  <si>
    <t>4_101024-Forcht Wade Correctional Center</t>
  </si>
  <si>
    <t>4_101025-Dixon Correctional Institute</t>
  </si>
  <si>
    <t>4_101026-Rayburn Correctional Institute</t>
  </si>
  <si>
    <t>4_101027-Avoyelles Correctional Center</t>
  </si>
  <si>
    <t>4_101029-J_ Levy Dabadie Correctional Center</t>
  </si>
  <si>
    <t>4_101031-Renaissance Home for Youth</t>
  </si>
  <si>
    <t>4_101032-Allen Correctional Center</t>
  </si>
  <si>
    <t>4_101033-Winn Correctional Center</t>
  </si>
  <si>
    <t>4_302006-Louisiana School for Math Science &amp; the Arts</t>
  </si>
  <si>
    <t>4_304001-Louisiana School for the Deaf</t>
  </si>
  <si>
    <t>4_304002-Louisiana School for the Visually Impaired</t>
  </si>
  <si>
    <t>4_306001-Louisiana Special Education Center</t>
  </si>
  <si>
    <t>4_334001-New Orleans Center for Creative Arts</t>
  </si>
  <si>
    <t>6_A02001-Scenic Alternative High School</t>
  </si>
  <si>
    <t>6_A02002-Riverside Alternative High School</t>
  </si>
  <si>
    <t>6_A02003-Southside Alternative High School</t>
  </si>
  <si>
    <t>SIS-Funded</t>
  </si>
  <si>
    <t>2011</t>
  </si>
  <si>
    <t>3</t>
  </si>
  <si>
    <t>Totals</t>
  </si>
  <si>
    <t>Type 2 Charter =</t>
  </si>
  <si>
    <t>40.24/17.33</t>
  </si>
  <si>
    <t>N.</t>
  </si>
  <si>
    <r>
      <t>Audit
Adjust-
ments
FY2011-12
MFP</t>
    </r>
    <r>
      <rPr>
        <sz val="10"/>
        <color indexed="18"/>
        <rFont val="Futura Lt BT"/>
        <family val="2"/>
      </rPr>
      <t xml:space="preserve">
(Includes 
2/1 midyear
 from 
FY2010-11</t>
    </r>
  </si>
  <si>
    <t>Return 
of 
10%
Per Pupil 
Amount 
to State</t>
  </si>
  <si>
    <t>Crescent City Schools, Inc.
(Akili Academy)</t>
  </si>
  <si>
    <t xml:space="preserve">Table 5A1: FY2012-13 MFP Budget Letter </t>
  </si>
  <si>
    <r>
      <t xml:space="preserve">MFP State Share of Educational Cost for Youth in Secure Care 
</t>
    </r>
    <r>
      <rPr>
        <b/>
        <sz val="10"/>
        <color indexed="18"/>
        <rFont val="Arial"/>
        <family val="2"/>
      </rPr>
      <t xml:space="preserve">Based on Preliminary FY2011-12 Average Daily Membership (ADM) </t>
    </r>
  </si>
  <si>
    <t>Comparison of  
FY2011-12
Budget Letter to
FY2012-13
Budget Letter</t>
  </si>
  <si>
    <r>
      <t xml:space="preserve">LEA +
RSD Opr +
Type 5 Charters
</t>
    </r>
    <r>
      <rPr>
        <sz val="10"/>
        <color rgb="FFFF0000"/>
        <rFont val="Arial"/>
        <family val="2"/>
      </rPr>
      <t>(except for Orleans)</t>
    </r>
    <r>
      <rPr>
        <sz val="10"/>
        <rFont val="Arial"/>
        <family val="2"/>
      </rPr>
      <t xml:space="preserve">
</t>
    </r>
  </si>
  <si>
    <t>Add out of state to Union</t>
  </si>
  <si>
    <t>Distribution of Feb 1, 2012 MFP &amp; Funded Membership Using Updated Address Data</t>
  </si>
  <si>
    <t>TOTAL
Feb. 1, 2012
Student
 Count
(Table 3
Column 1)</t>
  </si>
  <si>
    <t>subtracted Istrouma from EBR</t>
  </si>
  <si>
    <t>Verification at LEA Level for city/parish District</t>
  </si>
  <si>
    <t>Difference is due to pay raise per pupil amounts for Legacy Type 2 charters</t>
  </si>
  <si>
    <t>Minus
State Share
Allocation
 for
Recovery 
School 
District</t>
  </si>
  <si>
    <t>Minus
State Share
Allocation
 for
Madison Prep
(CSAL)</t>
  </si>
  <si>
    <t>Minus
State Share
Allocation
 for
D'Arbonne Woods</t>
  </si>
  <si>
    <t>Minus
State Share
Allocation
 for
Int'l H.S.
(VIBE)</t>
  </si>
  <si>
    <t>Minus
State Share
Allocation
 for
N.O.
Military/
Maritime</t>
  </si>
  <si>
    <t>Minus
State Share
Allocation
 for
Lycee Francais</t>
  </si>
  <si>
    <t>Minus
State Share
Allocation
 for
Lake Charles Charter</t>
  </si>
  <si>
    <t>Minus
State Share
Allocation
 for
LAVCA</t>
  </si>
  <si>
    <t>Minus
State Share
Allocation
 for
LA Connections</t>
  </si>
  <si>
    <t>FY2012-13
Total MFP
Allocation 
+/- Adjustments
minus
 State Share Allocation to 
other LEAs</t>
  </si>
  <si>
    <r>
      <rPr>
        <b/>
        <sz val="16"/>
        <color indexed="18"/>
        <rFont val="Arial"/>
        <family val="2"/>
      </rPr>
      <t>Total</t>
    </r>
    <r>
      <rPr>
        <b/>
        <sz val="10"/>
        <color indexed="18"/>
        <rFont val="Arial"/>
        <family val="2"/>
      </rPr>
      <t xml:space="preserve">
Local Share Allocation
 due to 
other
LEAs</t>
    </r>
  </si>
  <si>
    <r>
      <t xml:space="preserve">Total MFP
Payment
</t>
    </r>
    <r>
      <rPr>
        <sz val="10"/>
        <color indexed="18"/>
        <rFont val="Arial"/>
        <family val="2"/>
      </rPr>
      <t>Amount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16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Share Allocation 
due to 
other
LEAs</t>
    </r>
  </si>
  <si>
    <r>
      <t xml:space="preserve">Total MFP
Payment
</t>
    </r>
    <r>
      <rPr>
        <sz val="10"/>
        <color indexed="18"/>
        <rFont val="Arial"/>
        <family val="2"/>
      </rPr>
      <t>Amount</t>
    </r>
    <r>
      <rPr>
        <b/>
        <sz val="10"/>
        <color indexed="18"/>
        <rFont val="Arial"/>
        <family val="2"/>
      </rPr>
      <t xml:space="preserve">
</t>
    </r>
    <r>
      <rPr>
        <b/>
        <sz val="10"/>
        <color indexed="16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Share Allocation 
to RSD
and 
Type 2 
Charters</t>
    </r>
  </si>
  <si>
    <r>
      <rPr>
        <b/>
        <sz val="10"/>
        <color rgb="FF000066"/>
        <rFont val="Arial"/>
        <family val="2"/>
      </rPr>
      <t>City/Parish</t>
    </r>
    <r>
      <rPr>
        <b/>
        <sz val="10"/>
        <color indexed="18"/>
        <rFont val="Arial"/>
        <family val="2"/>
      </rPr>
      <t xml:space="preserve">
Pay Raise
Continuation
Per Pupil 
Amount
</t>
    </r>
  </si>
  <si>
    <t>Total
 Local  Share 
Allocation</t>
  </si>
  <si>
    <t>Total 
State
 and 
Local
 Share Allocation</t>
  </si>
  <si>
    <t>Total
 State 
and 
Local
Share
Monthly
Payment</t>
  </si>
  <si>
    <t>Total 
Local  Share 
Allocation</t>
  </si>
  <si>
    <t>Total 
State
 and 
Local
Share Allocation</t>
  </si>
  <si>
    <t xml:space="preserve">State
and 
Local
Share
Monthly
Payment
</t>
  </si>
  <si>
    <t>MFP
State 
Share
Allocation</t>
  </si>
  <si>
    <r>
      <t xml:space="preserve">Total 
FY2012-13
MFP 
State
Share
Allocation 
</t>
    </r>
    <r>
      <rPr>
        <b/>
        <sz val="10"/>
        <color indexed="60"/>
        <rFont val="Futura Lt BT"/>
        <family val="2"/>
      </rPr>
      <t>plus</t>
    </r>
    <r>
      <rPr>
        <b/>
        <sz val="10"/>
        <color indexed="18"/>
        <rFont val="Futura Lt BT"/>
        <family val="2"/>
      </rPr>
      <t xml:space="preserve">
Continuation 
of Prior
Year
Pay 
Raises</t>
    </r>
  </si>
  <si>
    <t>Total
Local 
Share
Allocation
minus 
Admin Fee
+/- Audit 
Adj.</t>
  </si>
  <si>
    <r>
      <t xml:space="preserve">Total 
FY2012-13
MFP
State
Share
Allocation 
</t>
    </r>
    <r>
      <rPr>
        <b/>
        <sz val="10"/>
        <color indexed="60"/>
        <rFont val="Futura Lt BT"/>
        <family val="2"/>
      </rPr>
      <t xml:space="preserve">plus </t>
    </r>
    <r>
      <rPr>
        <b/>
        <sz val="10"/>
        <color indexed="18"/>
        <rFont val="Futura Lt BT"/>
        <family val="2"/>
      </rPr>
      <t xml:space="preserve">Continuation
of Pay Raises
</t>
    </r>
    <r>
      <rPr>
        <b/>
        <sz val="10"/>
        <color indexed="60"/>
        <rFont val="Futura Lt BT"/>
        <family val="2"/>
      </rPr>
      <t xml:space="preserve">+/- </t>
    </r>
    <r>
      <rPr>
        <b/>
        <sz val="10"/>
        <color indexed="18"/>
        <rFont val="Futura Lt BT"/>
        <family val="2"/>
      </rPr>
      <t xml:space="preserve"> Audit  Adjustments</t>
    </r>
  </si>
  <si>
    <t>MFP
State
Share
Allocation</t>
  </si>
  <si>
    <r>
      <t xml:space="preserve">Total
MFP
State
Share
Allocation 
</t>
    </r>
    <r>
      <rPr>
        <b/>
        <sz val="10"/>
        <color indexed="60"/>
        <rFont val="Arial"/>
        <family val="2"/>
      </rPr>
      <t>plus</t>
    </r>
    <r>
      <rPr>
        <b/>
        <sz val="10"/>
        <color indexed="18"/>
        <rFont val="Arial"/>
        <family val="2"/>
      </rPr>
      <t xml:space="preserve">
Continuation 
of Pay Raises</t>
    </r>
  </si>
  <si>
    <t>Total
Local
Share
Allocation</t>
  </si>
  <si>
    <t xml:space="preserve">Total
State and
Local
Payment
</t>
  </si>
  <si>
    <t xml:space="preserve">Total
State and
Local
Monthly 
Payment
</t>
  </si>
  <si>
    <t>State
Share
Allocation</t>
  </si>
  <si>
    <t>Total
State Share Allocation
+ Prior Year
Pay Raises</t>
  </si>
  <si>
    <t>Total
State Share Allocation
+ Prior Year
Pay Raises
- Admin Fee</t>
  </si>
  <si>
    <t>Total 
State 
Share
Allocation 
minus Admin.
Fee 
+/- Audit
Adjustments</t>
  </si>
  <si>
    <t xml:space="preserve">State
Share
Monthly
Payment
</t>
  </si>
  <si>
    <t>Local 
Share 
Allocation</t>
  </si>
  <si>
    <t>Total 
Local
Share
Allocation 
minus Admin.
Fee 
+/- Audit
Adjustments</t>
  </si>
  <si>
    <t xml:space="preserve">Local 
Share
Monthly
Payment
</t>
  </si>
  <si>
    <t xml:space="preserve">Total 
State 
and 
Local
Share Payment
</t>
  </si>
  <si>
    <t>Total
State
Share
Monthly
Payment</t>
  </si>
  <si>
    <t>Total
Local
Share
Monthly
Payment</t>
  </si>
  <si>
    <t>State
Share
Monthly
Payment</t>
  </si>
  <si>
    <t>Local
Share
Monthly
Payment</t>
  </si>
  <si>
    <t>Total 
State 
Share
Allocation 
Plus
Continuation
of 
Prior Year
Pay
Raises</t>
  </si>
  <si>
    <t>Total 
State 
Share
Allocation 
minus Admin.
Fee</t>
  </si>
  <si>
    <t>Total
Local 
Share
Allocation
minus
Local 
Admin Fee</t>
  </si>
  <si>
    <t xml:space="preserve">Total
State and
Local
Share
Payment
</t>
  </si>
  <si>
    <t xml:space="preserve">Total
State and
Local
Share
Monthly 
Payment
</t>
  </si>
  <si>
    <t>State
Share
Monthly 
Payment</t>
  </si>
  <si>
    <t>Total 
Local
Share
Allocation 
+/- Audit
Adjustments</t>
  </si>
  <si>
    <t>MFP  
State
Share
Allocation</t>
  </si>
  <si>
    <t xml:space="preserve">Monthly Payment </t>
  </si>
  <si>
    <t>Total MFP State Share
Allocation Plus 
Continuation of 
Prior Year
Pay 
Raises</t>
  </si>
  <si>
    <t>Total
FY2012-13
MFP State Share 
Allocation 
Plus Continuation of Pay Raises 
Minus Audit Adjustments</t>
  </si>
  <si>
    <r>
      <t xml:space="preserve">Total Audit 
Adjustments
</t>
    </r>
    <r>
      <rPr>
        <sz val="10"/>
        <color indexed="18"/>
        <rFont val="Arial"/>
        <family val="2"/>
      </rPr>
      <t>(For City/Parish LEAs only)</t>
    </r>
  </si>
  <si>
    <t>State Share
Allocation 
for OJJ
Secure Care
Students</t>
  </si>
  <si>
    <t>Local Share 
Allocation
 for OJJ 
Secure Care
Students</t>
  </si>
  <si>
    <t>Total State and Local Share
Allocation
 for OJJ 
Secure
Care
Students</t>
  </si>
  <si>
    <t>This Table provides the State's funding to the RSD.  The RSD distributes funds to the Type 5 Charter Schools in Orleans Parish using the RSD's Differentiated Funding Formula for Special Education Students.  Refer to correspondence from the RSD for individual school allocations.</t>
  </si>
  <si>
    <t xml:space="preserve">Total 
State Share
Allocation
</t>
  </si>
  <si>
    <t>Total State Share 
Allocation</t>
  </si>
  <si>
    <r>
      <t xml:space="preserve">Local Share Allocation due monthly
 to the
Office of
Juvenile
Justice
</t>
    </r>
    <r>
      <rPr>
        <sz val="10"/>
        <color indexed="18"/>
        <rFont val="Arial"/>
        <family val="2"/>
      </rPr>
      <t>(Table 5E
column 16)</t>
    </r>
  </si>
  <si>
    <r>
      <t xml:space="preserve">Educators for Quality Alternatives 
(The NET Charter School)
</t>
    </r>
    <r>
      <rPr>
        <sz val="10"/>
        <color rgb="FFFF0000"/>
        <rFont val="Futura Lt BT"/>
        <family val="2"/>
      </rPr>
      <t>Not in a district Building</t>
    </r>
  </si>
  <si>
    <t>City/Parish Totals</t>
  </si>
  <si>
    <t>International School of LA</t>
  </si>
  <si>
    <t>Lycee Francais de la N.O.</t>
  </si>
  <si>
    <t>Type 2 Charter Totals</t>
  </si>
  <si>
    <t>GRAND TOTAL STATE</t>
  </si>
  <si>
    <t>Number of 
First Year
Foreign Associate
Teachers in
FY2012-13</t>
  </si>
  <si>
    <t>Number of 
Second and 
Third Year
Foreign Associate
Teachers in
FY2012-13</t>
  </si>
  <si>
    <r>
      <t xml:space="preserve">Local Share Allocation
due to
RSD LA
</t>
    </r>
    <r>
      <rPr>
        <sz val="10"/>
        <color indexed="18"/>
        <rFont val="Arial"/>
        <family val="2"/>
      </rPr>
      <t>(Table 5B-2
column 34)</t>
    </r>
  </si>
  <si>
    <r>
      <t xml:space="preserve">Local Share Allocation 
due to
Madison 
Prep
(CSAL)
</t>
    </r>
    <r>
      <rPr>
        <sz val="10"/>
        <color indexed="18"/>
        <rFont val="Arial"/>
        <family val="2"/>
      </rPr>
      <t>(Table 5C1-A,
column 30)</t>
    </r>
  </si>
  <si>
    <r>
      <t xml:space="preserve">Local Share Allocation 
due to
D'Arbonne
Woods
</t>
    </r>
    <r>
      <rPr>
        <sz val="10"/>
        <color indexed="18"/>
        <rFont val="Arial"/>
        <family val="2"/>
      </rPr>
      <t>(Table 5C1-B,
column 30)</t>
    </r>
  </si>
  <si>
    <r>
      <t xml:space="preserve">Local Share Allocation
due to
Int'l H. S.
(VIBE)
</t>
    </r>
    <r>
      <rPr>
        <sz val="10"/>
        <color indexed="18"/>
        <rFont val="Arial"/>
        <family val="2"/>
      </rPr>
      <t>(Table 5C1-C,
column 30)</t>
    </r>
  </si>
  <si>
    <r>
      <t xml:space="preserve">Local Share Allocation 
due to
N.O.
Military/
Maritime
</t>
    </r>
    <r>
      <rPr>
        <sz val="10"/>
        <color indexed="18"/>
        <rFont val="Arial"/>
        <family val="2"/>
      </rPr>
      <t>(Table 5C1-D,
column 30)</t>
    </r>
  </si>
  <si>
    <r>
      <t xml:space="preserve">Local Share Allocation
due to
Lycee
Francais
</t>
    </r>
    <r>
      <rPr>
        <sz val="10"/>
        <color indexed="18"/>
        <rFont val="Arial"/>
        <family val="2"/>
      </rPr>
      <t>(Table 5C1-E,
column 30)</t>
    </r>
  </si>
  <si>
    <r>
      <t xml:space="preserve">Local Share Allocation
due to
Lake Charles Academy
</t>
    </r>
    <r>
      <rPr>
        <sz val="10"/>
        <color indexed="18"/>
        <rFont val="Arial"/>
        <family val="2"/>
      </rPr>
      <t>(Table 5C1-F,
column 30)</t>
    </r>
  </si>
  <si>
    <r>
      <t xml:space="preserve">Local Share Allocation
due to
J. S. Clark
Leadership
Academy
</t>
    </r>
    <r>
      <rPr>
        <sz val="10"/>
        <color indexed="18"/>
        <rFont val="Arial"/>
        <family val="2"/>
      </rPr>
      <t>(Table 5C1-G,
column 30)</t>
    </r>
  </si>
  <si>
    <r>
      <t xml:space="preserve">Local Share Allocation
due to
Southwest
LA
Charter
</t>
    </r>
    <r>
      <rPr>
        <sz val="10"/>
        <color indexed="18"/>
        <rFont val="Arial"/>
        <family val="2"/>
      </rPr>
      <t>(Table 5C1-H,
column 30)</t>
    </r>
  </si>
  <si>
    <r>
      <t xml:space="preserve">Local Share Allocation
due to
LAVCA
</t>
    </r>
    <r>
      <rPr>
        <sz val="10"/>
        <color indexed="18"/>
        <rFont val="Arial"/>
        <family val="2"/>
      </rPr>
      <t>(Table 5C-2,
column 31)</t>
    </r>
  </si>
  <si>
    <r>
      <t xml:space="preserve">Local Share Allocation
due to
LA 
Connections
</t>
    </r>
    <r>
      <rPr>
        <sz val="10"/>
        <color indexed="18"/>
        <rFont val="Arial"/>
        <family val="2"/>
      </rPr>
      <t>(Table 5C-3,
column 31)</t>
    </r>
  </si>
  <si>
    <t>Local Share Allocation
due to
Int'l H. S.
(VIBE)
(Table 5C-1,
col 23 + col 26)</t>
  </si>
  <si>
    <t>Local Share Allocation
due to
N.O.
Military/
Maritime
(Table 5C-1,
col 23 + col 26)</t>
  </si>
  <si>
    <t>Local Share Allocation
due to
Lycee
Francais
(Table 5C-1,
col 23 + col 26)</t>
  </si>
  <si>
    <t>Local Share Allocation
due to
Lake 
Charles Academy
(Table 5C-1,
col 23 + col 26)</t>
  </si>
  <si>
    <t>Local Share Allocation
due to
J. S. Clark
Leader-
ship
Academy
(Table 5C-1,
col 23 + col 26)</t>
  </si>
  <si>
    <t>Local Share Allocation
due to
Southwest
LA
Charter
(Table 5C-1,
col 23 + col 26)</t>
  </si>
  <si>
    <t>Local Share Allocation
due to
LAVCA
(Table 5C-2,
col 25 + col 28)</t>
  </si>
  <si>
    <t>Local Share Allocation
due to
LA 
Connections
(Table 5C-3,
col 25 + col 28)</t>
  </si>
  <si>
    <t>Local Share Allocation
due to
D'Arbonne
Woods
(Table 5C-1,
col 23 + col 26)</t>
  </si>
  <si>
    <t xml:space="preserve">FY2012-13
Foreign 
Language 
Assoc. 
Teacher 
Stipends
</t>
  </si>
  <si>
    <t>6. Student Scholarships for Educational Excellence (SSEEP)</t>
  </si>
  <si>
    <t>Student Scholarships for Educational Excellence (SSEEP)</t>
  </si>
  <si>
    <t>Student Scholarships (SSEEP) (Projected Refund)</t>
  </si>
  <si>
    <t>Local Share Allocation
due to
Office of
Juvenile
Justice
(Table 5E
column 15)</t>
  </si>
  <si>
    <t>Local Share Allocation
due to
RSD 
Orleans
(RSD Orleans Allocation, 
col 26 +
col 31)</t>
  </si>
  <si>
    <t>Collegiate Academies
(G.W. Carver Collegiate Academy)</t>
  </si>
  <si>
    <t>Collegiate Academies
(G.W. Preparatory Academy)</t>
  </si>
  <si>
    <t>Collegiate Academies
(Sci Academy)</t>
  </si>
  <si>
    <t>FY2012-13
Total MFP
Distribution 
+/- Adjustments
- State Share Allocation to other LEAs
+ Stipends
+Rewards</t>
  </si>
  <si>
    <t>col 26 + col 27</t>
  </si>
  <si>
    <t>col 28 - col 29</t>
  </si>
  <si>
    <t>Mid-Year Adjustment for Students</t>
  </si>
  <si>
    <t>Total
Mid-Year
Adjustments
for Students</t>
  </si>
  <si>
    <t>October 2012
Mid-Year
Adjustment 
for Students</t>
  </si>
  <si>
    <t>February 2013
Mid-Year
Adjustments
for Students</t>
  </si>
  <si>
    <r>
      <t xml:space="preserve">Total
MFP
State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Contin. 
of Pay Raises
+/-
Mid-Year Adjustment for Students
</t>
    </r>
    <r>
      <rPr>
        <b/>
        <sz val="10"/>
        <color indexed="60"/>
        <rFont val="Arial"/>
        <family val="2"/>
      </rPr>
      <t>-</t>
    </r>
    <r>
      <rPr>
        <b/>
        <sz val="10"/>
        <color indexed="18"/>
        <rFont val="Arial"/>
        <family val="2"/>
      </rPr>
      <t xml:space="preserve"> Admin Fee</t>
    </r>
  </si>
  <si>
    <r>
      <t xml:space="preserve">Mid-Year Adjustment for Students
</t>
    </r>
    <r>
      <rPr>
        <sz val="12"/>
        <color indexed="18"/>
        <rFont val="Arial"/>
        <family val="2"/>
      </rPr>
      <t xml:space="preserve"> (Local Portion)</t>
    </r>
  </si>
  <si>
    <t xml:space="preserve">Total
Local
Mid-Year
Adjustment
for 
Students
</t>
  </si>
  <si>
    <r>
      <t xml:space="preserve">October 
2012
Mid-Year
Adjustment
Change in
Funded
Student 
Count
</t>
    </r>
    <r>
      <rPr>
        <sz val="10"/>
        <color indexed="18"/>
        <rFont val="Arial"/>
        <family val="2"/>
      </rPr>
      <t>(See Col. 3
of Oct. 
Midyear
Adj)</t>
    </r>
  </si>
  <si>
    <t>October
2012
Local
Mid-Year
Adjustment
for
Students</t>
  </si>
  <si>
    <r>
      <t xml:space="preserve">Feb. 2013
Mid-Year
Adjustment
Change in
Funded
Student 
Count
</t>
    </r>
    <r>
      <rPr>
        <sz val="10"/>
        <color indexed="18"/>
        <rFont val="Arial"/>
        <family val="2"/>
      </rPr>
      <t>(See Col. 3
of Feb.
Midyear
Adj)</t>
    </r>
  </si>
  <si>
    <r>
      <t xml:space="preserve">February
 2013
Local
Mid-Year
Adjustment
for 
Students
</t>
    </r>
    <r>
      <rPr>
        <sz val="10"/>
        <color indexed="18"/>
        <rFont val="Arial"/>
        <family val="2"/>
      </rPr>
      <t>(one-half
the 
per-pupil
amount)</t>
    </r>
  </si>
  <si>
    <t xml:space="preserve">Local Share 
Allocation 
Base Amount
+
Mid-Year Adjustment for Students
</t>
  </si>
  <si>
    <r>
      <t xml:space="preserve">Total
Local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Mid-Year Adjustment for Students
</t>
    </r>
    <r>
      <rPr>
        <b/>
        <sz val="10"/>
        <color indexed="60"/>
        <rFont val="Arial"/>
        <family val="2"/>
      </rPr>
      <t>-</t>
    </r>
    <r>
      <rPr>
        <b/>
        <sz val="10"/>
        <color indexed="18"/>
        <rFont val="Arial"/>
        <family val="2"/>
      </rPr>
      <t xml:space="preserve"> Admin Fee</t>
    </r>
  </si>
  <si>
    <r>
      <t xml:space="preserve">Total 
Local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Mid-Year Adjustment for Students
</t>
    </r>
    <r>
      <rPr>
        <b/>
        <sz val="10"/>
        <color indexed="60"/>
        <rFont val="Arial"/>
        <family val="2"/>
      </rPr>
      <t xml:space="preserve"> +/-</t>
    </r>
    <r>
      <rPr>
        <b/>
        <sz val="10"/>
        <color indexed="18"/>
        <rFont val="Arial"/>
        <family val="2"/>
      </rPr>
      <t xml:space="preserve"> Audit  Adjustments</t>
    </r>
  </si>
  <si>
    <r>
      <t xml:space="preserve">Total 
MFP
State
Share
Allocation 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Continuation
of Pay Raises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 xml:space="preserve">Admin Fees
+/- Mid-Year Adjustment for Students
</t>
    </r>
    <r>
      <rPr>
        <b/>
        <sz val="10"/>
        <color indexed="60"/>
        <rFont val="Arial"/>
        <family val="2"/>
      </rPr>
      <t xml:space="preserve"> +/-</t>
    </r>
    <r>
      <rPr>
        <b/>
        <sz val="10"/>
        <color indexed="18"/>
        <rFont val="Arial"/>
        <family val="2"/>
      </rPr>
      <t xml:space="preserve"> Audit  Adjustments</t>
    </r>
  </si>
  <si>
    <r>
      <t xml:space="preserve">Total
State Share
Allocation 
</t>
    </r>
    <r>
      <rPr>
        <b/>
        <sz val="10"/>
        <color indexed="2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Continuation 
of Pay Raises
</t>
    </r>
    <r>
      <rPr>
        <b/>
        <sz val="10"/>
        <color indexed="20"/>
        <rFont val="Arial"/>
        <family val="2"/>
      </rPr>
      <t xml:space="preserve">+/- </t>
    </r>
    <r>
      <rPr>
        <b/>
        <sz val="10"/>
        <color indexed="18"/>
        <rFont val="Arial"/>
        <family val="2"/>
      </rPr>
      <t>Midyear
Adjustments
for Students</t>
    </r>
  </si>
  <si>
    <t>Total
State Share Allocation
+ Prior Year
Pay Raises
+/- Mid-Year Adjustment for Students
- Admin Fee</t>
  </si>
  <si>
    <r>
      <t xml:space="preserve">Total
State Share
Allocation 
</t>
    </r>
    <r>
      <rPr>
        <b/>
        <sz val="10"/>
        <color indexed="2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Continuation 
of Pay Raises
</t>
    </r>
    <r>
      <rPr>
        <b/>
        <sz val="10"/>
        <color indexed="20"/>
        <rFont val="Arial"/>
        <family val="2"/>
      </rPr>
      <t xml:space="preserve">+/- </t>
    </r>
    <r>
      <rPr>
        <b/>
        <sz val="10"/>
        <color indexed="18"/>
        <rFont val="Arial"/>
        <family val="2"/>
      </rPr>
      <t>Mid-Year
Adjustments
for Students</t>
    </r>
  </si>
  <si>
    <t>February 2013
Mid-Year
Adjustment
for Students</t>
  </si>
  <si>
    <t>Total
Mid-Year
Adjustment
for Students</t>
  </si>
  <si>
    <t>Total
Mid-Year
Adjustment
for
Students</t>
  </si>
  <si>
    <t>October 2012
Midyear
Adjustment
for
Students</t>
  </si>
  <si>
    <t>February 2013
Midyear
Adjustment
for
Students</t>
  </si>
  <si>
    <t xml:space="preserve">Total 
State Share
Allocation
+/- Midyear Adjustments for Students
</t>
  </si>
  <si>
    <t>col 1 X
col 14</t>
  </si>
  <si>
    <t>col 13 +
 col 15</t>
  </si>
  <si>
    <t>col 11 +
 col 16</t>
  </si>
  <si>
    <t>col 6 + col 9</t>
  </si>
  <si>
    <t xml:space="preserve">
Local
Monthly Share
Payments
</t>
  </si>
  <si>
    <t xml:space="preserve">
Local
Share Monthly
Payments
</t>
  </si>
  <si>
    <t>October 
2012
Mid-Year
Adjustment
Change in
Funded
Student 
Count
(See Col. 3
of Oct. 
Midyear
Adj)</t>
  </si>
  <si>
    <t>February 2013
Mid-Year
Adjustment
Change in
Funded
Student 
Count
(See Col. 3
of Feb. 
Midyear
Adj)</t>
  </si>
  <si>
    <t>February
 2013
Local
Mid-Year
Adjustment
for 
Students
(one-half
the 
per-pupil
amount)</t>
  </si>
  <si>
    <t>col 1   X 
col 19</t>
  </si>
  <si>
    <t>col 20 + col 25</t>
  </si>
  <si>
    <t>State Share
Allocation 
for OJJ
Secure Care
Students +  Total Adjustment for Students</t>
  </si>
  <si>
    <t>col 1 X col 5</t>
  </si>
  <si>
    <r>
      <t xml:space="preserve">
ADM
for Youth  in Secure Care 
</t>
    </r>
    <r>
      <rPr>
        <sz val="10"/>
        <color indexed="18"/>
        <rFont val="Arial"/>
        <family val="2"/>
      </rPr>
      <t>(Preliminary 
11/12 
ADM Data)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</si>
  <si>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>Feb. 2013
Mid-Year
Adjustment
Change in
Funded
Student 
Count
(See Col. 3
of Feb.
Midyear
Adj)</t>
  </si>
  <si>
    <t>col 1 X
col 16</t>
  </si>
  <si>
    <t>col 18 * col 16</t>
  </si>
  <si>
    <t>col 20 * col 16</t>
  </si>
  <si>
    <t>col 19 + col 21</t>
  </si>
  <si>
    <t>col 17 + col 22</t>
  </si>
  <si>
    <t>col 23 - col 24</t>
  </si>
  <si>
    <t>col 10 + col 11</t>
  </si>
  <si>
    <t>col 16 * 
col 14</t>
  </si>
  <si>
    <t>col 18 * 
col 14</t>
  </si>
  <si>
    <t>col 20 + 
col 15</t>
  </si>
  <si>
    <t>col 17 + 
col 19</t>
  </si>
  <si>
    <t>col 21 - col 22</t>
  </si>
  <si>
    <t>col 10 +
 col 21</t>
  </si>
  <si>
    <t>col 13 +
 col 24</t>
  </si>
  <si>
    <t>col 10 - col 11</t>
  </si>
  <si>
    <t>col 5 + col 9</t>
  </si>
  <si>
    <t>col 12 - col 13</t>
  </si>
  <si>
    <t>col 1 + col 17</t>
  </si>
  <si>
    <t>col 16 ÷
col 18</t>
  </si>
  <si>
    <t>col 19 * 21</t>
  </si>
  <si>
    <t>col 19 * 
col 23</t>
  </si>
  <si>
    <t>col 22 + 
col 24</t>
  </si>
  <si>
    <t>col 15 +
col 31</t>
  </si>
  <si>
    <t>March 2013:</t>
  </si>
  <si>
    <t>Paid in July</t>
  </si>
  <si>
    <t>EBR</t>
  </si>
  <si>
    <t>RSD</t>
  </si>
  <si>
    <t>DOE</t>
  </si>
  <si>
    <t>Total RSD</t>
  </si>
  <si>
    <t>Total DOE</t>
  </si>
  <si>
    <t>N.A</t>
  </si>
  <si>
    <t>Balance due:</t>
  </si>
  <si>
    <t>Admin fee March</t>
  </si>
  <si>
    <t xml:space="preserve">Amount
paid
July
</t>
  </si>
  <si>
    <t>Balance due</t>
  </si>
  <si>
    <r>
      <rPr>
        <b/>
        <sz val="16"/>
        <color rgb="FFFF0000"/>
        <rFont val="Futura Lt BT"/>
        <family val="2"/>
      </rPr>
      <t>JULY</t>
    </r>
    <r>
      <rPr>
        <sz val="10"/>
        <rFont val="Futura Lt BT"/>
        <family val="2"/>
      </rPr>
      <t xml:space="preserve">
Local
Admin 
Fee to
Dept. of
Education
(.25%)</t>
    </r>
  </si>
  <si>
    <r>
      <rPr>
        <b/>
        <sz val="14"/>
        <color rgb="FFFF0000"/>
        <rFont val="Futura Lt BT"/>
        <family val="2"/>
      </rPr>
      <t>March</t>
    </r>
    <r>
      <rPr>
        <sz val="10"/>
        <rFont val="Futura Lt BT"/>
        <family val="2"/>
      </rPr>
      <t xml:space="preserve">
Local
Admin 
Fee to
Dept. of
Education
(.25%)</t>
    </r>
  </si>
  <si>
    <r>
      <t xml:space="preserve">Final
Local
Per Pupil
</t>
    </r>
    <r>
      <rPr>
        <sz val="10"/>
        <color indexed="18"/>
        <rFont val="Arial"/>
        <family val="2"/>
      </rPr>
      <t>(Final
per pupil 
amount)</t>
    </r>
  </si>
  <si>
    <r>
      <t xml:space="preserve">Final
Local
Per Pupil
</t>
    </r>
    <r>
      <rPr>
        <sz val="10"/>
        <color indexed="18"/>
        <rFont val="Arial"/>
        <family val="2"/>
      </rPr>
      <t>(per charter law)</t>
    </r>
  </si>
  <si>
    <r>
      <t xml:space="preserve">Final
Local
Per Pupil
</t>
    </r>
    <r>
      <rPr>
        <sz val="10"/>
        <color indexed="18"/>
        <rFont val="Arial"/>
        <family val="2"/>
      </rPr>
      <t>(per charter law)
(in a district bldg)</t>
    </r>
  </si>
  <si>
    <r>
      <t xml:space="preserve">
Final
Local 
Per Pupil 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Calcul-ation)</t>
    </r>
  </si>
  <si>
    <t>Final
Local 
Per Pupil 
(90%)
(per Calcul-ation)</t>
  </si>
  <si>
    <t>Total
Local Share Allocation
+ 
Mid-Year
Adjustments
for Students</t>
  </si>
  <si>
    <t>Total
State Share Allocation
+ Prior Year
Pay Raises
+ Mid-Year
Adjustments
for Students</t>
  </si>
  <si>
    <t xml:space="preserve">
Feb. 1, 2012
MFP Funded
Enrollment
(Per SIS)
</t>
  </si>
  <si>
    <t>Paid in July:</t>
  </si>
  <si>
    <t>March admin fee:</t>
  </si>
  <si>
    <t>March:</t>
  </si>
  <si>
    <t>July:</t>
  </si>
  <si>
    <t>Due:</t>
  </si>
  <si>
    <r>
      <t xml:space="preserve">Feb. 1, 2012
MFP 
Funded
Member-
ship
</t>
    </r>
    <r>
      <rPr>
        <b/>
        <sz val="8"/>
        <color indexed="18"/>
        <rFont val="Futura Lt BT"/>
        <family val="2"/>
      </rPr>
      <t>(Per SIS)*</t>
    </r>
  </si>
  <si>
    <t>New Beginnings, UNO 
(Capdau without Early College H.S.)</t>
  </si>
  <si>
    <t>New Beginnings, UNO 
(Medard Nelson)</t>
  </si>
  <si>
    <t>New Beginnings, UNO
(Thurgood Marshall Early College HS)</t>
  </si>
  <si>
    <t>New Beginnings, UNO
Gentilly Terrace Charter School</t>
  </si>
  <si>
    <t>Spirit of Excellence Academy
(Spirit of Exc. Academy)(Harney)</t>
  </si>
  <si>
    <t>Morris Jeff. Community Sch, Inc.
(Morris Jeff. Community School)</t>
  </si>
  <si>
    <t>ReNew Schools
(Live Oak Elementary)</t>
  </si>
  <si>
    <t>ReNew Schools
(Laurel Elementary)</t>
  </si>
  <si>
    <t>Arise Academy
(Arise Academy)</t>
  </si>
  <si>
    <t>Benjamin E. Mays Schools
(Benjamin Mays Prep)</t>
  </si>
  <si>
    <t>Pride College Prep Academy
(Pride College Prep)</t>
  </si>
  <si>
    <t>Advocates for Arts and Tech.
(Crocker Arts)</t>
  </si>
  <si>
    <t>Intercultural Charter School Brd.
(Intercultural Charter)</t>
  </si>
  <si>
    <t>Miller-McCoy Academy
(Miller-McCoy Academy)</t>
  </si>
  <si>
    <t>N.O. College Prep Academies
(N. O. College Prep /S. Williams)</t>
  </si>
  <si>
    <t>Broadmoor Charter
 (Andrew H. Wilson/Mc #7)</t>
  </si>
  <si>
    <t>Friends of King 
(Martin Luther King Elem.)</t>
  </si>
  <si>
    <t>New Orleans Charter School Fdtn.
 (Mc #28 City Park)</t>
  </si>
  <si>
    <t>Choice Foundation
(Lafayette Academy)</t>
  </si>
  <si>
    <t>Choice Foundation 
(Esperanza/Crossman)</t>
  </si>
  <si>
    <t>Choice Foundation (Takeover)
 (McDonogh #42)</t>
  </si>
  <si>
    <t>Algiers Charter School Assoc. 
(Martin Behrman)</t>
  </si>
  <si>
    <t>Algiers Charter School Assoc. 
(Dwight D. Eisenhower)</t>
  </si>
  <si>
    <t>Algiers Charter School Assoc. 
(William J. Fischer)</t>
  </si>
  <si>
    <t>Algiers Charter School Assoc.
 (McDonogh #32)</t>
  </si>
  <si>
    <t>Algiers Charter School Assoc.
(O. P. Walker Sr. High)</t>
  </si>
  <si>
    <t>Algiers Charter School Assoc. 
(ACSA Tech High at Rosenwald)</t>
  </si>
  <si>
    <t>Instititute of Academic Excellence,
SUNO  (Sophie B. Wright)</t>
  </si>
  <si>
    <t>KIPP New Orleans
(Edward Phillips/Kipp Believe)</t>
  </si>
  <si>
    <t>KIPP New Orleans
(McDonogh #15)</t>
  </si>
  <si>
    <t>KIPP New Orleans
(KIPP Central City Academy)</t>
  </si>
  <si>
    <t>KIPP New Orleans, Inc.
(Kipp Central City Primary)</t>
  </si>
  <si>
    <t>KIPP New Orleans, Inc.
(Kipp Renaissance High School)</t>
  </si>
  <si>
    <t>KIPP New Orleans, Inc.
Kipp N. O. Leadership Academy)</t>
  </si>
  <si>
    <t>Firstline Schools, Inc.
(N. O. Charter Middle at Ashe)</t>
  </si>
  <si>
    <t>Firstline Schools, Inc.
(Dibert School)</t>
  </si>
  <si>
    <t>Firstline Schools, Inc.
(Langston Hughes Academy)</t>
  </si>
  <si>
    <r>
      <t xml:space="preserve">OPSB
</t>
    </r>
    <r>
      <rPr>
        <sz val="10"/>
        <rFont val="Futura Lt BT"/>
        <family val="2"/>
      </rPr>
      <t xml:space="preserve">Orleans Parish </t>
    </r>
  </si>
  <si>
    <r>
      <t xml:space="preserve">Crescent Leadership Academy
(Crescent Leadership Acad./Schwarz)
</t>
    </r>
    <r>
      <rPr>
        <sz val="10"/>
        <color rgb="FFFF0000"/>
        <rFont val="Futura Lt BT"/>
        <family val="2"/>
      </rPr>
      <t>Not in a District Building</t>
    </r>
  </si>
  <si>
    <r>
      <t xml:space="preserve">Lagniappe Academies, Inc.
(Lagniappe Academies)
</t>
    </r>
    <r>
      <rPr>
        <sz val="10"/>
        <color rgb="FFFF0000"/>
        <rFont val="Futura Lt BT"/>
        <family val="2"/>
      </rPr>
      <t>Not in a District Building</t>
    </r>
  </si>
  <si>
    <r>
      <t xml:space="preserve">Dryades YMCA
(James M. Singleton Charter Middle)
</t>
    </r>
    <r>
      <rPr>
        <sz val="10"/>
        <color rgb="FFFF0000"/>
        <rFont val="Futura Lt BT"/>
        <family val="2"/>
      </rPr>
      <t>Not in a District Building</t>
    </r>
  </si>
  <si>
    <r>
      <t xml:space="preserve">KIPP New Orleans, Inc.
(Kipp Central City Primary)
</t>
    </r>
    <r>
      <rPr>
        <sz val="10"/>
        <color rgb="FFFF0000"/>
        <rFont val="Futura Lt BT"/>
        <family val="2"/>
      </rPr>
      <t>K-1 not in a District Building</t>
    </r>
  </si>
  <si>
    <r>
      <t xml:space="preserve">
Total MFP
Distribution 
Amount minus 
Audit Adjustments and State Share Allocation
</t>
    </r>
    <r>
      <rPr>
        <sz val="10"/>
        <color indexed="18"/>
        <rFont val="Arial"/>
        <family val="2"/>
      </rPr>
      <t xml:space="preserve">
(Table 2, col. 36)</t>
    </r>
  </si>
  <si>
    <t>Local Share Allocation
due to
RSD LA
(Table 5B-2
col 24 + col 29)</t>
  </si>
  <si>
    <t>Local Share Allocation 
due to
Madison 
Prep
(CSAL)
(Table 5C-1,
col 27 + col 30)</t>
  </si>
  <si>
    <t>7.a</t>
  </si>
  <si>
    <t>2. Non Legacy Type 2 Charters</t>
  </si>
  <si>
    <t>Balance 
Due
April 2013
through
June 2013</t>
  </si>
  <si>
    <r>
      <t xml:space="preserve">
 Local Share Allocation 
due to
RSD 
Orleans
</t>
    </r>
    <r>
      <rPr>
        <sz val="10"/>
        <color indexed="18"/>
        <rFont val="Arial"/>
        <family val="2"/>
      </rPr>
      <t>(RSD Orleans Allocation,
column 48)</t>
    </r>
  </si>
  <si>
    <t>Funded at State Avg</t>
  </si>
  <si>
    <t>Paid 100% by State</t>
  </si>
  <si>
    <t>YTD
State
Payments
through
April 2013</t>
  </si>
  <si>
    <t>YTD
Local
Payments
through
April 2013</t>
  </si>
  <si>
    <t>Mid-Year Adjustment for Students (Local Portion)</t>
  </si>
  <si>
    <t>Administrative Fee</t>
  </si>
  <si>
    <t>Local Audit Adjustments</t>
  </si>
  <si>
    <r>
      <t xml:space="preserve">Final
Local Share 
Allocation 
Base Amount
</t>
    </r>
    <r>
      <rPr>
        <sz val="10"/>
        <color indexed="18"/>
        <rFont val="Arial"/>
        <family val="2"/>
      </rPr>
      <t>(In a District Building)</t>
    </r>
  </si>
  <si>
    <r>
      <t xml:space="preserve">Final
Local Share 
Allocation 
Base Amount
</t>
    </r>
    <r>
      <rPr>
        <sz val="10"/>
        <color indexed="18"/>
        <rFont val="Arial"/>
        <family val="2"/>
      </rPr>
      <t>(Not In a District Building)</t>
    </r>
  </si>
  <si>
    <t>October 1
Change
in
Funded
Student
Count</t>
  </si>
  <si>
    <t>October 1
Mid-year
Adjustment
(Local Portion)</t>
  </si>
  <si>
    <t>February 1
Change
in 
Funded
Count</t>
  </si>
  <si>
    <r>
      <t xml:space="preserve">February 1
Mid-Year
Allocation
</t>
    </r>
    <r>
      <rPr>
        <sz val="10"/>
        <color indexed="18"/>
        <rFont val="Arial"/>
        <family val="2"/>
      </rPr>
      <t>(one-half
the
per-pupil
amount)</t>
    </r>
  </si>
  <si>
    <t xml:space="preserve">Local Share 
Allocation 
Base Amount
+/-
Mid-Year
Adjustment
for Students
</t>
  </si>
  <si>
    <t>Admin.
Fee to 
RSD</t>
  </si>
  <si>
    <t>Admin.
Fee to 
LDOE</t>
  </si>
  <si>
    <t>Total 
Admin. 
Fee</t>
  </si>
  <si>
    <t>Local Share 
Allocation 
Base Amount
+/-
Mid-Year 
Adjustment
for Students
+/-
Admin. Fee</t>
  </si>
  <si>
    <t>Audit Adjs.
FY2011-12
MFP 
(also includes 
2/1 midyear
 from 
FY2010-11)</t>
  </si>
  <si>
    <t>Local Share 
Allocation 
Base Amount
+/-
Mid-Year
Adjustment
for Students
+/-
Admin. Fee
+/-
Local Audit 
Adjustments</t>
  </si>
  <si>
    <r>
      <t xml:space="preserve">Feb. 1, 2012
MFP Funded
Membership
(Per SIS)
</t>
    </r>
    <r>
      <rPr>
        <sz val="8"/>
        <color indexed="18"/>
        <rFont val="Arial"/>
        <family val="2"/>
      </rPr>
      <t>(Includes  Recovery 
School District,
Type 5 Charters,
and Non-Legacy
 Type 2 Charters
 (Not 1st Year)</t>
    </r>
  </si>
  <si>
    <t>SEE BOTTOM OF PAGE FOR OPTION A</t>
  </si>
  <si>
    <t xml:space="preserve">Table 5D:  FYFY2012-13 MFP Budget Letter </t>
  </si>
  <si>
    <t>Charter Schools</t>
  </si>
  <si>
    <r>
      <t xml:space="preserve">Feb. 1, 2012
MFP
Student 
Count 
</t>
    </r>
    <r>
      <rPr>
        <sz val="10"/>
        <color indexed="18"/>
        <rFont val="Arial"/>
        <family val="2"/>
      </rPr>
      <t>(per SIS)</t>
    </r>
  </si>
  <si>
    <r>
      <t xml:space="preserve">FY2012-13
State &amp; Local 
Per Pupil 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Local per final per pupil for 12/13</t>
    </r>
  </si>
  <si>
    <t>Total 
Base
Allocation</t>
  </si>
  <si>
    <t>Continuation of 
Prior Year Pay Raises</t>
  </si>
  <si>
    <r>
      <t xml:space="preserve">Total 
Base
Allocation
</t>
    </r>
    <r>
      <rPr>
        <b/>
        <sz val="10"/>
        <color indexed="60"/>
        <rFont val="Arial"/>
        <family val="2"/>
      </rPr>
      <t>+</t>
    </r>
    <r>
      <rPr>
        <b/>
        <sz val="10"/>
        <color indexed="18"/>
        <rFont val="Arial"/>
        <family val="2"/>
      </rPr>
      <t xml:space="preserve">
Continuation 
of 
Pay Raises</t>
    </r>
  </si>
  <si>
    <r>
      <t xml:space="preserve">Total 
Base
Allocation
</t>
    </r>
    <r>
      <rPr>
        <b/>
        <sz val="10"/>
        <color indexed="60"/>
        <rFont val="Arial"/>
        <family val="2"/>
      </rPr>
      <t>+</t>
    </r>
    <r>
      <rPr>
        <b/>
        <sz val="10"/>
        <color indexed="18"/>
        <rFont val="Arial"/>
        <family val="2"/>
      </rPr>
      <t xml:space="preserve">
Continuation 
of 
Pay Raises
+
Midyear
Adjustments</t>
    </r>
  </si>
  <si>
    <t>State
Admin
Fee
to
Dept. of
Education
(.25%)</t>
  </si>
  <si>
    <r>
      <t xml:space="preserve">Total 
Base
Allocation
</t>
    </r>
    <r>
      <rPr>
        <b/>
        <sz val="10"/>
        <color indexed="60"/>
        <rFont val="Arial"/>
        <family val="2"/>
      </rPr>
      <t>+</t>
    </r>
    <r>
      <rPr>
        <b/>
        <sz val="10"/>
        <color indexed="18"/>
        <rFont val="Arial"/>
        <family val="2"/>
      </rPr>
      <t xml:space="preserve">
Continuation 
of 
Pay Raises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>Admin Fee</t>
    </r>
  </si>
  <si>
    <t xml:space="preserve">FY2010-11
Audit
Adjust-
ments
</t>
  </si>
  <si>
    <r>
      <t xml:space="preserve">Stipends 
for
Foreign 
Associate
Teachers
</t>
    </r>
    <r>
      <rPr>
        <sz val="10"/>
        <rFont val="Arial"/>
        <family val="2"/>
      </rPr>
      <t>Update 
to
2011 in
August</t>
    </r>
  </si>
  <si>
    <r>
      <t xml:space="preserve">Total 
Allocation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Pay Raises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 xml:space="preserve">Admin. Fee
</t>
    </r>
    <r>
      <rPr>
        <b/>
        <sz val="10"/>
        <color indexed="60"/>
        <rFont val="Arial"/>
        <family val="2"/>
      </rPr>
      <t xml:space="preserve">+/- </t>
    </r>
    <r>
      <rPr>
        <b/>
        <sz val="10"/>
        <color indexed="18"/>
        <rFont val="Arial"/>
        <family val="2"/>
      </rPr>
      <t xml:space="preserve">Audit Adjustments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Foreign 
Associate
Stipends
</t>
    </r>
  </si>
  <si>
    <t>Balance Remaining</t>
  </si>
  <si>
    <t>Monthly
Amount
May and June 2013</t>
  </si>
  <si>
    <r>
      <t xml:space="preserve">Continuation 
of 
Prior Year 
Pay Raises 
</t>
    </r>
    <r>
      <rPr>
        <sz val="10"/>
        <color indexed="18"/>
        <rFont val="Arial"/>
        <family val="2"/>
      </rPr>
      <t>(FY2001-02
 through 
FY2008-09)</t>
    </r>
    <r>
      <rPr>
        <b/>
        <sz val="10"/>
        <color indexed="18"/>
        <rFont val="Arial"/>
        <family val="2"/>
      </rPr>
      <t xml:space="preserve">
Per Pupil
Amount</t>
    </r>
  </si>
  <si>
    <t>Continuation
of
Prior Year
Pay 
Raises</t>
  </si>
  <si>
    <t>Option A  
October 
Midyear
Adjustment</t>
  </si>
  <si>
    <t>Option A
February
Midyear
Adjustment</t>
  </si>
  <si>
    <t>Option A
Total 
Midyear 
Adjustment</t>
  </si>
  <si>
    <r>
      <t xml:space="preserve">New Vision Learning                                     
</t>
    </r>
    <r>
      <rPr>
        <sz val="12"/>
        <rFont val="Arial"/>
        <family val="2"/>
      </rPr>
      <t>City of Monroe 
(Not in a district bldg)</t>
    </r>
  </si>
  <si>
    <r>
      <t xml:space="preserve">Glencoe Charter School                                    
</t>
    </r>
    <r>
      <rPr>
        <sz val="12"/>
        <rFont val="Arial"/>
        <family val="2"/>
      </rPr>
      <t>St. Mary Parish 
(Not in a district bldg)</t>
    </r>
  </si>
  <si>
    <r>
      <t xml:space="preserve">International School of LA             
</t>
    </r>
    <r>
      <rPr>
        <sz val="12"/>
        <rFont val="Arial"/>
        <family val="2"/>
      </rPr>
      <t>Orleans Parish 
(In a district bldg.)</t>
    </r>
  </si>
  <si>
    <r>
      <t xml:space="preserve">Avoyelles Public Charter                   
</t>
    </r>
    <r>
      <rPr>
        <sz val="12"/>
        <rFont val="Arial"/>
        <family val="2"/>
      </rPr>
      <t>Avoyelles Parish 
(Not in a district bldg)</t>
    </r>
  </si>
  <si>
    <r>
      <t xml:space="preserve">Delhi Charter School                                    </t>
    </r>
    <r>
      <rPr>
        <sz val="12"/>
        <rFont val="Arial"/>
        <family val="2"/>
      </rPr>
      <t xml:space="preserve"> 
Richland Parish
(Not in a district bldg)</t>
    </r>
  </si>
  <si>
    <r>
      <t xml:space="preserve">Belle Chasse Academy                                 
</t>
    </r>
    <r>
      <rPr>
        <sz val="12"/>
        <rFont val="Arial"/>
        <family val="2"/>
      </rPr>
      <t>Plaquemines Parish
(Not in a district bldg)</t>
    </r>
  </si>
  <si>
    <r>
      <t xml:space="preserve">Milestone SABIS Academy
</t>
    </r>
    <r>
      <rPr>
        <sz val="12"/>
        <rFont val="Arial"/>
        <family val="2"/>
      </rPr>
      <t>Orleans Parish
(Not in a district bldg)</t>
    </r>
  </si>
  <si>
    <r>
      <t xml:space="preserve">Maxine Giardina 
</t>
    </r>
    <r>
      <rPr>
        <sz val="12"/>
        <rFont val="Arial"/>
        <family val="2"/>
      </rPr>
      <t>Lafourche Parish
(Not in a district bldg)</t>
    </r>
  </si>
  <si>
    <t>TOTAL TYPE 2 CHARTER
 SCHOOL ALLOCATION</t>
  </si>
  <si>
    <t>Department of Education
Administrative Fee</t>
  </si>
  <si>
    <t>Total</t>
  </si>
  <si>
    <t>FY2012-13
Budget Letter
March 2013</t>
  </si>
  <si>
    <r>
      <t xml:space="preserve">October Mid-Year Student Adjustment </t>
    </r>
    <r>
      <rPr>
        <sz val="11"/>
        <rFont val="Arial Narrow"/>
        <family val="2"/>
      </rPr>
      <t xml:space="preserve"> (Includes Legacy &amp; State Schools)</t>
    </r>
  </si>
  <si>
    <r>
      <t xml:space="preserve">February Mid-Year Student Adjustment </t>
    </r>
    <r>
      <rPr>
        <sz val="11"/>
        <rFont val="Arial Narrow"/>
        <family val="2"/>
      </rPr>
      <t xml:space="preserve"> (Includes Legacy &amp; State Schools)</t>
    </r>
  </si>
  <si>
    <r>
      <t xml:space="preserve">October 2012
Midyear
Adjustment
for Students
</t>
    </r>
    <r>
      <rPr>
        <sz val="10"/>
        <color indexed="18"/>
        <rFont val="Arial"/>
        <family val="2"/>
      </rPr>
      <t>(Includes  Recovery 
School District,
Type 5 Charters,
 Non- Legacy Type 2 Charters
 (Not 1st Year)</t>
    </r>
  </si>
  <si>
    <r>
      <t xml:space="preserve">February 2013
Midyear
Adjustment
for Students
</t>
    </r>
    <r>
      <rPr>
        <sz val="10"/>
        <color indexed="18"/>
        <rFont val="Arial"/>
        <family val="2"/>
      </rPr>
      <t>(Includes  Recovery 
School District,
Type 5 Charters,
 Non-Legacy
 Type 2 Charters
 (Not 1st Year)</t>
    </r>
  </si>
  <si>
    <r>
      <t xml:space="preserve">Total
Midyear
Adjustment
for Students
</t>
    </r>
    <r>
      <rPr>
        <sz val="10"/>
        <color indexed="18"/>
        <rFont val="Arial"/>
        <family val="2"/>
      </rPr>
      <t>(Includes  Recovery 
School District,
Type 5 Charters,
 Non-Legacy 
Type 2 Charters
 (Not 1st Year)</t>
    </r>
  </si>
  <si>
    <t>SSEEP Pay Raise Amount</t>
  </si>
  <si>
    <t>Add SSEEP for 2/1/12 to Orleans</t>
  </si>
  <si>
    <r>
      <t xml:space="preserve">Continuation 
of
 Prior Year 
Pay Raises *
</t>
    </r>
    <r>
      <rPr>
        <sz val="9"/>
        <color indexed="18"/>
        <rFont val="Arial"/>
        <family val="2"/>
      </rPr>
      <t>(Includes Type 5 Charters, 
RSD and Non-Legacy Type 2 Charters, Not 1st Year)</t>
    </r>
  </si>
  <si>
    <t>We left the 2,250 in for the 2/1/13 count because we backed out SSSEEP in the 10/1/13 count for all entities and there was no way to distinguish which ones that we backed out of the 10/1 count were not there in the 2/1/13 count for Orleans Parish.</t>
  </si>
  <si>
    <t>40.24/17.23</t>
  </si>
  <si>
    <t>Total Weighted Membership of Parish/City Schools, Type 5 Charters and Non-Legacy Type 2 Charters (Not 1st Year)</t>
  </si>
  <si>
    <t xml:space="preserve">    Parish/City Schools, Type 5 Charters and Non-Legacy Type 2 Charters (Not 1st Year)</t>
  </si>
  <si>
    <t>Total
State
Share
Allocations
for
Other
Entities</t>
  </si>
  <si>
    <t>YTD
Payments
Through
April 2013</t>
  </si>
  <si>
    <t>YTD 
Payments
Stipends</t>
  </si>
  <si>
    <t>YTD 
Payments
Rewards</t>
  </si>
  <si>
    <t>Total
YTD 
Payments</t>
  </si>
  <si>
    <t>21A</t>
  </si>
  <si>
    <t>21B</t>
  </si>
  <si>
    <t>21C</t>
  </si>
  <si>
    <t>Monthly
Payments
May 2013
and
June 2013</t>
  </si>
  <si>
    <r>
      <t xml:space="preserve">Monthly
Payments
Amount
May 2013
</t>
    </r>
    <r>
      <rPr>
        <sz val="10"/>
        <color indexed="18"/>
        <rFont val="Arial"/>
        <family val="2"/>
      </rPr>
      <t xml:space="preserve">
(Table 2, 
col. 23)</t>
    </r>
  </si>
  <si>
    <t>Balance 
Due
May 2013
through
June 2013</t>
  </si>
  <si>
    <t>YTD Payments
Thru
April 2013
+Stipends
+Rewards</t>
  </si>
  <si>
    <t>YTD
State
Payments
through
April 2013
+ Stipends
+Rewards</t>
  </si>
  <si>
    <t>YTD
Local
Payments
through
April  2013</t>
  </si>
  <si>
    <t>OJJ Rewards</t>
  </si>
  <si>
    <t>matches appropriation control spreadsheet</t>
  </si>
  <si>
    <t>col 14 ÷ 2</t>
  </si>
  <si>
    <t>col 12 +
 col 28</t>
  </si>
  <si>
    <t>col 30 ÷ 2</t>
  </si>
  <si>
    <t>May 2013:</t>
  </si>
  <si>
    <t>May admin:</t>
  </si>
  <si>
    <t>Admin fee May</t>
  </si>
  <si>
    <t>May admin fee:</t>
  </si>
  <si>
    <t>May:</t>
  </si>
  <si>
    <r>
      <rPr>
        <b/>
        <sz val="14"/>
        <color rgb="FFFF0000"/>
        <rFont val="Futura Lt BT"/>
        <family val="2"/>
      </rPr>
      <t>May</t>
    </r>
    <r>
      <rPr>
        <sz val="10"/>
        <rFont val="Futura Lt BT"/>
        <family val="2"/>
      </rPr>
      <t xml:space="preserve">
Local
Admin 
Fee to
Dept. of
Education
(.25%)</t>
    </r>
  </si>
  <si>
    <t>Stipends 
for
Foreign 
Associate
Teachers
Update 
to
2011 in
August</t>
  </si>
  <si>
    <t>Total 
State 
Share
Allocation 
minus Admin.
Fee 
+/- Audit
Adjustments
Plus Stipends</t>
  </si>
  <si>
    <t>col 12 / 2</t>
  </si>
  <si>
    <t>Includes $8454 for rewards</t>
  </si>
  <si>
    <t>col 25 / 2</t>
  </si>
  <si>
    <t>col 12/2</t>
  </si>
  <si>
    <t>col 23 / 2</t>
  </si>
  <si>
    <t>Admin fees</t>
  </si>
  <si>
    <t>May</t>
  </si>
  <si>
    <t>March</t>
  </si>
  <si>
    <t>Balance Due</t>
  </si>
  <si>
    <t>TABLE 1: STATE LEVEL COMPARISON (May 2013)</t>
  </si>
  <si>
    <t>Allocation for Lab Schools (May 2013)</t>
  </si>
  <si>
    <t>Allocation for Legacy Type 2 Charter Schools (May 2013)</t>
  </si>
  <si>
    <t>May ONLY:
Local
Admin Fee
Payable 
to RSD
(1.75%)
RSD LA
(Table 5B-2,
column 26)</t>
  </si>
  <si>
    <t>May ONLY:
Local
Admin Fee
Payable 
to DOE
(.25%)
RSD LA
(Table 5B-2,
column 27)</t>
  </si>
  <si>
    <t>May ONLY:
Local
Admin Fee
Payable 
to DOE
(.25%)
RSD Orleans
(RSD Orleans
Allocation,
column 28)</t>
  </si>
  <si>
    <t>May ONLY:
Local
Admin 
Fee
Payable 
to DOE
(.25%)
Madison 
Prep
(Table 5C1-A,
column 24)</t>
  </si>
  <si>
    <t>May ONLY:
Local
Admin Fee
Payable 
to DOE
(.25%)
D'Arbonne
Woods
(Table 5C1-B,
column 24)</t>
  </si>
  <si>
    <t>May ONLY:
Local
Admin 
Fee
Payable 
to DOE
(.25%)
Int'l H. S.
(Table 5C1-C,
column 24</t>
  </si>
  <si>
    <t>May ONLY:
Local
Admin 
Fee
Payable 
to DOE
(.25%)
N.O.
Military
(Table 5C1-D,
column 24</t>
  </si>
  <si>
    <t>May ONLY:
Local
Admin 
Fee
Payable 
to DOE
(.25%)
Lycee Francais
(Table 5C1-E,
column 24</t>
  </si>
  <si>
    <t>May ONLY:
Local
Admin 
Fee
Payable 
to DOE
(.25%)
Lake Charles
Academy
(Table 5C1-F,
column 24</t>
  </si>
  <si>
    <t>May ONLY:
Local
Admin 
Fee
Payable 
to DOE
(.25%)
Clark
Leadership
(Table 5C1-G,
column 24</t>
  </si>
  <si>
    <t>May ONLY:
Local
Admin 
Fee
Payable 
to DOE
(.25%)
Southwest
LA Charter
(Table 5C1-H,
column 24</t>
  </si>
  <si>
    <t>May ONLY:
Local
Admin 
Fee
Payable 
to DOE
(.25%
LAVCA
(Table 5C-2,
column 25</t>
  </si>
  <si>
    <t>May ONLY:
Local
Admin 
Fee
Payable 
to DOE
(.25%)
LA Conn.
(Table 5C-3,
column 25</t>
  </si>
  <si>
    <t>May
2013
Payment
Amount</t>
  </si>
  <si>
    <t xml:space="preserve">Table 5A2: FY2012-13 MFP Budget Letter </t>
  </si>
  <si>
    <t>Allocation for LSMSA and NOCCA (May 2013)</t>
  </si>
  <si>
    <t>Revised FY2012-2013 MFP Budget Letter Based on FY2011-12 MFP Formula</t>
  </si>
  <si>
    <t>Revised 
FY2012-13
Budget Letter
Based on
FY2011-12 MFP</t>
  </si>
  <si>
    <t>Balance
To Be
Paid
May 2013
Through
June 2013</t>
  </si>
  <si>
    <t>Balance of
State Share
Allocation
to be
Paid
May and
June 2013</t>
  </si>
  <si>
    <t>Credit
of YTD
Local
Share
Transfers
for
LSMSA</t>
  </si>
  <si>
    <t>Credit
of YTD
Local
Share
Transfers
for
NOCCA</t>
  </si>
  <si>
    <t>Credit
of YTD
Local
Share
Transfers
for
LSDVI</t>
  </si>
  <si>
    <t>Credit
of YTD
 Local
Share
Transfers
for
SSD</t>
  </si>
  <si>
    <t>Credit 
of YTD
 Local
Share
Transfers
for
New Vision</t>
  </si>
  <si>
    <t>Credit
of YTD
Local
Share
Transfers
for
Glencoe</t>
  </si>
  <si>
    <t>Credit
of YTD
Local
Share
Transfers
for
Inter'l
Charter</t>
  </si>
  <si>
    <t>Credit
of YTD
Local
Share
Transfers
for
Avoyelles</t>
  </si>
  <si>
    <t>Credit 
of YTD
Local
Share
Transfers
for
Delhi Charter</t>
  </si>
  <si>
    <t>Credit
of YTD
 Local
Share
Transfers
for
Milestone Charter</t>
  </si>
  <si>
    <t>Credit
of YTD
Local
Share
Transfers
for
The Max Charter</t>
  </si>
  <si>
    <t>Credit
of YTD
Local
Share
Transfers
for
Belle Chasse Charter</t>
  </si>
  <si>
    <t>Credit of YTD
Local
Share
Transfers
for
Scholarship Program</t>
  </si>
  <si>
    <t>Total 
Credit
 of YTD
Local
Share
Transfers</t>
  </si>
  <si>
    <t>(Table 3, 
col. 33)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</si>
</sst>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&quot;$&quot;#,##0.00"/>
    <numFmt numFmtId="171" formatCode="0_);[Red]\(0\)"/>
    <numFmt numFmtId="172" formatCode="#,##0.0"/>
    <numFmt numFmtId="173" formatCode="dd\-mmm\-yy"/>
  </numFmts>
  <fonts count="1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12"/>
      <name val="Arial Narrow"/>
      <family val="2"/>
    </font>
    <font>
      <b/>
      <sz val="18"/>
      <name val="Arial Narrow"/>
      <family val="2"/>
    </font>
    <font>
      <b/>
      <i/>
      <sz val="18"/>
      <name val="Arial Narrow"/>
      <family val="2"/>
    </font>
    <font>
      <sz val="8"/>
      <name val="Arial"/>
      <family val="2"/>
    </font>
    <font>
      <b/>
      <sz val="20"/>
      <color indexed="20"/>
      <name val="Arial Narrow"/>
      <family val="2"/>
    </font>
    <font>
      <b/>
      <sz val="12"/>
      <color indexed="62"/>
      <name val="Arial Narrow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i/>
      <sz val="10"/>
      <color indexed="18"/>
      <name val="Arial Narrow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b/>
      <sz val="16"/>
      <color indexed="20"/>
      <name val="Arial Narrow"/>
      <family val="2"/>
    </font>
    <font>
      <sz val="10"/>
      <color indexed="20"/>
      <name val="Arial Narrow"/>
      <family val="2"/>
    </font>
    <font>
      <b/>
      <i/>
      <sz val="16"/>
      <name val="Arial"/>
      <family val="2"/>
    </font>
    <font>
      <b/>
      <i/>
      <sz val="20"/>
      <name val="Arial"/>
      <family val="2"/>
    </font>
    <font>
      <b/>
      <sz val="12"/>
      <color indexed="12"/>
      <name val="CG Omega (PCL6)"/>
      <family val="2"/>
    </font>
    <font>
      <b/>
      <i/>
      <sz val="10"/>
      <color indexed="12"/>
      <name val="Arial"/>
      <family val="2"/>
    </font>
    <font>
      <b/>
      <i/>
      <sz val="21"/>
      <name val="Arial"/>
      <family val="2"/>
    </font>
    <font>
      <b/>
      <sz val="10"/>
      <color indexed="20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b/>
      <sz val="16"/>
      <color indexed="10"/>
      <name val="Arial"/>
      <family val="2"/>
    </font>
    <font>
      <b/>
      <sz val="10"/>
      <name val="Arial Narrow"/>
      <family val="2"/>
    </font>
    <font>
      <b/>
      <sz val="10"/>
      <color indexed="62"/>
      <name val="Arial"/>
      <family val="2"/>
    </font>
    <font>
      <b/>
      <sz val="24"/>
      <name val="Arial Narrow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color indexed="20"/>
      <name val="Arial Narrow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0"/>
      <color indexed="18"/>
      <name val="Arial Narrow"/>
      <family val="2"/>
    </font>
    <font>
      <b/>
      <sz val="14"/>
      <color indexed="18"/>
      <name val="Arial Narrow"/>
      <family val="2"/>
    </font>
    <font>
      <b/>
      <sz val="14"/>
      <color indexed="10"/>
      <name val="Arial Narrow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2"/>
      <name val="Arial"/>
      <family val="2"/>
    </font>
    <font>
      <b/>
      <sz val="22"/>
      <name val="Arial Narrow"/>
      <family val="2"/>
    </font>
    <font>
      <b/>
      <sz val="10"/>
      <color indexed="17"/>
      <name val="Arial"/>
      <family val="2"/>
    </font>
    <font>
      <b/>
      <sz val="10.5"/>
      <name val="Futura Lt BT"/>
      <family val="2"/>
    </font>
    <font>
      <b/>
      <sz val="10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20"/>
      <name val="Arial"/>
      <family val="2"/>
    </font>
    <font>
      <i/>
      <sz val="10"/>
      <name val="Arial"/>
      <family val="2"/>
    </font>
    <font>
      <b/>
      <sz val="20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sz val="12"/>
      <name val="Futura Lt BT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Futura Lt BT"/>
      <family val="2"/>
    </font>
    <font>
      <b/>
      <sz val="11"/>
      <color indexed="18"/>
      <name val="Arial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sz val="10"/>
      <name val="Albertus Xb (W1)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b/>
      <sz val="10"/>
      <color indexed="6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6"/>
      <color indexed="18"/>
      <name val="Arial"/>
      <family val="2"/>
    </font>
    <font>
      <b/>
      <sz val="9"/>
      <name val="Arial"/>
      <family val="2"/>
    </font>
    <font>
      <b/>
      <sz val="10"/>
      <color rgb="FF000082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b/>
      <sz val="9"/>
      <color indexed="20"/>
      <name val="Arial"/>
      <family val="2"/>
    </font>
    <font>
      <b/>
      <sz val="8"/>
      <name val="Arial"/>
      <family val="2"/>
    </font>
    <font>
      <sz val="9"/>
      <color indexed="18"/>
      <name val="Arial"/>
      <family val="2"/>
    </font>
    <font>
      <b/>
      <u/>
      <sz val="10"/>
      <color indexed="18"/>
      <name val="Arial"/>
      <family val="2"/>
    </font>
    <font>
      <sz val="14"/>
      <name val="Arial"/>
      <family val="2"/>
    </font>
    <font>
      <b/>
      <sz val="14"/>
      <color indexed="20"/>
      <name val="Arial"/>
      <family val="2"/>
    </font>
    <font>
      <i/>
      <sz val="9"/>
      <color indexed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rgb="FF000066"/>
      <name val="Arial"/>
      <family val="2"/>
    </font>
    <font>
      <sz val="9"/>
      <name val="Futura Lt BT"/>
      <family val="2"/>
    </font>
    <font>
      <b/>
      <sz val="10"/>
      <color indexed="20"/>
      <name val="Futura Lt BT"/>
      <family val="2"/>
    </font>
    <font>
      <b/>
      <sz val="10"/>
      <color indexed="18"/>
      <name val="Futura Lt BT"/>
      <family val="2"/>
    </font>
    <font>
      <b/>
      <sz val="8"/>
      <color indexed="18"/>
      <name val="Futura Lt BT"/>
      <family val="2"/>
    </font>
    <font>
      <b/>
      <sz val="10"/>
      <color indexed="60"/>
      <name val="Futura Lt BT"/>
      <family val="2"/>
    </font>
    <font>
      <sz val="10"/>
      <color indexed="18"/>
      <name val="Futura Lt BT"/>
      <family val="2"/>
    </font>
    <font>
      <sz val="10"/>
      <color rgb="FFFF0000"/>
      <name val="Futura Lt BT"/>
      <family val="2"/>
    </font>
    <font>
      <sz val="12"/>
      <color indexed="18"/>
      <name val="Futura Lt BT"/>
      <family val="2"/>
    </font>
    <font>
      <b/>
      <sz val="12"/>
      <color rgb="FFC00000"/>
      <name val="Futura Lt BT"/>
      <family val="2"/>
    </font>
    <font>
      <b/>
      <sz val="10"/>
      <color rgb="FFFF0000"/>
      <name val="Arial"/>
      <family val="2"/>
    </font>
    <font>
      <sz val="12"/>
      <name val="Futura Lt BT"/>
      <family val="2"/>
    </font>
    <font>
      <sz val="10"/>
      <color indexed="2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charset val="204"/>
    </font>
    <font>
      <b/>
      <sz val="10"/>
      <color rgb="FF0033CC"/>
      <name val="Arial"/>
      <family val="2"/>
    </font>
    <font>
      <b/>
      <sz val="16"/>
      <color rgb="FF000066"/>
      <name val="Futura Lt BT"/>
      <family val="2"/>
    </font>
    <font>
      <b/>
      <sz val="18"/>
      <color rgb="FF000066"/>
      <name val="Futura Lt BT"/>
      <family val="2"/>
    </font>
    <font>
      <b/>
      <sz val="16"/>
      <color rgb="FFFF0000"/>
      <name val="Futura Lt BT"/>
      <family val="2"/>
    </font>
    <font>
      <b/>
      <sz val="14"/>
      <color rgb="FFFF0000"/>
      <name val="Futura Lt BT"/>
      <family val="2"/>
    </font>
    <font>
      <sz val="10"/>
      <color rgb="FF000066"/>
      <name val="Futura Lt BT"/>
      <family val="2"/>
    </font>
    <font>
      <sz val="10"/>
      <color rgb="FF000066"/>
      <name val="Arial"/>
      <family val="2"/>
    </font>
    <font>
      <b/>
      <sz val="10"/>
      <color indexed="22"/>
      <name val="Futura Lt BT"/>
      <family val="2"/>
    </font>
    <font>
      <sz val="14"/>
      <color theme="0"/>
      <name val="Arial"/>
      <family val="2"/>
    </font>
    <font>
      <sz val="11"/>
      <name val="Arial Narrow"/>
      <family val="2"/>
    </font>
    <font>
      <sz val="14"/>
      <name val="Futura Lt BT"/>
      <family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indexed="22"/>
        <bgColor indexed="0"/>
      </patternFill>
    </fill>
    <fill>
      <patternFill patternType="solid">
        <fgColor rgb="FFB7DEE8"/>
        <bgColor indexed="64"/>
      </patternFill>
    </fill>
    <fill>
      <patternFill patternType="solid">
        <fgColor indexed="43"/>
        <bgColor indexed="0"/>
      </patternFill>
    </fill>
    <fill>
      <patternFill patternType="solid">
        <fgColor theme="9" tint="-0.249977111117893"/>
        <bgColor indexed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</fills>
  <borders count="2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 style="medium">
        <color indexed="8"/>
      </top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 style="medium">
        <color indexed="64"/>
      </bottom>
      <diagonal/>
    </border>
    <border>
      <left/>
      <right style="double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64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22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22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22"/>
      </top>
      <bottom/>
      <diagonal/>
    </border>
    <border>
      <left style="thin">
        <color indexed="8"/>
      </left>
      <right style="double">
        <color indexed="8"/>
      </right>
      <top style="thin">
        <color indexed="22"/>
      </top>
      <bottom/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medium">
        <color indexed="8"/>
      </bottom>
      <diagonal/>
    </border>
    <border>
      <left/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medium">
        <color indexed="8"/>
      </bottom>
      <diagonal/>
    </border>
    <border>
      <left/>
      <right style="thin">
        <color indexed="8"/>
      </right>
      <top style="thin">
        <color indexed="22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/>
      <top style="thin">
        <color indexed="8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8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double">
        <color indexed="8"/>
      </right>
      <top style="double">
        <color indexed="8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8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indexed="63"/>
      </bottom>
      <diagonal/>
    </border>
    <border>
      <left/>
      <right style="thin">
        <color indexed="63"/>
      </right>
      <top style="thin">
        <color theme="0" tint="-0.24994659260841701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theme="0" tint="-0.24994659260841701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/>
      <right/>
      <top style="thin">
        <color theme="0" tint="-0.24994659260841701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</borders>
  <cellStyleXfs count="78">
    <xf numFmtId="0" fontId="0" fillId="0" borderId="0"/>
    <xf numFmtId="0" fontId="81" fillId="2" borderId="0" applyNumberFormat="0" applyBorder="0" applyAlignment="0" applyProtection="0"/>
    <xf numFmtId="0" fontId="81" fillId="3" borderId="0" applyNumberFormat="0" applyBorder="0" applyAlignment="0" applyProtection="0"/>
    <xf numFmtId="0" fontId="81" fillId="4" borderId="0" applyNumberFormat="0" applyBorder="0" applyAlignment="0" applyProtection="0"/>
    <xf numFmtId="0" fontId="81" fillId="5" borderId="0" applyNumberFormat="0" applyBorder="0" applyAlignment="0" applyProtection="0"/>
    <xf numFmtId="0" fontId="81" fillId="6" borderId="0" applyNumberFormat="0" applyBorder="0" applyAlignment="0" applyProtection="0"/>
    <xf numFmtId="0" fontId="81" fillId="7" borderId="0" applyNumberFormat="0" applyBorder="0" applyAlignment="0" applyProtection="0"/>
    <xf numFmtId="0" fontId="81" fillId="8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5" borderId="0" applyNumberFormat="0" applyBorder="0" applyAlignment="0" applyProtection="0"/>
    <xf numFmtId="0" fontId="81" fillId="8" borderId="0" applyNumberFormat="0" applyBorder="0" applyAlignment="0" applyProtection="0"/>
    <xf numFmtId="0" fontId="81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9" borderId="0" applyNumberFormat="0" applyBorder="0" applyAlignment="0" applyProtection="0"/>
    <xf numFmtId="0" fontId="83" fillId="3" borderId="0" applyNumberFormat="0" applyBorder="0" applyAlignment="0" applyProtection="0"/>
    <xf numFmtId="0" fontId="84" fillId="20" borderId="1" applyNumberFormat="0" applyAlignment="0" applyProtection="0"/>
    <xf numFmtId="0" fontId="85" fillId="21" borderId="2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107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4" borderId="0" applyNumberFormat="0" applyBorder="0" applyAlignment="0" applyProtection="0"/>
    <xf numFmtId="0" fontId="88" fillId="0" borderId="3" applyNumberFormat="0" applyFill="0" applyAlignment="0" applyProtection="0"/>
    <xf numFmtId="0" fontId="89" fillId="0" borderId="4" applyNumberFormat="0" applyFill="0" applyAlignment="0" applyProtection="0"/>
    <xf numFmtId="0" fontId="90" fillId="0" borderId="5" applyNumberFormat="0" applyFill="0" applyAlignment="0" applyProtection="0"/>
    <xf numFmtId="0" fontId="90" fillId="0" borderId="0" applyNumberFormat="0" applyFill="0" applyBorder="0" applyAlignment="0" applyProtection="0"/>
    <xf numFmtId="0" fontId="91" fillId="7" borderId="1" applyNumberFormat="0" applyAlignment="0" applyProtection="0"/>
    <xf numFmtId="0" fontId="92" fillId="0" borderId="6" applyNumberFormat="0" applyFill="0" applyAlignment="0" applyProtection="0"/>
    <xf numFmtId="0" fontId="93" fillId="22" borderId="0" applyNumberFormat="0" applyBorder="0" applyAlignment="0" applyProtection="0"/>
    <xf numFmtId="0" fontId="11" fillId="0" borderId="0"/>
    <xf numFmtId="0" fontId="48" fillId="0" borderId="0"/>
    <xf numFmtId="0" fontId="11" fillId="23" borderId="7" applyNumberFormat="0" applyFont="0" applyAlignment="0" applyProtection="0"/>
    <xf numFmtId="0" fontId="94" fillId="20" borderId="8" applyNumberFormat="0" applyAlignment="0" applyProtection="0"/>
    <xf numFmtId="9" fontId="9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9" applyNumberFormat="0" applyFill="0" applyAlignment="0" applyProtection="0"/>
    <xf numFmtId="0" fontId="97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48" fillId="0" borderId="0"/>
    <xf numFmtId="0" fontId="125" fillId="0" borderId="0"/>
    <xf numFmtId="0" fontId="9" fillId="0" borderId="0"/>
    <xf numFmtId="43" fontId="9" fillId="0" borderId="0" applyFont="0" applyFill="0" applyBorder="0" applyAlignment="0" applyProtection="0"/>
    <xf numFmtId="0" fontId="4" fillId="0" borderId="0"/>
    <xf numFmtId="0" fontId="139" fillId="0" borderId="0"/>
    <xf numFmtId="0" fontId="3" fillId="0" borderId="0"/>
    <xf numFmtId="0" fontId="2" fillId="0" borderId="0"/>
    <xf numFmtId="0" fontId="140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133">
    <xf numFmtId="0" fontId="0" fillId="0" borderId="0" xfId="0"/>
    <xf numFmtId="0" fontId="11" fillId="0" borderId="0" xfId="0" applyFont="1" applyAlignment="1">
      <alignment horizontal="center"/>
    </xf>
    <xf numFmtId="0" fontId="11" fillId="0" borderId="0" xfId="0" applyFont="1"/>
    <xf numFmtId="165" fontId="11" fillId="0" borderId="0" xfId="28" applyNumberFormat="1" applyFont="1"/>
    <xf numFmtId="167" fontId="11" fillId="0" borderId="0" xfId="0" applyNumberFormat="1" applyFont="1"/>
    <xf numFmtId="3" fontId="11" fillId="0" borderId="0" xfId="0" applyNumberFormat="1" applyFont="1"/>
    <xf numFmtId="6" fontId="11" fillId="0" borderId="0" xfId="0" applyNumberFormat="1" applyFont="1"/>
    <xf numFmtId="0" fontId="12" fillId="0" borderId="0" xfId="0" applyFont="1" applyAlignment="1">
      <alignment horizontal="center"/>
    </xf>
    <xf numFmtId="0" fontId="13" fillId="0" borderId="0" xfId="0" applyFont="1"/>
    <xf numFmtId="0" fontId="11" fillId="0" borderId="10" xfId="0" applyFont="1" applyBorder="1" applyAlignment="1">
      <alignment horizontal="center"/>
    </xf>
    <xf numFmtId="0" fontId="11" fillId="0" borderId="10" xfId="0" applyFont="1" applyBorder="1"/>
    <xf numFmtId="0" fontId="11" fillId="0" borderId="11" xfId="0" applyFont="1" applyBorder="1"/>
    <xf numFmtId="3" fontId="11" fillId="0" borderId="11" xfId="0" applyNumberFormat="1" applyFont="1" applyBorder="1" applyAlignment="1">
      <alignment horizontal="center"/>
    </xf>
    <xf numFmtId="3" fontId="11" fillId="0" borderId="11" xfId="0" applyNumberFormat="1" applyFont="1" applyBorder="1"/>
    <xf numFmtId="166" fontId="11" fillId="0" borderId="11" xfId="0" applyNumberFormat="1" applyFont="1" applyBorder="1"/>
    <xf numFmtId="3" fontId="11" fillId="0" borderId="11" xfId="28" applyNumberFormat="1" applyFont="1" applyBorder="1"/>
    <xf numFmtId="10" fontId="11" fillId="0" borderId="11" xfId="48" applyNumberFormat="1" applyFont="1" applyBorder="1"/>
    <xf numFmtId="0" fontId="11" fillId="0" borderId="12" xfId="0" applyFont="1" applyBorder="1" applyAlignment="1">
      <alignment horizontal="center"/>
    </xf>
    <xf numFmtId="3" fontId="11" fillId="0" borderId="13" xfId="0" applyNumberFormat="1" applyFont="1" applyBorder="1" applyAlignment="1">
      <alignment horizontal="center"/>
    </xf>
    <xf numFmtId="3" fontId="11" fillId="0" borderId="13" xfId="0" applyNumberFormat="1" applyFont="1" applyBorder="1"/>
    <xf numFmtId="166" fontId="11" fillId="0" borderId="13" xfId="0" applyNumberFormat="1" applyFont="1" applyBorder="1"/>
    <xf numFmtId="3" fontId="11" fillId="0" borderId="14" xfId="0" applyNumberFormat="1" applyFont="1" applyBorder="1"/>
    <xf numFmtId="0" fontId="12" fillId="0" borderId="0" xfId="0" applyFont="1"/>
    <xf numFmtId="5" fontId="11" fillId="0" borderId="0" xfId="0" applyNumberFormat="1" applyFont="1"/>
    <xf numFmtId="0" fontId="14" fillId="0" borderId="15" xfId="0" applyFont="1" applyFill="1" applyBorder="1"/>
    <xf numFmtId="0" fontId="14" fillId="0" borderId="16" xfId="0" applyFont="1" applyFill="1" applyBorder="1"/>
    <xf numFmtId="0" fontId="15" fillId="0" borderId="17" xfId="0" applyFont="1" applyFill="1" applyBorder="1"/>
    <xf numFmtId="0" fontId="14" fillId="0" borderId="18" xfId="0" applyFont="1" applyFill="1" applyBorder="1" applyAlignment="1">
      <alignment horizontal="left"/>
    </xf>
    <xf numFmtId="5" fontId="16" fillId="0" borderId="19" xfId="0" applyNumberFormat="1" applyFont="1" applyFill="1" applyBorder="1" applyProtection="1"/>
    <xf numFmtId="0" fontId="14" fillId="0" borderId="20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center"/>
    </xf>
    <xf numFmtId="0" fontId="14" fillId="0" borderId="18" xfId="0" applyFont="1" applyFill="1" applyBorder="1"/>
    <xf numFmtId="0" fontId="16" fillId="0" borderId="18" xfId="0" applyFont="1" applyFill="1" applyBorder="1"/>
    <xf numFmtId="0" fontId="14" fillId="0" borderId="18" xfId="0" applyFont="1" applyFill="1" applyBorder="1" applyAlignment="1">
      <alignment horizontal="center"/>
    </xf>
    <xf numFmtId="7" fontId="12" fillId="0" borderId="0" xfId="32" applyNumberFormat="1" applyFont="1"/>
    <xf numFmtId="0" fontId="0" fillId="0" borderId="0" xfId="0" applyBorder="1"/>
    <xf numFmtId="3" fontId="11" fillId="0" borderId="10" xfId="0" applyNumberFormat="1" applyFont="1" applyBorder="1"/>
    <xf numFmtId="0" fontId="13" fillId="24" borderId="0" xfId="0" applyFont="1" applyFill="1" applyBorder="1" applyProtection="1"/>
    <xf numFmtId="0" fontId="13" fillId="24" borderId="0" xfId="0" applyFont="1" applyFill="1" applyBorder="1" applyAlignment="1" applyProtection="1">
      <alignment horizontal="center"/>
    </xf>
    <xf numFmtId="0" fontId="21" fillId="0" borderId="17" xfId="0" applyFont="1" applyFill="1" applyBorder="1" applyAlignment="1">
      <alignment horizontal="left"/>
    </xf>
    <xf numFmtId="5" fontId="21" fillId="0" borderId="23" xfId="0" applyNumberFormat="1" applyFont="1" applyFill="1" applyBorder="1" applyProtection="1"/>
    <xf numFmtId="0" fontId="24" fillId="0" borderId="24" xfId="0" applyFont="1" applyFill="1" applyBorder="1" applyAlignment="1">
      <alignment horizontal="center"/>
    </xf>
    <xf numFmtId="0" fontId="26" fillId="0" borderId="25" xfId="0" applyFont="1" applyFill="1" applyBorder="1" applyAlignment="1">
      <alignment horizontal="center"/>
    </xf>
    <xf numFmtId="0" fontId="28" fillId="0" borderId="12" xfId="0" applyFont="1" applyBorder="1"/>
    <xf numFmtId="6" fontId="28" fillId="0" borderId="12" xfId="0" applyNumberFormat="1" applyFont="1" applyBorder="1"/>
    <xf numFmtId="8" fontId="28" fillId="0" borderId="12" xfId="0" applyNumberFormat="1" applyFont="1" applyBorder="1"/>
    <xf numFmtId="0" fontId="28" fillId="25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2" fillId="0" borderId="0" xfId="0" applyFont="1" applyBorder="1" applyAlignment="1">
      <alignment horizontal="center" vertical="center"/>
    </xf>
    <xf numFmtId="6" fontId="0" fillId="0" borderId="0" xfId="0" applyNumberFormat="1"/>
    <xf numFmtId="0" fontId="14" fillId="0" borderId="0" xfId="0" applyFont="1" applyFill="1" applyBorder="1" applyAlignment="1">
      <alignment horizontal="left" vertical="top"/>
    </xf>
    <xf numFmtId="0" fontId="14" fillId="0" borderId="25" xfId="0" applyFont="1" applyFill="1" applyBorder="1" applyAlignment="1">
      <alignment horizontal="left" vertical="top"/>
    </xf>
    <xf numFmtId="0" fontId="14" fillId="0" borderId="28" xfId="0" applyFont="1" applyFill="1" applyBorder="1" applyAlignment="1">
      <alignment horizontal="center"/>
    </xf>
    <xf numFmtId="0" fontId="14" fillId="0" borderId="28" xfId="0" applyFont="1" applyFill="1" applyBorder="1" applyAlignment="1">
      <alignment horizontal="left"/>
    </xf>
    <xf numFmtId="5" fontId="16" fillId="0" borderId="30" xfId="0" applyNumberFormat="1" applyFont="1" applyFill="1" applyBorder="1" applyProtection="1"/>
    <xf numFmtId="0" fontId="14" fillId="0" borderId="31" xfId="0" applyFont="1" applyFill="1" applyBorder="1" applyAlignment="1">
      <alignment horizontal="center"/>
    </xf>
    <xf numFmtId="0" fontId="14" fillId="0" borderId="31" xfId="0" applyFont="1" applyFill="1" applyBorder="1" applyAlignment="1">
      <alignment horizontal="left"/>
    </xf>
    <xf numFmtId="5" fontId="16" fillId="0" borderId="32" xfId="0" applyNumberFormat="1" applyFont="1" applyFill="1" applyBorder="1" applyProtection="1"/>
    <xf numFmtId="6" fontId="0" fillId="0" borderId="13" xfId="0" applyNumberFormat="1" applyBorder="1"/>
    <xf numFmtId="5" fontId="0" fillId="0" borderId="0" xfId="0" applyNumberFormat="1"/>
    <xf numFmtId="10" fontId="12" fillId="0" borderId="0" xfId="48" applyNumberFormat="1" applyFont="1"/>
    <xf numFmtId="164" fontId="11" fillId="0" borderId="0" xfId="28" applyNumberFormat="1" applyFont="1"/>
    <xf numFmtId="0" fontId="0" fillId="0" borderId="0" xfId="0" applyAlignment="1">
      <alignment horizontal="right"/>
    </xf>
    <xf numFmtId="165" fontId="11" fillId="26" borderId="26" xfId="28" applyNumberFormat="1" applyFont="1" applyFill="1" applyBorder="1" applyAlignment="1">
      <alignment horizontal="center"/>
    </xf>
    <xf numFmtId="0" fontId="11" fillId="0" borderId="0" xfId="0" applyFont="1" applyBorder="1"/>
    <xf numFmtId="169" fontId="11" fillId="0" borderId="11" xfId="48" applyNumberFormat="1" applyFont="1" applyBorder="1"/>
    <xf numFmtId="169" fontId="11" fillId="0" borderId="13" xfId="48" applyNumberFormat="1" applyFont="1" applyBorder="1"/>
    <xf numFmtId="0" fontId="28" fillId="25" borderId="10" xfId="0" applyFont="1" applyFill="1" applyBorder="1" applyAlignment="1">
      <alignment horizontal="center" vertical="center" wrapText="1"/>
    </xf>
    <xf numFmtId="0" fontId="11" fillId="0" borderId="33" xfId="0" applyFont="1" applyBorder="1"/>
    <xf numFmtId="3" fontId="11" fillId="0" borderId="34" xfId="0" applyNumberFormat="1" applyFont="1" applyBorder="1"/>
    <xf numFmtId="3" fontId="11" fillId="0" borderId="35" xfId="0" applyNumberFormat="1" applyFont="1" applyBorder="1"/>
    <xf numFmtId="165" fontId="11" fillId="26" borderId="36" xfId="28" applyNumberFormat="1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38" fillId="0" borderId="0" xfId="0" applyFont="1" applyAlignment="1">
      <alignment horizontal="center" wrapText="1"/>
    </xf>
    <xf numFmtId="0" fontId="38" fillId="0" borderId="0" xfId="0" quotePrefix="1" applyFont="1" applyAlignment="1">
      <alignment horizontal="center" wrapText="1"/>
    </xf>
    <xf numFmtId="0" fontId="0" fillId="0" borderId="0" xfId="0" applyFill="1"/>
    <xf numFmtId="37" fontId="28" fillId="0" borderId="12" xfId="28" applyNumberFormat="1" applyFont="1" applyBorder="1"/>
    <xf numFmtId="166" fontId="11" fillId="0" borderId="11" xfId="0" applyNumberFormat="1" applyFont="1" applyFill="1" applyBorder="1"/>
    <xf numFmtId="166" fontId="11" fillId="0" borderId="13" xfId="0" applyNumberFormat="1" applyFont="1" applyFill="1" applyBorder="1"/>
    <xf numFmtId="5" fontId="16" fillId="0" borderId="22" xfId="0" applyNumberFormat="1" applyFont="1" applyFill="1" applyBorder="1" applyAlignment="1" applyProtection="1">
      <alignment vertical="center"/>
    </xf>
    <xf numFmtId="0" fontId="11" fillId="0" borderId="0" xfId="0" applyFont="1" applyBorder="1" applyAlignment="1" applyProtection="1">
      <alignment horizontal="center"/>
    </xf>
    <xf numFmtId="3" fontId="11" fillId="0" borderId="11" xfId="0" applyNumberFormat="1" applyFont="1" applyFill="1" applyBorder="1"/>
    <xf numFmtId="3" fontId="11" fillId="0" borderId="13" xfId="0" applyNumberFormat="1" applyFont="1" applyFill="1" applyBorder="1"/>
    <xf numFmtId="0" fontId="12" fillId="0" borderId="0" xfId="0" applyFont="1" applyBorder="1" applyAlignment="1">
      <alignment horizontal="center" wrapText="1"/>
    </xf>
    <xf numFmtId="0" fontId="28" fillId="27" borderId="26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/>
    </xf>
    <xf numFmtId="0" fontId="24" fillId="0" borderId="18" xfId="0" applyFont="1" applyFill="1" applyBorder="1" applyAlignment="1">
      <alignment horizontal="left"/>
    </xf>
    <xf numFmtId="5" fontId="24" fillId="0" borderId="19" xfId="0" applyNumberFormat="1" applyFont="1" applyFill="1" applyBorder="1" applyProtection="1"/>
    <xf numFmtId="0" fontId="24" fillId="0" borderId="18" xfId="0" applyFont="1" applyFill="1" applyBorder="1"/>
    <xf numFmtId="0" fontId="24" fillId="0" borderId="37" xfId="0" quotePrefix="1" applyFont="1" applyFill="1" applyBorder="1" applyAlignment="1">
      <alignment horizontal="left" vertical="center"/>
    </xf>
    <xf numFmtId="0" fontId="24" fillId="0" borderId="37" xfId="0" applyFont="1" applyFill="1" applyBorder="1" applyAlignment="1">
      <alignment horizontal="left" vertical="center"/>
    </xf>
    <xf numFmtId="5" fontId="24" fillId="0" borderId="38" xfId="0" applyNumberFormat="1" applyFont="1" applyFill="1" applyBorder="1" applyAlignment="1" applyProtection="1">
      <alignment vertical="center"/>
    </xf>
    <xf numFmtId="0" fontId="24" fillId="27" borderId="28" xfId="0" applyFont="1" applyFill="1" applyBorder="1" applyAlignment="1">
      <alignment horizontal="left"/>
    </xf>
    <xf numFmtId="0" fontId="42" fillId="27" borderId="28" xfId="0" applyFont="1" applyFill="1" applyBorder="1"/>
    <xf numFmtId="5" fontId="24" fillId="27" borderId="38" xfId="0" applyNumberFormat="1" applyFont="1" applyFill="1" applyBorder="1" applyAlignment="1" applyProtection="1">
      <alignment vertical="center"/>
    </xf>
    <xf numFmtId="0" fontId="24" fillId="27" borderId="37" xfId="0" applyFont="1" applyFill="1" applyBorder="1" applyAlignment="1">
      <alignment horizontal="left" vertical="center"/>
    </xf>
    <xf numFmtId="0" fontId="28" fillId="0" borderId="0" xfId="0" applyFont="1" applyBorder="1"/>
    <xf numFmtId="37" fontId="28" fillId="0" borderId="0" xfId="28" applyNumberFormat="1" applyFont="1" applyBorder="1"/>
    <xf numFmtId="8" fontId="28" fillId="0" borderId="0" xfId="0" applyNumberFormat="1" applyFont="1" applyBorder="1"/>
    <xf numFmtId="6" fontId="28" fillId="0" borderId="0" xfId="0" applyNumberFormat="1" applyFont="1" applyBorder="1"/>
    <xf numFmtId="0" fontId="24" fillId="27" borderId="37" xfId="0" quotePrefix="1" applyFont="1" applyFill="1" applyBorder="1" applyAlignment="1">
      <alignment horizontal="left" vertical="center"/>
    </xf>
    <xf numFmtId="0" fontId="11" fillId="0" borderId="39" xfId="0" applyFont="1" applyFill="1" applyBorder="1" applyProtection="1"/>
    <xf numFmtId="0" fontId="11" fillId="0" borderId="40" xfId="0" applyFont="1" applyFill="1" applyBorder="1" applyProtection="1"/>
    <xf numFmtId="3" fontId="11" fillId="0" borderId="11" xfId="0" applyNumberFormat="1" applyFont="1" applyFill="1" applyBorder="1" applyAlignment="1">
      <alignment horizontal="center"/>
    </xf>
    <xf numFmtId="3" fontId="11" fillId="0" borderId="13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28" fillId="0" borderId="12" xfId="0" applyFont="1" applyFill="1" applyBorder="1"/>
    <xf numFmtId="3" fontId="28" fillId="0" borderId="12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165" fontId="11" fillId="0" borderId="0" xfId="28" applyNumberFormat="1" applyFont="1" applyFill="1"/>
    <xf numFmtId="7" fontId="12" fillId="0" borderId="0" xfId="32" applyNumberFormat="1" applyFont="1" applyFill="1" applyAlignment="1">
      <alignment horizontal="center"/>
    </xf>
    <xf numFmtId="7" fontId="12" fillId="0" borderId="0" xfId="32" applyNumberFormat="1" applyFont="1" applyFill="1"/>
    <xf numFmtId="0" fontId="24" fillId="0" borderId="41" xfId="0" applyFont="1" applyFill="1" applyBorder="1" applyAlignment="1">
      <alignment horizontal="center"/>
    </xf>
    <xf numFmtId="0" fontId="38" fillId="0" borderId="42" xfId="0" applyFont="1" applyBorder="1" applyAlignment="1">
      <alignment horizontal="center" vertical="center" wrapText="1"/>
    </xf>
    <xf numFmtId="0" fontId="38" fillId="0" borderId="26" xfId="0" quotePrefix="1" applyFont="1" applyBorder="1" applyAlignment="1">
      <alignment horizontal="center" vertical="center" wrapText="1"/>
    </xf>
    <xf numFmtId="0" fontId="0" fillId="26" borderId="26" xfId="0" applyFill="1" applyBorder="1"/>
    <xf numFmtId="0" fontId="0" fillId="0" borderId="11" xfId="0" applyBorder="1"/>
    <xf numFmtId="0" fontId="13" fillId="0" borderId="0" xfId="0" applyFont="1" applyBorder="1"/>
    <xf numFmtId="0" fontId="38" fillId="0" borderId="10" xfId="0" quotePrefix="1" applyFont="1" applyBorder="1" applyAlignment="1">
      <alignment horizontal="center" vertical="center" wrapText="1"/>
    </xf>
    <xf numFmtId="0" fontId="38" fillId="0" borderId="43" xfId="0" quotePrefix="1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/>
    </xf>
    <xf numFmtId="0" fontId="38" fillId="0" borderId="0" xfId="0" applyFont="1" applyBorder="1" applyAlignment="1">
      <alignment horizontal="center" wrapText="1"/>
    </xf>
    <xf numFmtId="38" fontId="11" fillId="0" borderId="11" xfId="0" applyNumberFormat="1" applyFont="1" applyBorder="1"/>
    <xf numFmtId="0" fontId="38" fillId="0" borderId="26" xfId="0" quotePrefix="1" applyFont="1" applyFill="1" applyBorder="1" applyAlignment="1">
      <alignment horizontal="center" vertical="center"/>
    </xf>
    <xf numFmtId="0" fontId="40" fillId="0" borderId="10" xfId="0" quotePrefix="1" applyFont="1" applyBorder="1" applyAlignment="1">
      <alignment horizontal="center" vertical="center" wrapText="1"/>
    </xf>
    <xf numFmtId="0" fontId="13" fillId="0" borderId="44" xfId="0" applyFont="1" applyBorder="1" applyAlignment="1" applyProtection="1">
      <alignment horizontal="center"/>
    </xf>
    <xf numFmtId="0" fontId="38" fillId="0" borderId="0" xfId="0" applyFont="1" applyBorder="1" applyAlignment="1">
      <alignment horizontal="center" vertical="center" wrapText="1"/>
    </xf>
    <xf numFmtId="40" fontId="11" fillId="0" borderId="11" xfId="0" applyNumberFormat="1" applyFont="1" applyFill="1" applyBorder="1"/>
    <xf numFmtId="40" fontId="11" fillId="0" borderId="13" xfId="0" applyNumberFormat="1" applyFont="1" applyFill="1" applyBorder="1"/>
    <xf numFmtId="10" fontId="11" fillId="0" borderId="11" xfId="48" applyNumberFormat="1" applyFont="1" applyFill="1" applyBorder="1"/>
    <xf numFmtId="10" fontId="11" fillId="0" borderId="13" xfId="48" applyNumberFormat="1" applyFont="1" applyFill="1" applyBorder="1"/>
    <xf numFmtId="0" fontId="15" fillId="0" borderId="26" xfId="0" applyFont="1" applyBorder="1" applyAlignment="1">
      <alignment horizontal="center" wrapText="1"/>
    </xf>
    <xf numFmtId="0" fontId="11" fillId="0" borderId="10" xfId="0" applyFont="1" applyFill="1" applyBorder="1"/>
    <xf numFmtId="0" fontId="11" fillId="0" borderId="45" xfId="0" applyFont="1" applyBorder="1"/>
    <xf numFmtId="0" fontId="11" fillId="0" borderId="46" xfId="0" applyFont="1" applyFill="1" applyBorder="1" applyProtection="1"/>
    <xf numFmtId="5" fontId="11" fillId="0" borderId="0" xfId="0" applyNumberFormat="1" applyFont="1" applyBorder="1"/>
    <xf numFmtId="10" fontId="16" fillId="0" borderId="19" xfId="48" applyNumberFormat="1" applyFont="1" applyFill="1" applyBorder="1" applyProtection="1"/>
    <xf numFmtId="43" fontId="16" fillId="0" borderId="19" xfId="28" applyFont="1" applyFill="1" applyBorder="1" applyProtection="1"/>
    <xf numFmtId="0" fontId="11" fillId="0" borderId="0" xfId="0" applyFont="1" applyFill="1" applyBorder="1"/>
    <xf numFmtId="165" fontId="16" fillId="0" borderId="19" xfId="28" applyNumberFormat="1" applyFont="1" applyFill="1" applyBorder="1" applyProtection="1"/>
    <xf numFmtId="3" fontId="11" fillId="0" borderId="11" xfId="0" applyNumberFormat="1" applyFont="1" applyFill="1" applyBorder="1" applyAlignment="1">
      <alignment horizontal="left"/>
    </xf>
    <xf numFmtId="8" fontId="11" fillId="0" borderId="0" xfId="0" applyNumberFormat="1" applyFont="1"/>
    <xf numFmtId="0" fontId="13" fillId="0" borderId="0" xfId="0" applyFont="1" applyFill="1" applyBorder="1" applyAlignment="1">
      <alignment horizontal="center"/>
    </xf>
    <xf numFmtId="0" fontId="11" fillId="0" borderId="0" xfId="0" quotePrefix="1" applyFont="1" applyBorder="1"/>
    <xf numFmtId="0" fontId="47" fillId="0" borderId="0" xfId="0" quotePrefix="1" applyFont="1" applyBorder="1" applyAlignment="1">
      <alignment horizontal="left"/>
    </xf>
    <xf numFmtId="2" fontId="11" fillId="0" borderId="11" xfId="0" applyNumberFormat="1" applyFont="1" applyBorder="1"/>
    <xf numFmtId="4" fontId="11" fillId="0" borderId="11" xfId="28" applyNumberFormat="1" applyFont="1" applyBorder="1"/>
    <xf numFmtId="4" fontId="11" fillId="0" borderId="34" xfId="28" applyNumberFormat="1" applyFont="1" applyBorder="1"/>
    <xf numFmtId="2" fontId="11" fillId="0" borderId="13" xfId="0" applyNumberFormat="1" applyFont="1" applyBorder="1"/>
    <xf numFmtId="4" fontId="11" fillId="0" borderId="13" xfId="28" applyNumberFormat="1" applyFont="1" applyBorder="1"/>
    <xf numFmtId="4" fontId="11" fillId="0" borderId="35" xfId="28" applyNumberFormat="1" applyFont="1" applyBorder="1"/>
    <xf numFmtId="0" fontId="38" fillId="0" borderId="0" xfId="0" quotePrefix="1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2" fillId="0" borderId="26" xfId="0" applyFont="1" applyFill="1" applyBorder="1" applyAlignment="1">
      <alignment horizontal="center" vertical="center"/>
    </xf>
    <xf numFmtId="10" fontId="11" fillId="0" borderId="11" xfId="0" applyNumberFormat="1" applyFont="1" applyFill="1" applyBorder="1"/>
    <xf numFmtId="10" fontId="11" fillId="0" borderId="13" xfId="0" applyNumberFormat="1" applyFont="1" applyFill="1" applyBorder="1"/>
    <xf numFmtId="5" fontId="28" fillId="0" borderId="12" xfId="32" applyNumberFormat="1" applyFont="1" applyBorder="1" applyAlignment="1">
      <alignment horizontal="right"/>
    </xf>
    <xf numFmtId="3" fontId="11" fillId="0" borderId="34" xfId="0" applyNumberFormat="1" applyFont="1" applyFill="1" applyBorder="1"/>
    <xf numFmtId="2" fontId="11" fillId="0" borderId="11" xfId="0" applyNumberFormat="1" applyFont="1" applyFill="1" applyBorder="1"/>
    <xf numFmtId="4" fontId="11" fillId="0" borderId="11" xfId="28" applyNumberFormat="1" applyFont="1" applyFill="1" applyBorder="1"/>
    <xf numFmtId="4" fontId="11" fillId="0" borderId="34" xfId="28" applyNumberFormat="1" applyFont="1" applyFill="1" applyBorder="1"/>
    <xf numFmtId="3" fontId="0" fillId="0" borderId="0" xfId="0" applyNumberFormat="1"/>
    <xf numFmtId="166" fontId="11" fillId="0" borderId="34" xfId="0" applyNumberFormat="1" applyFont="1" applyFill="1" applyBorder="1"/>
    <xf numFmtId="166" fontId="11" fillId="0" borderId="35" xfId="0" applyNumberFormat="1" applyFont="1" applyFill="1" applyBorder="1"/>
    <xf numFmtId="0" fontId="15" fillId="0" borderId="26" xfId="0" applyFont="1" applyBorder="1"/>
    <xf numFmtId="0" fontId="14" fillId="0" borderId="47" xfId="0" applyFont="1" applyFill="1" applyBorder="1" applyAlignment="1">
      <alignment horizontal="left" vertical="center" wrapText="1"/>
    </xf>
    <xf numFmtId="0" fontId="14" fillId="0" borderId="48" xfId="0" applyFont="1" applyFill="1" applyBorder="1" applyAlignment="1">
      <alignment horizontal="left" vertical="center" wrapText="1"/>
    </xf>
    <xf numFmtId="7" fontId="23" fillId="0" borderId="0" xfId="32" quotePrefix="1" applyNumberFormat="1" applyFont="1" applyFill="1" applyAlignment="1">
      <alignment horizontal="center"/>
    </xf>
    <xf numFmtId="3" fontId="11" fillId="0" borderId="0" xfId="0" applyNumberFormat="1" applyFont="1" applyFill="1" applyBorder="1"/>
    <xf numFmtId="3" fontId="11" fillId="0" borderId="0" xfId="0" applyNumberFormat="1" applyFont="1" applyFill="1"/>
    <xf numFmtId="0" fontId="14" fillId="0" borderId="0" xfId="0" applyFont="1" applyFill="1" applyBorder="1" applyAlignment="1">
      <alignment horizontal="left"/>
    </xf>
    <xf numFmtId="0" fontId="24" fillId="0" borderId="14" xfId="0" applyFont="1" applyFill="1" applyBorder="1" applyAlignment="1">
      <alignment horizontal="left"/>
    </xf>
    <xf numFmtId="5" fontId="24" fillId="0" borderId="0" xfId="0" applyNumberFormat="1" applyFont="1" applyFill="1" applyBorder="1" applyProtection="1"/>
    <xf numFmtId="0" fontId="14" fillId="0" borderId="50" xfId="0" applyFont="1" applyFill="1" applyBorder="1" applyAlignment="1">
      <alignment horizontal="left"/>
    </xf>
    <xf numFmtId="0" fontId="14" fillId="0" borderId="0" xfId="0" applyFont="1" applyFill="1" applyBorder="1"/>
    <xf numFmtId="0" fontId="43" fillId="0" borderId="0" xfId="0" applyFont="1" applyBorder="1"/>
    <xf numFmtId="0" fontId="0" fillId="0" borderId="0" xfId="0" applyFill="1" applyBorder="1"/>
    <xf numFmtId="0" fontId="14" fillId="0" borderId="0" xfId="0" quotePrefix="1" applyFont="1" applyFill="1" applyBorder="1" applyAlignment="1">
      <alignment horizontal="center"/>
    </xf>
    <xf numFmtId="0" fontId="24" fillId="0" borderId="50" xfId="0" applyFont="1" applyFill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4" fillId="0" borderId="51" xfId="0" applyFont="1" applyFill="1" applyBorder="1"/>
    <xf numFmtId="0" fontId="15" fillId="0" borderId="52" xfId="0" applyFont="1" applyFill="1" applyBorder="1"/>
    <xf numFmtId="0" fontId="14" fillId="0" borderId="51" xfId="0" applyFont="1" applyFill="1" applyBorder="1" applyAlignment="1">
      <alignment horizontal="center" vertical="top"/>
    </xf>
    <xf numFmtId="0" fontId="14" fillId="0" borderId="51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center"/>
    </xf>
    <xf numFmtId="0" fontId="14" fillId="0" borderId="54" xfId="0" applyFont="1" applyFill="1" applyBorder="1" applyAlignment="1">
      <alignment horizontal="center"/>
    </xf>
    <xf numFmtId="0" fontId="14" fillId="0" borderId="55" xfId="0" applyFont="1" applyFill="1" applyBorder="1" applyAlignment="1">
      <alignment horizontal="center"/>
    </xf>
    <xf numFmtId="0" fontId="24" fillId="0" borderId="56" xfId="0" applyFont="1" applyFill="1" applyBorder="1" applyAlignment="1">
      <alignment horizontal="center" vertical="center"/>
    </xf>
    <xf numFmtId="0" fontId="24" fillId="0" borderId="54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/>
    </xf>
    <xf numFmtId="0" fontId="42" fillId="27" borderId="53" xfId="0" applyFont="1" applyFill="1" applyBorder="1"/>
    <xf numFmtId="0" fontId="0" fillId="0" borderId="51" xfId="0" applyBorder="1"/>
    <xf numFmtId="0" fontId="16" fillId="0" borderId="51" xfId="0" applyFont="1" applyFill="1" applyBorder="1"/>
    <xf numFmtId="0" fontId="24" fillId="27" borderId="56" xfId="0" applyFont="1" applyFill="1" applyBorder="1" applyAlignment="1">
      <alignment horizontal="center" vertical="center"/>
    </xf>
    <xf numFmtId="0" fontId="24" fillId="0" borderId="51" xfId="0" applyFont="1" applyFill="1" applyBorder="1" applyAlignment="1">
      <alignment horizontal="center"/>
    </xf>
    <xf numFmtId="3" fontId="11" fillId="0" borderId="0" xfId="0" applyNumberFormat="1" applyFont="1" applyBorder="1"/>
    <xf numFmtId="7" fontId="12" fillId="0" borderId="0" xfId="32" applyNumberFormat="1" applyFont="1" applyFill="1" applyBorder="1"/>
    <xf numFmtId="6" fontId="11" fillId="0" borderId="0" xfId="0" applyNumberFormat="1" applyFont="1" applyFill="1" applyBorder="1"/>
    <xf numFmtId="0" fontId="11" fillId="0" borderId="0" xfId="0" applyFont="1" applyFill="1" applyAlignment="1">
      <alignment wrapText="1"/>
    </xf>
    <xf numFmtId="0" fontId="14" fillId="0" borderId="18" xfId="0" quotePrefix="1" applyFont="1" applyFill="1" applyBorder="1" applyAlignment="1">
      <alignment horizontal="center"/>
    </xf>
    <xf numFmtId="10" fontId="11" fillId="0" borderId="0" xfId="48" applyNumberFormat="1" applyFont="1" applyFill="1"/>
    <xf numFmtId="43" fontId="11" fillId="0" borderId="0" xfId="28" applyNumberFormat="1" applyFont="1" applyFill="1"/>
    <xf numFmtId="10" fontId="11" fillId="0" borderId="0" xfId="48" applyNumberFormat="1" applyFont="1" applyFill="1" applyBorder="1"/>
    <xf numFmtId="0" fontId="14" fillId="0" borderId="14" xfId="0" applyFont="1" applyFill="1" applyBorder="1" applyAlignment="1">
      <alignment horizontal="left" vertical="center" wrapText="1"/>
    </xf>
    <xf numFmtId="5" fontId="16" fillId="0" borderId="58" xfId="0" applyNumberFormat="1" applyFont="1" applyFill="1" applyBorder="1" applyAlignment="1" applyProtection="1">
      <alignment vertical="center"/>
    </xf>
    <xf numFmtId="5" fontId="16" fillId="0" borderId="57" xfId="0" applyNumberFormat="1" applyFont="1" applyFill="1" applyBorder="1" applyAlignment="1" applyProtection="1">
      <alignment vertical="center"/>
    </xf>
    <xf numFmtId="165" fontId="14" fillId="0" borderId="19" xfId="28" applyNumberFormat="1" applyFont="1" applyFill="1" applyBorder="1" applyProtection="1"/>
    <xf numFmtId="0" fontId="22" fillId="0" borderId="0" xfId="0" applyFont="1" applyAlignment="1">
      <alignment horizontal="right"/>
    </xf>
    <xf numFmtId="10" fontId="13" fillId="0" borderId="12" xfId="48" applyNumberFormat="1" applyFont="1" applyBorder="1"/>
    <xf numFmtId="0" fontId="14" fillId="0" borderId="21" xfId="0" quotePrefix="1" applyFont="1" applyFill="1" applyBorder="1" applyAlignment="1">
      <alignment horizontal="center"/>
    </xf>
    <xf numFmtId="1" fontId="11" fillId="0" borderId="0" xfId="0" applyNumberFormat="1" applyFont="1"/>
    <xf numFmtId="1" fontId="11" fillId="26" borderId="26" xfId="28" applyNumberFormat="1" applyFont="1" applyFill="1" applyBorder="1" applyAlignment="1">
      <alignment horizontal="center"/>
    </xf>
    <xf numFmtId="1" fontId="22" fillId="26" borderId="26" xfId="28" quotePrefix="1" applyNumberFormat="1" applyFont="1" applyFill="1" applyBorder="1" applyAlignment="1">
      <alignment horizontal="center"/>
    </xf>
    <xf numFmtId="1" fontId="22" fillId="26" borderId="26" xfId="28" applyNumberFormat="1" applyFont="1" applyFill="1" applyBorder="1" applyAlignment="1">
      <alignment horizontal="center"/>
    </xf>
    <xf numFmtId="1" fontId="11" fillId="0" borderId="0" xfId="28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12" fillId="0" borderId="0" xfId="0" applyFont="1" applyFill="1" applyAlignment="1">
      <alignment horizontal="center"/>
    </xf>
    <xf numFmtId="5" fontId="16" fillId="0" borderId="49" xfId="0" applyNumberFormat="1" applyFont="1" applyFill="1" applyBorder="1" applyAlignment="1" applyProtection="1">
      <alignment vertical="top"/>
    </xf>
    <xf numFmtId="0" fontId="38" fillId="0" borderId="10" xfId="0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6" fontId="12" fillId="0" borderId="10" xfId="0" applyNumberFormat="1" applyFont="1" applyFill="1" applyBorder="1" applyAlignment="1">
      <alignment horizontal="center" vertical="center" wrapText="1"/>
    </xf>
    <xf numFmtId="1" fontId="11" fillId="26" borderId="59" xfId="0" applyNumberFormat="1" applyFont="1" applyFill="1" applyBorder="1" applyProtection="1"/>
    <xf numFmtId="1" fontId="22" fillId="26" borderId="26" xfId="0" quotePrefix="1" applyNumberFormat="1" applyFont="1" applyFill="1" applyBorder="1" applyAlignment="1">
      <alignment horizontal="center"/>
    </xf>
    <xf numFmtId="3" fontId="0" fillId="0" borderId="13" xfId="0" applyNumberFormat="1" applyFill="1" applyBorder="1"/>
    <xf numFmtId="0" fontId="13" fillId="0" borderId="13" xfId="0" applyFont="1" applyBorder="1" applyAlignment="1">
      <alignment wrapText="1"/>
    </xf>
    <xf numFmtId="0" fontId="13" fillId="0" borderId="11" xfId="0" applyFont="1" applyBorder="1" applyAlignment="1">
      <alignment horizontal="left" wrapText="1"/>
    </xf>
    <xf numFmtId="1" fontId="22" fillId="26" borderId="36" xfId="28" quotePrefix="1" applyNumberFormat="1" applyFont="1" applyFill="1" applyBorder="1" applyAlignment="1">
      <alignment horizontal="center"/>
    </xf>
    <xf numFmtId="0" fontId="22" fillId="26" borderId="26" xfId="28" quotePrefix="1" applyNumberFormat="1" applyFont="1" applyFill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7" fillId="0" borderId="0" xfId="0" quotePrefix="1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166" fontId="11" fillId="0" borderId="0" xfId="0" applyNumberFormat="1" applyFont="1" applyFill="1" applyBorder="1"/>
    <xf numFmtId="0" fontId="56" fillId="0" borderId="0" xfId="0" applyFont="1"/>
    <xf numFmtId="0" fontId="52" fillId="0" borderId="0" xfId="0" applyFont="1"/>
    <xf numFmtId="0" fontId="12" fillId="0" borderId="36" xfId="0" quotePrefix="1" applyFont="1" applyFill="1" applyBorder="1" applyAlignment="1">
      <alignment horizontal="center" vertical="center"/>
    </xf>
    <xf numFmtId="166" fontId="11" fillId="0" borderId="34" xfId="0" applyNumberFormat="1" applyFont="1" applyBorder="1"/>
    <xf numFmtId="166" fontId="11" fillId="0" borderId="35" xfId="0" applyNumberFormat="1" applyFont="1" applyBorder="1"/>
    <xf numFmtId="0" fontId="27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/>
    <xf numFmtId="0" fontId="11" fillId="0" borderId="0" xfId="0" applyFont="1" applyFill="1" applyBorder="1" applyAlignment="1"/>
    <xf numFmtId="0" fontId="38" fillId="0" borderId="0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7" fontId="11" fillId="0" borderId="0" xfId="0" applyNumberFormat="1" applyFont="1" applyFill="1" applyBorder="1"/>
    <xf numFmtId="10" fontId="11" fillId="0" borderId="0" xfId="0" applyNumberFormat="1" applyFont="1" applyFill="1" applyBorder="1"/>
    <xf numFmtId="0" fontId="14" fillId="0" borderId="0" xfId="0" applyFont="1" applyFill="1" applyBorder="1" applyAlignment="1">
      <alignment horizontal="center" vertical="center" wrapText="1"/>
    </xf>
    <xf numFmtId="9" fontId="57" fillId="0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/>
    <xf numFmtId="38" fontId="12" fillId="0" borderId="0" xfId="0" applyNumberFormat="1" applyFont="1"/>
    <xf numFmtId="166" fontId="12" fillId="0" borderId="0" xfId="0" applyNumberFormat="1" applyFont="1"/>
    <xf numFmtId="0" fontId="12" fillId="0" borderId="0" xfId="0" applyFont="1" applyBorder="1"/>
    <xf numFmtId="5" fontId="28" fillId="0" borderId="0" xfId="0" applyNumberFormat="1" applyFont="1" applyFill="1" applyBorder="1" applyProtection="1"/>
    <xf numFmtId="0" fontId="58" fillId="25" borderId="10" xfId="0" applyFont="1" applyFill="1" applyBorder="1" applyAlignment="1">
      <alignment horizontal="center" vertical="center" wrapText="1"/>
    </xf>
    <xf numFmtId="0" fontId="44" fillId="25" borderId="43" xfId="0" applyFont="1" applyFill="1" applyBorder="1" applyAlignment="1">
      <alignment horizontal="center" vertical="center" wrapText="1"/>
    </xf>
    <xf numFmtId="0" fontId="44" fillId="27" borderId="10" xfId="0" applyFont="1" applyFill="1" applyBorder="1" applyAlignment="1">
      <alignment horizontal="center" vertical="center" wrapText="1"/>
    </xf>
    <xf numFmtId="1" fontId="22" fillId="26" borderId="36" xfId="28" applyNumberFormat="1" applyFont="1" applyFill="1" applyBorder="1" applyAlignment="1">
      <alignment horizontal="center"/>
    </xf>
    <xf numFmtId="6" fontId="28" fillId="0" borderId="61" xfId="0" applyNumberFormat="1" applyFont="1" applyBorder="1"/>
    <xf numFmtId="0" fontId="51" fillId="0" borderId="0" xfId="0" applyFont="1"/>
    <xf numFmtId="0" fontId="31" fillId="0" borderId="62" xfId="0" applyFont="1" applyFill="1" applyBorder="1" applyAlignment="1">
      <alignment horizontal="center"/>
    </xf>
    <xf numFmtId="0" fontId="11" fillId="0" borderId="33" xfId="0" applyFont="1" applyFill="1" applyBorder="1"/>
    <xf numFmtId="0" fontId="28" fillId="28" borderId="26" xfId="0" applyFont="1" applyFill="1" applyBorder="1" applyAlignment="1">
      <alignment horizontal="center" vertical="center" wrapText="1"/>
    </xf>
    <xf numFmtId="166" fontId="54" fillId="0" borderId="11" xfId="0" applyNumberFormat="1" applyFont="1" applyFill="1" applyBorder="1"/>
    <xf numFmtId="0" fontId="0" fillId="0" borderId="14" xfId="0" applyBorder="1"/>
    <xf numFmtId="4" fontId="11" fillId="0" borderId="0" xfId="0" applyNumberFormat="1" applyFont="1" applyBorder="1"/>
    <xf numFmtId="10" fontId="11" fillId="0" borderId="13" xfId="48" applyNumberFormat="1" applyFont="1" applyBorder="1"/>
    <xf numFmtId="0" fontId="11" fillId="0" borderId="11" xfId="0" applyFont="1" applyFill="1" applyBorder="1"/>
    <xf numFmtId="0" fontId="11" fillId="0" borderId="34" xfId="0" applyFont="1" applyFill="1" applyBorder="1"/>
    <xf numFmtId="9" fontId="19" fillId="0" borderId="11" xfId="0" applyNumberFormat="1" applyFont="1" applyFill="1" applyBorder="1"/>
    <xf numFmtId="9" fontId="11" fillId="0" borderId="34" xfId="0" applyNumberFormat="1" applyFont="1" applyFill="1" applyBorder="1"/>
    <xf numFmtId="9" fontId="11" fillId="0" borderId="11" xfId="0" applyNumberFormat="1" applyFont="1" applyFill="1" applyBorder="1"/>
    <xf numFmtId="6" fontId="11" fillId="0" borderId="11" xfId="0" applyNumberFormat="1" applyFont="1" applyBorder="1"/>
    <xf numFmtId="6" fontId="11" fillId="0" borderId="13" xfId="0" applyNumberFormat="1" applyFont="1" applyBorder="1"/>
    <xf numFmtId="6" fontId="11" fillId="0" borderId="11" xfId="0" applyNumberFormat="1" applyFont="1" applyFill="1" applyBorder="1"/>
    <xf numFmtId="6" fontId="11" fillId="0" borderId="13" xfId="0" applyNumberFormat="1" applyFont="1" applyFill="1" applyBorder="1"/>
    <xf numFmtId="10" fontId="0" fillId="0" borderId="0" xfId="48" applyNumberFormat="1" applyFont="1"/>
    <xf numFmtId="9" fontId="12" fillId="0" borderId="11" xfId="0" applyNumberFormat="1" applyFont="1" applyFill="1" applyBorder="1" applyAlignment="1">
      <alignment horizontal="center"/>
    </xf>
    <xf numFmtId="0" fontId="62" fillId="0" borderId="0" xfId="0" applyFont="1" applyFill="1" applyBorder="1"/>
    <xf numFmtId="0" fontId="14" fillId="0" borderId="21" xfId="0" quotePrefix="1" applyFont="1" applyFill="1" applyBorder="1" applyAlignment="1">
      <alignment horizontal="center" vertical="center" wrapText="1"/>
    </xf>
    <xf numFmtId="0" fontId="15" fillId="0" borderId="43" xfId="0" applyFont="1" applyBorder="1" applyAlignment="1">
      <alignment horizontal="center"/>
    </xf>
    <xf numFmtId="0" fontId="52" fillId="0" borderId="34" xfId="0" applyFont="1" applyFill="1" applyBorder="1"/>
    <xf numFmtId="0" fontId="11" fillId="0" borderId="0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12" fillId="0" borderId="63" xfId="0" applyFont="1" applyFill="1" applyBorder="1" applyAlignment="1">
      <alignment horizontal="center"/>
    </xf>
    <xf numFmtId="0" fontId="31" fillId="0" borderId="64" xfId="0" applyFont="1" applyFill="1" applyBorder="1" applyAlignment="1">
      <alignment horizontal="center"/>
    </xf>
    <xf numFmtId="9" fontId="0" fillId="0" borderId="0" xfId="0" applyNumberFormat="1"/>
    <xf numFmtId="0" fontId="11" fillId="0" borderId="26" xfId="0" applyFont="1" applyBorder="1" applyAlignment="1">
      <alignment horizontal="center"/>
    </xf>
    <xf numFmtId="0" fontId="11" fillId="0" borderId="26" xfId="0" applyFont="1" applyBorder="1"/>
    <xf numFmtId="15" fontId="11" fillId="29" borderId="26" xfId="0" applyNumberFormat="1" applyFont="1" applyFill="1" applyBorder="1" applyAlignment="1">
      <alignment horizontal="center"/>
    </xf>
    <xf numFmtId="0" fontId="13" fillId="30" borderId="26" xfId="0" applyFont="1" applyFill="1" applyBorder="1" applyAlignment="1">
      <alignment horizontal="center"/>
    </xf>
    <xf numFmtId="165" fontId="13" fillId="30" borderId="26" xfId="28" applyNumberFormat="1" applyFont="1" applyFill="1" applyBorder="1" applyAlignment="1">
      <alignment horizontal="center"/>
    </xf>
    <xf numFmtId="165" fontId="11" fillId="30" borderId="26" xfId="28" applyNumberFormat="1" applyFont="1" applyFill="1" applyBorder="1" applyAlignment="1">
      <alignment horizontal="center"/>
    </xf>
    <xf numFmtId="0" fontId="11" fillId="0" borderId="26" xfId="0" applyFont="1" applyFill="1" applyBorder="1"/>
    <xf numFmtId="1" fontId="13" fillId="26" borderId="65" xfId="0" applyNumberFormat="1" applyFont="1" applyFill="1" applyBorder="1" applyProtection="1"/>
    <xf numFmtId="0" fontId="11" fillId="0" borderId="66" xfId="0" applyFont="1" applyFill="1" applyBorder="1" applyProtection="1"/>
    <xf numFmtId="0" fontId="11" fillId="0" borderId="67" xfId="0" applyFont="1" applyFill="1" applyBorder="1" applyProtection="1"/>
    <xf numFmtId="0" fontId="11" fillId="0" borderId="68" xfId="0" applyFont="1" applyFill="1" applyBorder="1" applyProtection="1"/>
    <xf numFmtId="3" fontId="11" fillId="0" borderId="34" xfId="0" applyNumberFormat="1" applyFont="1" applyFill="1" applyBorder="1" applyAlignment="1">
      <alignment horizontal="left"/>
    </xf>
    <xf numFmtId="5" fontId="13" fillId="0" borderId="0" xfId="0" applyNumberFormat="1" applyFont="1" applyBorder="1" applyProtection="1"/>
    <xf numFmtId="166" fontId="22" fillId="25" borderId="26" xfId="0" applyNumberFormat="1" applyFont="1" applyFill="1" applyBorder="1" applyAlignment="1">
      <alignment horizontal="center" wrapText="1"/>
    </xf>
    <xf numFmtId="6" fontId="22" fillId="25" borderId="26" xfId="0" applyNumberFormat="1" applyFont="1" applyFill="1" applyBorder="1" applyAlignment="1">
      <alignment horizontal="center" wrapText="1"/>
    </xf>
    <xf numFmtId="8" fontId="22" fillId="25" borderId="26" xfId="0" applyNumberFormat="1" applyFont="1" applyFill="1" applyBorder="1" applyAlignment="1">
      <alignment horizontal="center" wrapText="1"/>
    </xf>
    <xf numFmtId="1" fontId="22" fillId="26" borderId="69" xfId="0" applyNumberFormat="1" applyFont="1" applyFill="1" applyBorder="1" applyAlignment="1" applyProtection="1">
      <alignment horizontal="center"/>
    </xf>
    <xf numFmtId="1" fontId="22" fillId="26" borderId="70" xfId="0" quotePrefix="1" applyNumberFormat="1" applyFont="1" applyFill="1" applyBorder="1" applyAlignment="1" applyProtection="1">
      <alignment horizontal="center"/>
    </xf>
    <xf numFmtId="5" fontId="11" fillId="0" borderId="11" xfId="0" applyNumberFormat="1" applyFont="1" applyFill="1" applyBorder="1" applyProtection="1"/>
    <xf numFmtId="5" fontId="13" fillId="0" borderId="71" xfId="0" applyNumberFormat="1" applyFont="1" applyFill="1" applyBorder="1" applyProtection="1"/>
    <xf numFmtId="5" fontId="11" fillId="0" borderId="71" xfId="0" applyNumberFormat="1" applyFont="1" applyFill="1" applyBorder="1" applyProtection="1"/>
    <xf numFmtId="5" fontId="13" fillId="0" borderId="11" xfId="0" applyNumberFormat="1" applyFont="1" applyFill="1" applyBorder="1" applyProtection="1"/>
    <xf numFmtId="37" fontId="11" fillId="0" borderId="11" xfId="28" applyNumberFormat="1" applyFont="1" applyFill="1" applyBorder="1" applyProtection="1"/>
    <xf numFmtId="38" fontId="11" fillId="0" borderId="11" xfId="0" applyNumberFormat="1" applyFont="1" applyFill="1" applyBorder="1" applyProtection="1"/>
    <xf numFmtId="165" fontId="13" fillId="0" borderId="11" xfId="28" applyNumberFormat="1" applyFont="1" applyFill="1" applyBorder="1" applyProtection="1"/>
    <xf numFmtId="166" fontId="11" fillId="0" borderId="11" xfId="28" applyNumberFormat="1" applyFont="1" applyFill="1" applyBorder="1" applyProtection="1"/>
    <xf numFmtId="6" fontId="13" fillId="0" borderId="11" xfId="0" applyNumberFormat="1" applyFont="1" applyFill="1" applyBorder="1" applyProtection="1"/>
    <xf numFmtId="5" fontId="11" fillId="0" borderId="69" xfId="0" applyNumberFormat="1" applyFont="1" applyFill="1" applyBorder="1" applyProtection="1"/>
    <xf numFmtId="5" fontId="13" fillId="0" borderId="69" xfId="0" applyNumberFormat="1" applyFont="1" applyFill="1" applyBorder="1" applyProtection="1"/>
    <xf numFmtId="37" fontId="11" fillId="0" borderId="13" xfId="28" applyNumberFormat="1" applyFont="1" applyFill="1" applyBorder="1" applyProtection="1"/>
    <xf numFmtId="38" fontId="11" fillId="0" borderId="69" xfId="0" applyNumberFormat="1" applyFont="1" applyFill="1" applyBorder="1" applyProtection="1"/>
    <xf numFmtId="165" fontId="13" fillId="0" borderId="69" xfId="28" applyNumberFormat="1" applyFont="1" applyFill="1" applyBorder="1" applyProtection="1"/>
    <xf numFmtId="166" fontId="11" fillId="0" borderId="69" xfId="28" applyNumberFormat="1" applyFont="1" applyFill="1" applyBorder="1" applyProtection="1"/>
    <xf numFmtId="6" fontId="13" fillId="0" borderId="69" xfId="0" applyNumberFormat="1" applyFont="1" applyFill="1" applyBorder="1" applyProtection="1"/>
    <xf numFmtId="166" fontId="11" fillId="0" borderId="13" xfId="28" applyNumberFormat="1" applyFont="1" applyFill="1" applyBorder="1" applyProtection="1"/>
    <xf numFmtId="37" fontId="11" fillId="0" borderId="69" xfId="28" applyNumberFormat="1" applyFont="1" applyFill="1" applyBorder="1" applyProtection="1"/>
    <xf numFmtId="37" fontId="11" fillId="0" borderId="71" xfId="28" applyNumberFormat="1" applyFont="1" applyFill="1" applyBorder="1" applyProtection="1"/>
    <xf numFmtId="165" fontId="13" fillId="0" borderId="71" xfId="28" applyNumberFormat="1" applyFont="1" applyFill="1" applyBorder="1" applyProtection="1"/>
    <xf numFmtId="166" fontId="11" fillId="0" borderId="71" xfId="28" applyNumberFormat="1" applyFont="1" applyFill="1" applyBorder="1" applyProtection="1"/>
    <xf numFmtId="6" fontId="13" fillId="0" borderId="71" xfId="0" applyNumberFormat="1" applyFont="1" applyFill="1" applyBorder="1" applyProtection="1"/>
    <xf numFmtId="0" fontId="44" fillId="25" borderId="10" xfId="0" applyFont="1" applyFill="1" applyBorder="1" applyAlignment="1">
      <alignment horizontal="center" vertical="center" wrapText="1"/>
    </xf>
    <xf numFmtId="0" fontId="58" fillId="29" borderId="10" xfId="0" applyFont="1" applyFill="1" applyBorder="1" applyAlignment="1">
      <alignment horizontal="center" vertical="center" wrapText="1"/>
    </xf>
    <xf numFmtId="0" fontId="44" fillId="29" borderId="43" xfId="0" applyFont="1" applyFill="1" applyBorder="1" applyAlignment="1">
      <alignment horizontal="center" vertical="center" wrapText="1"/>
    </xf>
    <xf numFmtId="0" fontId="44" fillId="29" borderId="10" xfId="0" applyFont="1" applyFill="1" applyBorder="1" applyAlignment="1">
      <alignment horizontal="center" vertical="center" wrapText="1"/>
    </xf>
    <xf numFmtId="0" fontId="28" fillId="27" borderId="10" xfId="0" applyFont="1" applyFill="1" applyBorder="1" applyAlignment="1">
      <alignment horizontal="center" vertical="center" wrapText="1"/>
    </xf>
    <xf numFmtId="2" fontId="0" fillId="0" borderId="0" xfId="0" applyNumberFormat="1"/>
    <xf numFmtId="5" fontId="24" fillId="27" borderId="30" xfId="0" applyNumberFormat="1" applyFont="1" applyFill="1" applyBorder="1" applyProtection="1"/>
    <xf numFmtId="0" fontId="11" fillId="0" borderId="14" xfId="0" applyFont="1" applyBorder="1"/>
    <xf numFmtId="0" fontId="11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166" fontId="65" fillId="0" borderId="11" xfId="0" applyNumberFormat="1" applyFont="1" applyFill="1" applyBorder="1"/>
    <xf numFmtId="0" fontId="20" fillId="0" borderId="0" xfId="0" applyFont="1" applyFill="1" applyAlignment="1">
      <alignment vertical="center"/>
    </xf>
    <xf numFmtId="10" fontId="11" fillId="0" borderId="10" xfId="0" applyNumberFormat="1" applyFont="1" applyFill="1" applyBorder="1"/>
    <xf numFmtId="1" fontId="11" fillId="26" borderId="59" xfId="0" applyNumberFormat="1" applyFont="1" applyFill="1" applyBorder="1" applyAlignment="1" applyProtection="1">
      <alignment horizontal="center"/>
    </xf>
    <xf numFmtId="1" fontId="13" fillId="26" borderId="65" xfId="0" applyNumberFormat="1" applyFont="1" applyFill="1" applyBorder="1" applyAlignment="1" applyProtection="1">
      <alignment horizontal="center"/>
    </xf>
    <xf numFmtId="6" fontId="11" fillId="0" borderId="0" xfId="0" applyNumberFormat="1" applyFont="1" applyBorder="1"/>
    <xf numFmtId="0" fontId="24" fillId="27" borderId="72" xfId="0" applyFont="1" applyFill="1" applyBorder="1" applyAlignment="1">
      <alignment horizontal="left"/>
    </xf>
    <xf numFmtId="0" fontId="42" fillId="27" borderId="72" xfId="0" applyFont="1" applyFill="1" applyBorder="1"/>
    <xf numFmtId="3" fontId="11" fillId="0" borderId="11" xfId="0" applyNumberFormat="1" applyFont="1" applyFill="1" applyBorder="1" applyAlignment="1">
      <alignment horizontal="right"/>
    </xf>
    <xf numFmtId="0" fontId="0" fillId="0" borderId="10" xfId="0" applyBorder="1"/>
    <xf numFmtId="38" fontId="11" fillId="0" borderId="10" xfId="0" applyNumberFormat="1" applyFont="1" applyBorder="1"/>
    <xf numFmtId="0" fontId="11" fillId="0" borderId="43" xfId="0" applyFont="1" applyFill="1" applyBorder="1"/>
    <xf numFmtId="0" fontId="28" fillId="25" borderId="13" xfId="0" applyFont="1" applyFill="1" applyBorder="1" applyAlignment="1">
      <alignment horizontal="center" vertical="center" wrapText="1"/>
    </xf>
    <xf numFmtId="6" fontId="11" fillId="0" borderId="11" xfId="0" applyNumberFormat="1" applyFont="1" applyFill="1" applyBorder="1" applyProtection="1"/>
    <xf numFmtId="6" fontId="11" fillId="0" borderId="69" xfId="0" applyNumberFormat="1" applyFont="1" applyFill="1" applyBorder="1" applyProtection="1"/>
    <xf numFmtId="6" fontId="11" fillId="0" borderId="71" xfId="0" applyNumberFormat="1" applyFont="1" applyFill="1" applyBorder="1" applyProtection="1"/>
    <xf numFmtId="0" fontId="14" fillId="0" borderId="0" xfId="0" applyFont="1" applyFill="1" applyBorder="1" applyAlignment="1">
      <alignment horizontal="left" wrapText="1"/>
    </xf>
    <xf numFmtId="0" fontId="28" fillId="25" borderId="13" xfId="0" quotePrefix="1" applyFont="1" applyFill="1" applyBorder="1" applyAlignment="1">
      <alignment horizontal="center" vertical="center" wrapText="1"/>
    </xf>
    <xf numFmtId="9" fontId="23" fillId="27" borderId="74" xfId="48" applyFont="1" applyFill="1" applyBorder="1" applyAlignment="1">
      <alignment horizontal="right"/>
    </xf>
    <xf numFmtId="9" fontId="23" fillId="27" borderId="75" xfId="0" applyNumberFormat="1" applyFont="1" applyFill="1" applyBorder="1" applyAlignment="1">
      <alignment horizontal="right"/>
    </xf>
    <xf numFmtId="9" fontId="23" fillId="27" borderId="75" xfId="48" applyFont="1" applyFill="1" applyBorder="1" applyAlignment="1">
      <alignment horizontal="right"/>
    </xf>
    <xf numFmtId="165" fontId="23" fillId="27" borderId="75" xfId="28" applyNumberFormat="1" applyFont="1" applyFill="1" applyBorder="1" applyAlignment="1">
      <alignment horizontal="right"/>
    </xf>
    <xf numFmtId="165" fontId="23" fillId="27" borderId="74" xfId="28" applyNumberFormat="1" applyFont="1" applyFill="1" applyBorder="1" applyAlignment="1">
      <alignment horizontal="right"/>
    </xf>
    <xf numFmtId="166" fontId="23" fillId="27" borderId="75" xfId="28" applyNumberFormat="1" applyFont="1" applyFill="1" applyBorder="1" applyAlignment="1">
      <alignment horizontal="right"/>
    </xf>
    <xf numFmtId="9" fontId="23" fillId="27" borderId="75" xfId="28" applyNumberFormat="1" applyFont="1" applyFill="1" applyBorder="1" applyAlignment="1">
      <alignment horizontal="right"/>
    </xf>
    <xf numFmtId="9" fontId="23" fillId="27" borderId="75" xfId="0" applyNumberFormat="1" applyFont="1" applyFill="1" applyBorder="1" applyAlignment="1">
      <alignment horizontal="center"/>
    </xf>
    <xf numFmtId="39" fontId="23" fillId="27" borderId="75" xfId="28" applyNumberFormat="1" applyFont="1" applyFill="1" applyBorder="1" applyAlignment="1">
      <alignment horizontal="center"/>
    </xf>
    <xf numFmtId="0" fontId="68" fillId="25" borderId="13" xfId="0" applyFont="1" applyFill="1" applyBorder="1" applyAlignment="1">
      <alignment horizontal="center" vertical="center" wrapText="1"/>
    </xf>
    <xf numFmtId="167" fontId="28" fillId="25" borderId="13" xfId="0" applyNumberFormat="1" applyFont="1" applyFill="1" applyBorder="1" applyAlignment="1">
      <alignment horizontal="center" vertical="center" wrapText="1"/>
    </xf>
    <xf numFmtId="0" fontId="58" fillId="25" borderId="11" xfId="0" applyFont="1" applyFill="1" applyBorder="1" applyAlignment="1">
      <alignment horizontal="center" vertical="center" wrapText="1"/>
    </xf>
    <xf numFmtId="0" fontId="58" fillId="27" borderId="11" xfId="0" applyFont="1" applyFill="1" applyBorder="1" applyAlignment="1">
      <alignment horizontal="center" vertical="center" wrapText="1"/>
    </xf>
    <xf numFmtId="0" fontId="58" fillId="25" borderId="26" xfId="0" applyFont="1" applyFill="1" applyBorder="1" applyAlignment="1">
      <alignment horizontal="center" vertical="center" wrapText="1"/>
    </xf>
    <xf numFmtId="2" fontId="22" fillId="27" borderId="26" xfId="0" applyNumberFormat="1" applyFont="1" applyFill="1" applyBorder="1" applyAlignment="1">
      <alignment horizontal="center" wrapText="1"/>
    </xf>
    <xf numFmtId="10" fontId="22" fillId="27" borderId="26" xfId="0" applyNumberFormat="1" applyFont="1" applyFill="1" applyBorder="1" applyAlignment="1">
      <alignment horizontal="center" wrapText="1"/>
    </xf>
    <xf numFmtId="0" fontId="45" fillId="25" borderId="10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right"/>
    </xf>
    <xf numFmtId="0" fontId="28" fillId="0" borderId="61" xfId="0" applyFont="1" applyBorder="1" applyAlignment="1">
      <alignment horizontal="right"/>
    </xf>
    <xf numFmtId="5" fontId="28" fillId="0" borderId="76" xfId="32" applyNumberFormat="1" applyFont="1" applyBorder="1" applyAlignment="1">
      <alignment horizontal="right"/>
    </xf>
    <xf numFmtId="2" fontId="28" fillId="0" borderId="76" xfId="0" applyNumberFormat="1" applyFont="1" applyBorder="1" applyAlignment="1">
      <alignment horizontal="right"/>
    </xf>
    <xf numFmtId="0" fontId="28" fillId="0" borderId="12" xfId="0" applyFont="1" applyBorder="1" applyAlignment="1">
      <alignment horizontal="right"/>
    </xf>
    <xf numFmtId="43" fontId="28" fillId="0" borderId="12" xfId="28" applyNumberFormat="1" applyFont="1" applyBorder="1" applyAlignment="1">
      <alignment horizontal="right"/>
    </xf>
    <xf numFmtId="43" fontId="28" fillId="0" borderId="12" xfId="28" applyFont="1" applyBorder="1" applyAlignment="1">
      <alignment horizontal="right"/>
    </xf>
    <xf numFmtId="10" fontId="28" fillId="0" borderId="12" xfId="0" applyNumberFormat="1" applyFont="1" applyBorder="1" applyAlignment="1">
      <alignment horizontal="right"/>
    </xf>
    <xf numFmtId="166" fontId="11" fillId="0" borderId="44" xfId="0" applyNumberFormat="1" applyFont="1" applyBorder="1"/>
    <xf numFmtId="166" fontId="11" fillId="27" borderId="44" xfId="0" applyNumberFormat="1" applyFont="1" applyFill="1" applyBorder="1"/>
    <xf numFmtId="10" fontId="11" fillId="0" borderId="44" xfId="0" applyNumberFormat="1" applyFont="1" applyBorder="1"/>
    <xf numFmtId="6" fontId="11" fillId="0" borderId="44" xfId="32" applyNumberFormat="1" applyFont="1" applyBorder="1"/>
    <xf numFmtId="166" fontId="11" fillId="27" borderId="11" xfId="0" applyNumberFormat="1" applyFont="1" applyFill="1" applyBorder="1"/>
    <xf numFmtId="165" fontId="11" fillId="0" borderId="11" xfId="28" applyNumberFormat="1" applyFont="1" applyBorder="1"/>
    <xf numFmtId="6" fontId="11" fillId="0" borderId="11" xfId="28" applyNumberFormat="1" applyFont="1" applyBorder="1"/>
    <xf numFmtId="166" fontId="11" fillId="0" borderId="77" xfId="0" applyNumberFormat="1" applyFont="1" applyBorder="1"/>
    <xf numFmtId="166" fontId="11" fillId="27" borderId="77" xfId="0" applyNumberFormat="1" applyFont="1" applyFill="1" applyBorder="1"/>
    <xf numFmtId="10" fontId="11" fillId="0" borderId="13" xfId="0" applyNumberFormat="1" applyFont="1" applyBorder="1"/>
    <xf numFmtId="10" fontId="11" fillId="0" borderId="77" xfId="0" applyNumberFormat="1" applyFont="1" applyBorder="1"/>
    <xf numFmtId="6" fontId="11" fillId="0" borderId="77" xfId="32" applyNumberFormat="1" applyFont="1" applyBorder="1"/>
    <xf numFmtId="166" fontId="11" fillId="27" borderId="13" xfId="0" applyNumberFormat="1" applyFont="1" applyFill="1" applyBorder="1"/>
    <xf numFmtId="165" fontId="11" fillId="0" borderId="13" xfId="28" applyNumberFormat="1" applyFont="1" applyBorder="1"/>
    <xf numFmtId="6" fontId="11" fillId="0" borderId="13" xfId="28" applyNumberFormat="1" applyFont="1" applyBorder="1"/>
    <xf numFmtId="166" fontId="11" fillId="27" borderId="11" xfId="0" applyNumberFormat="1" applyFont="1" applyFill="1" applyBorder="1" applyAlignment="1"/>
    <xf numFmtId="6" fontId="13" fillId="0" borderId="78" xfId="0" applyNumberFormat="1" applyFont="1" applyBorder="1"/>
    <xf numFmtId="6" fontId="13" fillId="0" borderId="12" xfId="0" applyNumberFormat="1" applyFont="1" applyBorder="1"/>
    <xf numFmtId="6" fontId="13" fillId="27" borderId="12" xfId="0" applyNumberFormat="1" applyFont="1" applyFill="1" applyBorder="1"/>
    <xf numFmtId="10" fontId="13" fillId="27" borderId="12" xfId="0" applyNumberFormat="1" applyFont="1" applyFill="1" applyBorder="1"/>
    <xf numFmtId="10" fontId="13" fillId="27" borderId="76" xfId="0" applyNumberFormat="1" applyFont="1" applyFill="1" applyBorder="1"/>
    <xf numFmtId="6" fontId="13" fillId="0" borderId="12" xfId="32" applyNumberFormat="1" applyFont="1" applyBorder="1"/>
    <xf numFmtId="38" fontId="13" fillId="0" borderId="12" xfId="0" applyNumberFormat="1" applyFont="1" applyBorder="1"/>
    <xf numFmtId="38" fontId="13" fillId="27" borderId="12" xfId="0" applyNumberFormat="1" applyFont="1" applyFill="1" applyBorder="1"/>
    <xf numFmtId="166" fontId="13" fillId="0" borderId="12" xfId="0" applyNumberFormat="1" applyFont="1" applyBorder="1"/>
    <xf numFmtId="166" fontId="13" fillId="0" borderId="76" xfId="0" applyNumberFormat="1" applyFont="1" applyBorder="1"/>
    <xf numFmtId="166" fontId="13" fillId="27" borderId="12" xfId="0" applyNumberFormat="1" applyFont="1" applyFill="1" applyBorder="1"/>
    <xf numFmtId="10" fontId="13" fillId="0" borderId="76" xfId="48" applyNumberFormat="1" applyFont="1" applyBorder="1"/>
    <xf numFmtId="166" fontId="11" fillId="0" borderId="0" xfId="0" applyNumberFormat="1" applyFont="1"/>
    <xf numFmtId="5" fontId="28" fillId="0" borderId="12" xfId="32" applyNumberFormat="1" applyFont="1" applyFill="1" applyBorder="1" applyAlignment="1">
      <alignment horizontal="right"/>
    </xf>
    <xf numFmtId="0" fontId="13" fillId="0" borderId="79" xfId="0" applyFont="1" applyFill="1" applyBorder="1" applyProtection="1"/>
    <xf numFmtId="0" fontId="28" fillId="0" borderId="80" xfId="0" applyFont="1" applyFill="1" applyBorder="1" applyAlignment="1" applyProtection="1">
      <alignment horizontal="center"/>
    </xf>
    <xf numFmtId="6" fontId="28" fillId="0" borderId="81" xfId="28" applyNumberFormat="1" applyFont="1" applyFill="1" applyBorder="1" applyProtection="1"/>
    <xf numFmtId="6" fontId="28" fillId="0" borderId="81" xfId="0" applyNumberFormat="1" applyFont="1" applyBorder="1"/>
    <xf numFmtId="165" fontId="28" fillId="0" borderId="81" xfId="28" applyNumberFormat="1" applyFont="1" applyFill="1" applyBorder="1" applyProtection="1"/>
    <xf numFmtId="5" fontId="28" fillId="0" borderId="81" xfId="0" applyNumberFormat="1" applyFont="1" applyFill="1" applyBorder="1" applyProtection="1"/>
    <xf numFmtId="6" fontId="28" fillId="27" borderId="82" xfId="28" applyNumberFormat="1" applyFont="1" applyFill="1" applyBorder="1" applyProtection="1"/>
    <xf numFmtId="0" fontId="13" fillId="0" borderId="0" xfId="0" applyFont="1" applyFill="1" applyBorder="1" applyProtection="1"/>
    <xf numFmtId="6" fontId="28" fillId="0" borderId="82" xfId="28" applyNumberFormat="1" applyFont="1" applyFill="1" applyBorder="1" applyProtection="1"/>
    <xf numFmtId="6" fontId="49" fillId="0" borderId="69" xfId="0" applyNumberFormat="1" applyFont="1" applyFill="1" applyBorder="1" applyProtection="1"/>
    <xf numFmtId="0" fontId="28" fillId="0" borderId="0" xfId="0" applyFont="1" applyFill="1" applyBorder="1" applyAlignment="1" applyProtection="1">
      <alignment horizontal="center"/>
    </xf>
    <xf numFmtId="6" fontId="11" fillId="0" borderId="0" xfId="28" applyNumberFormat="1" applyFont="1" applyBorder="1"/>
    <xf numFmtId="0" fontId="0" fillId="0" borderId="0" xfId="0" applyAlignment="1">
      <alignment vertical="center"/>
    </xf>
    <xf numFmtId="0" fontId="13" fillId="0" borderId="0" xfId="0" applyFont="1" applyAlignment="1">
      <alignment horizontal="right" vertical="center"/>
    </xf>
    <xf numFmtId="0" fontId="28" fillId="27" borderId="13" xfId="0" applyFont="1" applyFill="1" applyBorder="1" applyAlignment="1">
      <alignment horizontal="center" vertical="center" wrapText="1"/>
    </xf>
    <xf numFmtId="168" fontId="54" fillId="0" borderId="0" xfId="48" applyNumberFormat="1" applyFont="1" applyFill="1" applyBorder="1"/>
    <xf numFmtId="168" fontId="0" fillId="0" borderId="0" xfId="0" applyNumberFormat="1" applyBorder="1"/>
    <xf numFmtId="170" fontId="0" fillId="0" borderId="0" xfId="0" applyNumberFormat="1" applyBorder="1"/>
    <xf numFmtId="166" fontId="0" fillId="0" borderId="0" xfId="0" applyNumberFormat="1" applyBorder="1"/>
    <xf numFmtId="0" fontId="0" fillId="0" borderId="0" xfId="0" applyBorder="1" applyAlignment="1">
      <alignment vertical="center"/>
    </xf>
    <xf numFmtId="10" fontId="0" fillId="0" borderId="0" xfId="0" applyNumberFormat="1"/>
    <xf numFmtId="6" fontId="22" fillId="0" borderId="0" xfId="0" applyNumberFormat="1" applyFont="1" applyAlignment="1">
      <alignment horizontal="right"/>
    </xf>
    <xf numFmtId="0" fontId="21" fillId="27" borderId="85" xfId="0" applyFont="1" applyFill="1" applyBorder="1" applyAlignment="1">
      <alignment horizontal="center" vertical="center" wrapText="1"/>
    </xf>
    <xf numFmtId="5" fontId="21" fillId="27" borderId="86" xfId="0" applyNumberFormat="1" applyFont="1" applyFill="1" applyBorder="1" applyAlignment="1" applyProtection="1">
      <alignment vertical="center"/>
    </xf>
    <xf numFmtId="0" fontId="51" fillId="0" borderId="35" xfId="0" applyFont="1" applyBorder="1" applyAlignment="1">
      <alignment horizontal="right" wrapText="1"/>
    </xf>
    <xf numFmtId="166" fontId="23" fillId="0" borderId="14" xfId="28" applyNumberFormat="1" applyFont="1" applyFill="1" applyBorder="1" applyAlignment="1">
      <alignment horizontal="center"/>
    </xf>
    <xf numFmtId="6" fontId="13" fillId="0" borderId="34" xfId="0" applyNumberFormat="1" applyFont="1" applyFill="1" applyBorder="1" applyProtection="1"/>
    <xf numFmtId="3" fontId="63" fillId="0" borderId="13" xfId="0" applyNumberFormat="1" applyFont="1" applyFill="1" applyBorder="1" applyAlignment="1">
      <alignment horizontal="right"/>
    </xf>
    <xf numFmtId="6" fontId="63" fillId="0" borderId="13" xfId="0" applyNumberFormat="1" applyFont="1" applyBorder="1" applyAlignment="1">
      <alignment horizontal="right"/>
    </xf>
    <xf numFmtId="3" fontId="11" fillId="0" borderId="0" xfId="0" applyNumberFormat="1" applyFont="1" applyFill="1" applyBorder="1" applyAlignment="1">
      <alignment horizontal="center"/>
    </xf>
    <xf numFmtId="0" fontId="14" fillId="0" borderId="87" xfId="0" quotePrefix="1" applyFont="1" applyFill="1" applyBorder="1" applyAlignment="1">
      <alignment horizontal="center"/>
    </xf>
    <xf numFmtId="0" fontId="14" fillId="0" borderId="87" xfId="0" applyFont="1" applyFill="1" applyBorder="1" applyAlignment="1">
      <alignment horizontal="left"/>
    </xf>
    <xf numFmtId="5" fontId="16" fillId="0" borderId="88" xfId="0" applyNumberFormat="1" applyFont="1" applyFill="1" applyBorder="1" applyProtection="1"/>
    <xf numFmtId="5" fontId="16" fillId="0" borderId="58" xfId="0" applyNumberFormat="1" applyFont="1" applyFill="1" applyBorder="1" applyProtection="1"/>
    <xf numFmtId="0" fontId="14" fillId="0" borderId="83" xfId="0" quotePrefix="1" applyFont="1" applyFill="1" applyBorder="1" applyAlignment="1">
      <alignment horizontal="center"/>
    </xf>
    <xf numFmtId="0" fontId="14" fillId="0" borderId="83" xfId="0" applyFont="1" applyFill="1" applyBorder="1" applyAlignment="1">
      <alignment horizontal="left"/>
    </xf>
    <xf numFmtId="5" fontId="16" fillId="0" borderId="89" xfId="0" applyNumberFormat="1" applyFont="1" applyFill="1" applyBorder="1" applyProtection="1"/>
    <xf numFmtId="0" fontId="61" fillId="0" borderId="0" xfId="0" applyFont="1" applyAlignment="1">
      <alignment horizontal="center"/>
    </xf>
    <xf numFmtId="0" fontId="28" fillId="25" borderId="10" xfId="0" applyFont="1" applyFill="1" applyBorder="1" applyAlignment="1" applyProtection="1">
      <alignment horizontal="center" vertical="center" wrapText="1"/>
    </xf>
    <xf numFmtId="0" fontId="28" fillId="25" borderId="10" xfId="0" applyFont="1" applyFill="1" applyBorder="1" applyAlignment="1" applyProtection="1">
      <alignment vertical="center" wrapText="1"/>
    </xf>
    <xf numFmtId="0" fontId="28" fillId="25" borderId="13" xfId="0" applyFont="1" applyFill="1" applyBorder="1" applyAlignment="1" applyProtection="1">
      <alignment vertical="center"/>
    </xf>
    <xf numFmtId="166" fontId="22" fillId="27" borderId="26" xfId="0" applyNumberFormat="1" applyFont="1" applyFill="1" applyBorder="1" applyAlignment="1">
      <alignment horizontal="center" wrapText="1"/>
    </xf>
    <xf numFmtId="0" fontId="28" fillId="29" borderId="10" xfId="0" applyFont="1" applyFill="1" applyBorder="1" applyAlignment="1">
      <alignment horizontal="center" vertical="center" wrapText="1"/>
    </xf>
    <xf numFmtId="166" fontId="22" fillId="29" borderId="26" xfId="0" applyNumberFormat="1" applyFont="1" applyFill="1" applyBorder="1" applyAlignment="1">
      <alignment horizontal="center" wrapText="1"/>
    </xf>
    <xf numFmtId="3" fontId="11" fillId="0" borderId="0" xfId="0" applyNumberFormat="1" applyFont="1" applyFill="1" applyBorder="1" applyAlignment="1">
      <alignment horizontal="left"/>
    </xf>
    <xf numFmtId="3" fontId="41" fillId="0" borderId="0" xfId="0" applyNumberFormat="1" applyFont="1" applyFill="1" applyBorder="1" applyAlignment="1">
      <alignment horizontal="left"/>
    </xf>
    <xf numFmtId="5" fontId="13" fillId="25" borderId="11" xfId="0" applyNumberFormat="1" applyFont="1" applyFill="1" applyBorder="1" applyProtection="1"/>
    <xf numFmtId="5" fontId="13" fillId="25" borderId="69" xfId="0" applyNumberFormat="1" applyFont="1" applyFill="1" applyBorder="1" applyProtection="1"/>
    <xf numFmtId="5" fontId="13" fillId="25" borderId="71" xfId="0" applyNumberFormat="1" applyFont="1" applyFill="1" applyBorder="1" applyProtection="1"/>
    <xf numFmtId="9" fontId="23" fillId="0" borderId="90" xfId="0" applyNumberFormat="1" applyFont="1" applyFill="1" applyBorder="1" applyAlignment="1">
      <alignment horizontal="center"/>
    </xf>
    <xf numFmtId="0" fontId="14" fillId="0" borderId="18" xfId="0" quotePrefix="1" applyFont="1" applyFill="1" applyBorder="1" applyAlignment="1">
      <alignment horizontal="center" vertical="center" wrapText="1"/>
    </xf>
    <xf numFmtId="0" fontId="14" fillId="0" borderId="0" xfId="0" quotePrefix="1" applyFont="1" applyFill="1" applyBorder="1" applyAlignment="1">
      <alignment horizontal="center" vertical="center" wrapText="1"/>
    </xf>
    <xf numFmtId="3" fontId="77" fillId="0" borderId="35" xfId="0" applyNumberFormat="1" applyFont="1" applyFill="1" applyBorder="1" applyAlignment="1">
      <alignment horizontal="right"/>
    </xf>
    <xf numFmtId="6" fontId="63" fillId="0" borderId="35" xfId="0" applyNumberFormat="1" applyFont="1" applyBorder="1" applyAlignment="1">
      <alignment horizontal="right"/>
    </xf>
    <xf numFmtId="0" fontId="24" fillId="0" borderId="51" xfId="0" quotePrefix="1" applyFont="1" applyFill="1" applyBorder="1" applyAlignment="1">
      <alignment horizontal="center"/>
    </xf>
    <xf numFmtId="5" fontId="24" fillId="0" borderId="91" xfId="0" applyNumberFormat="1" applyFont="1" applyFill="1" applyBorder="1" applyAlignment="1" applyProtection="1">
      <alignment vertical="center"/>
    </xf>
    <xf numFmtId="5" fontId="28" fillId="25" borderId="81" xfId="0" applyNumberFormat="1" applyFont="1" applyFill="1" applyBorder="1" applyProtection="1"/>
    <xf numFmtId="167" fontId="11" fillId="0" borderId="0" xfId="0" applyNumberFormat="1" applyFont="1" applyBorder="1"/>
    <xf numFmtId="16" fontId="11" fillId="0" borderId="0" xfId="0" applyNumberFormat="1" applyFont="1" applyFill="1" applyBorder="1"/>
    <xf numFmtId="0" fontId="11" fillId="0" borderId="0" xfId="0" applyFont="1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/>
    </xf>
    <xf numFmtId="5" fontId="98" fillId="0" borderId="81" xfId="0" applyNumberFormat="1" applyFont="1" applyFill="1" applyBorder="1" applyProtection="1"/>
    <xf numFmtId="6" fontId="98" fillId="0" borderId="81" xfId="0" applyNumberFormat="1" applyFont="1" applyFill="1" applyBorder="1" applyProtection="1"/>
    <xf numFmtId="165" fontId="98" fillId="0" borderId="81" xfId="28" applyNumberFormat="1" applyFont="1" applyFill="1" applyBorder="1" applyProtection="1"/>
    <xf numFmtId="0" fontId="40" fillId="0" borderId="0" xfId="0" quotePrefix="1" applyFont="1" applyBorder="1" applyAlignment="1">
      <alignment horizontal="center" vertical="center" wrapText="1"/>
    </xf>
    <xf numFmtId="10" fontId="28" fillId="0" borderId="76" xfId="32" applyNumberFormat="1" applyFont="1" applyFill="1" applyBorder="1" applyAlignment="1">
      <alignment horizontal="right"/>
    </xf>
    <xf numFmtId="0" fontId="48" fillId="0" borderId="11" xfId="45" applyFont="1" applyFill="1" applyBorder="1" applyAlignment="1">
      <alignment horizontal="right" wrapText="1"/>
    </xf>
    <xf numFmtId="166" fontId="48" fillId="0" borderId="11" xfId="45" applyNumberFormat="1" applyFont="1" applyFill="1" applyBorder="1" applyAlignment="1">
      <alignment horizontal="right" wrapText="1"/>
    </xf>
    <xf numFmtId="0" fontId="48" fillId="0" borderId="13" xfId="45" applyFont="1" applyFill="1" applyBorder="1" applyAlignment="1">
      <alignment horizontal="right" wrapText="1"/>
    </xf>
    <xf numFmtId="166" fontId="48" fillId="0" borderId="13" xfId="45" applyNumberFormat="1" applyFont="1" applyFill="1" applyBorder="1" applyAlignment="1">
      <alignment horizontal="right" wrapText="1"/>
    </xf>
    <xf numFmtId="0" fontId="0" fillId="0" borderId="11" xfId="0" applyFill="1" applyBorder="1"/>
    <xf numFmtId="166" fontId="0" fillId="0" borderId="11" xfId="0" applyNumberFormat="1" applyFill="1" applyBorder="1"/>
    <xf numFmtId="1" fontId="11" fillId="0" borderId="11" xfId="0" applyNumberFormat="1" applyFont="1" applyFill="1" applyBorder="1"/>
    <xf numFmtId="166" fontId="11" fillId="32" borderId="11" xfId="0" applyNumberFormat="1" applyFont="1" applyFill="1" applyBorder="1"/>
    <xf numFmtId="4" fontId="11" fillId="32" borderId="11" xfId="28" applyNumberFormat="1" applyFont="1" applyFill="1" applyBorder="1"/>
    <xf numFmtId="4" fontId="11" fillId="32" borderId="34" xfId="28" applyNumberFormat="1" applyFont="1" applyFill="1" applyBorder="1"/>
    <xf numFmtId="40" fontId="11" fillId="32" borderId="11" xfId="0" applyNumberFormat="1" applyFont="1" applyFill="1" applyBorder="1"/>
    <xf numFmtId="168" fontId="11" fillId="0" borderId="11" xfId="48" applyNumberFormat="1" applyFont="1" applyFill="1" applyBorder="1"/>
    <xf numFmtId="168" fontId="11" fillId="0" borderId="13" xfId="48" applyNumberFormat="1" applyFont="1" applyFill="1" applyBorder="1"/>
    <xf numFmtId="0" fontId="28" fillId="0" borderId="12" xfId="0" applyFont="1" applyFill="1" applyBorder="1" applyAlignment="1">
      <alignment horizontal="right"/>
    </xf>
    <xf numFmtId="3" fontId="11" fillId="31" borderId="11" xfId="0" applyNumberFormat="1" applyFont="1" applyFill="1" applyBorder="1"/>
    <xf numFmtId="168" fontId="11" fillId="25" borderId="11" xfId="48" applyNumberFormat="1" applyFont="1" applyFill="1" applyBorder="1"/>
    <xf numFmtId="166" fontId="11" fillId="25" borderId="44" xfId="0" applyNumberFormat="1" applyFont="1" applyFill="1" applyBorder="1"/>
    <xf numFmtId="2" fontId="48" fillId="0" borderId="11" xfId="45" applyNumberFormat="1" applyFont="1" applyFill="1" applyBorder="1" applyAlignment="1">
      <alignment horizontal="right" wrapText="1"/>
    </xf>
    <xf numFmtId="2" fontId="48" fillId="0" borderId="13" xfId="45" applyNumberFormat="1" applyFont="1" applyFill="1" applyBorder="1" applyAlignment="1">
      <alignment horizontal="right" wrapText="1"/>
    </xf>
    <xf numFmtId="2" fontId="0" fillId="0" borderId="11" xfId="0" applyNumberFormat="1" applyFill="1" applyBorder="1"/>
    <xf numFmtId="0" fontId="51" fillId="28" borderId="35" xfId="0" applyFont="1" applyFill="1" applyBorder="1" applyAlignment="1">
      <alignment horizontal="center" wrapText="1"/>
    </xf>
    <xf numFmtId="0" fontId="78" fillId="28" borderId="35" xfId="0" applyFont="1" applyFill="1" applyBorder="1" applyAlignment="1">
      <alignment horizontal="right" wrapText="1"/>
    </xf>
    <xf numFmtId="0" fontId="78" fillId="28" borderId="35" xfId="0" applyFont="1" applyFill="1" applyBorder="1" applyAlignment="1">
      <alignment horizontal="left" wrapText="1"/>
    </xf>
    <xf numFmtId="0" fontId="78" fillId="28" borderId="13" xfId="0" applyFont="1" applyFill="1" applyBorder="1" applyAlignment="1">
      <alignment horizontal="right" wrapText="1"/>
    </xf>
    <xf numFmtId="3" fontId="51" fillId="0" borderId="35" xfId="0" applyNumberFormat="1" applyFont="1" applyFill="1" applyBorder="1" applyAlignment="1">
      <alignment horizontal="right"/>
    </xf>
    <xf numFmtId="6" fontId="51" fillId="0" borderId="35" xfId="0" applyNumberFormat="1" applyFont="1" applyBorder="1" applyAlignment="1">
      <alignment horizontal="right"/>
    </xf>
    <xf numFmtId="6" fontId="51" fillId="0" borderId="13" xfId="0" applyNumberFormat="1" applyFont="1" applyBorder="1" applyAlignment="1">
      <alignment horizontal="right"/>
    </xf>
    <xf numFmtId="0" fontId="51" fillId="33" borderId="35" xfId="0" applyFont="1" applyFill="1" applyBorder="1" applyAlignment="1">
      <alignment horizontal="right" wrapText="1"/>
    </xf>
    <xf numFmtId="3" fontId="77" fillId="33" borderId="14" xfId="0" applyNumberFormat="1" applyFont="1" applyFill="1" applyBorder="1" applyAlignment="1">
      <alignment horizontal="right"/>
    </xf>
    <xf numFmtId="6" fontId="63" fillId="33" borderId="14" xfId="0" applyNumberFormat="1" applyFont="1" applyFill="1" applyBorder="1" applyAlignment="1">
      <alignment horizontal="right"/>
    </xf>
    <xf numFmtId="0" fontId="99" fillId="0" borderId="0" xfId="0" applyFont="1" applyFill="1"/>
    <xf numFmtId="0" fontId="77" fillId="0" borderId="13" xfId="0" applyFont="1" applyFill="1" applyBorder="1" applyAlignment="1">
      <alignment horizontal="center" wrapText="1"/>
    </xf>
    <xf numFmtId="6" fontId="77" fillId="0" borderId="13" xfId="0" applyNumberFormat="1" applyFont="1" applyBorder="1" applyAlignment="1">
      <alignment horizontal="right"/>
    </xf>
    <xf numFmtId="3" fontId="77" fillId="0" borderId="35" xfId="0" applyNumberFormat="1" applyFont="1" applyFill="1" applyBorder="1" applyAlignment="1">
      <alignment horizontal="right" wrapText="1"/>
    </xf>
    <xf numFmtId="6" fontId="77" fillId="0" borderId="35" xfId="0" applyNumberFormat="1" applyFont="1" applyBorder="1" applyAlignment="1">
      <alignment horizontal="right"/>
    </xf>
    <xf numFmtId="3" fontId="51" fillId="0" borderId="26" xfId="0" applyNumberFormat="1" applyFont="1" applyFill="1" applyBorder="1" applyAlignment="1">
      <alignment horizontal="right"/>
    </xf>
    <xf numFmtId="166" fontId="11" fillId="27" borderId="11" xfId="28" applyNumberFormat="1" applyFont="1" applyFill="1" applyBorder="1"/>
    <xf numFmtId="166" fontId="11" fillId="0" borderId="11" xfId="28" applyNumberFormat="1" applyFont="1" applyBorder="1"/>
    <xf numFmtId="166" fontId="11" fillId="27" borderId="13" xfId="28" applyNumberFormat="1" applyFont="1" applyFill="1" applyBorder="1"/>
    <xf numFmtId="166" fontId="11" fillId="0" borderId="13" xfId="28" applyNumberFormat="1" applyFont="1" applyBorder="1"/>
    <xf numFmtId="10" fontId="16" fillId="0" borderId="92" xfId="0" applyNumberFormat="1" applyFont="1" applyFill="1" applyBorder="1" applyAlignment="1" applyProtection="1">
      <alignment vertical="top"/>
    </xf>
    <xf numFmtId="10" fontId="16" fillId="0" borderId="93" xfId="0" applyNumberFormat="1" applyFont="1" applyFill="1" applyBorder="1" applyProtection="1"/>
    <xf numFmtId="10" fontId="16" fillId="0" borderId="94" xfId="0" applyNumberFormat="1" applyFont="1" applyFill="1" applyBorder="1" applyProtection="1"/>
    <xf numFmtId="10" fontId="14" fillId="0" borderId="94" xfId="0" applyNumberFormat="1" applyFont="1" applyFill="1" applyBorder="1" applyProtection="1"/>
    <xf numFmtId="10" fontId="16" fillId="0" borderId="95" xfId="0" applyNumberFormat="1" applyFont="1" applyFill="1" applyBorder="1" applyProtection="1"/>
    <xf numFmtId="10" fontId="24" fillId="0" borderId="94" xfId="0" applyNumberFormat="1" applyFont="1" applyFill="1" applyBorder="1" applyProtection="1"/>
    <xf numFmtId="10" fontId="16" fillId="0" borderId="96" xfId="0" applyNumberFormat="1" applyFont="1" applyFill="1" applyBorder="1" applyProtection="1"/>
    <xf numFmtId="10" fontId="24" fillId="0" borderId="97" xfId="0" applyNumberFormat="1" applyFont="1" applyFill="1" applyBorder="1" applyProtection="1"/>
    <xf numFmtId="10" fontId="24" fillId="0" borderId="98" xfId="0" applyNumberFormat="1" applyFont="1" applyFill="1" applyBorder="1" applyProtection="1"/>
    <xf numFmtId="10" fontId="16" fillId="0" borderId="99" xfId="0" applyNumberFormat="1" applyFont="1" applyFill="1" applyBorder="1" applyProtection="1"/>
    <xf numFmtId="10" fontId="42" fillId="27" borderId="97" xfId="0" applyNumberFormat="1" applyFont="1" applyFill="1" applyBorder="1" applyProtection="1"/>
    <xf numFmtId="10" fontId="42" fillId="0" borderId="100" xfId="0" applyNumberFormat="1" applyFont="1" applyFill="1" applyBorder="1" applyProtection="1"/>
    <xf numFmtId="10" fontId="16" fillId="0" borderId="101" xfId="0" applyNumberFormat="1" applyFont="1" applyFill="1" applyBorder="1" applyProtection="1"/>
    <xf numFmtId="10" fontId="16" fillId="0" borderId="102" xfId="0" applyNumberFormat="1" applyFont="1" applyFill="1" applyBorder="1" applyProtection="1"/>
    <xf numFmtId="10" fontId="16" fillId="0" borderId="103" xfId="0" applyNumberFormat="1" applyFont="1" applyFill="1" applyBorder="1" applyProtection="1"/>
    <xf numFmtId="10" fontId="24" fillId="27" borderId="104" xfId="0" applyNumberFormat="1" applyFont="1" applyFill="1" applyBorder="1" applyAlignment="1" applyProtection="1">
      <alignment vertical="center"/>
    </xf>
    <xf numFmtId="10" fontId="42" fillId="0" borderId="94" xfId="0" applyNumberFormat="1" applyFont="1" applyFill="1" applyBorder="1" applyProtection="1"/>
    <xf numFmtId="10" fontId="16" fillId="27" borderId="106" xfId="0" applyNumberFormat="1" applyFont="1" applyFill="1" applyBorder="1" applyAlignment="1" applyProtection="1">
      <alignment vertical="center"/>
    </xf>
    <xf numFmtId="10" fontId="16" fillId="0" borderId="107" xfId="0" applyNumberFormat="1" applyFont="1" applyFill="1" applyBorder="1" applyProtection="1"/>
    <xf numFmtId="0" fontId="14" fillId="0" borderId="108" xfId="0" applyFont="1" applyFill="1" applyBorder="1" applyAlignment="1">
      <alignment horizontal="left" vertical="center" wrapText="1"/>
    </xf>
    <xf numFmtId="5" fontId="16" fillId="0" borderId="109" xfId="0" applyNumberFormat="1" applyFont="1" applyFill="1" applyBorder="1" applyAlignment="1" applyProtection="1">
      <alignment vertical="center"/>
    </xf>
    <xf numFmtId="10" fontId="16" fillId="0" borderId="110" xfId="0" applyNumberFormat="1" applyFont="1" applyFill="1" applyBorder="1" applyProtection="1"/>
    <xf numFmtId="0" fontId="24" fillId="27" borderId="111" xfId="0" applyFont="1" applyFill="1" applyBorder="1" applyAlignment="1">
      <alignment horizontal="center" vertical="center"/>
    </xf>
    <xf numFmtId="5" fontId="24" fillId="27" borderId="112" xfId="0" applyNumberFormat="1" applyFont="1" applyFill="1" applyBorder="1" applyAlignment="1" applyProtection="1">
      <alignment vertical="center"/>
    </xf>
    <xf numFmtId="0" fontId="14" fillId="0" borderId="83" xfId="0" applyFont="1" applyFill="1" applyBorder="1" applyAlignment="1">
      <alignment horizontal="left" vertical="center" wrapText="1"/>
    </xf>
    <xf numFmtId="5" fontId="16" fillId="0" borderId="89" xfId="0" applyNumberFormat="1" applyFont="1" applyFill="1" applyBorder="1" applyAlignment="1" applyProtection="1">
      <alignment vertical="center"/>
    </xf>
    <xf numFmtId="10" fontId="16" fillId="0" borderId="113" xfId="0" applyNumberFormat="1" applyFont="1" applyFill="1" applyBorder="1" applyProtection="1"/>
    <xf numFmtId="0" fontId="100" fillId="0" borderId="0" xfId="0" applyFont="1" applyBorder="1"/>
    <xf numFmtId="0" fontId="100" fillId="26" borderId="13" xfId="0" applyFont="1" applyFill="1" applyBorder="1" applyAlignment="1">
      <alignment horizontal="center" vertical="center"/>
    </xf>
    <xf numFmtId="0" fontId="100" fillId="26" borderId="26" xfId="0" applyFont="1" applyFill="1" applyBorder="1" applyAlignment="1">
      <alignment horizontal="center" vertical="center"/>
    </xf>
    <xf numFmtId="0" fontId="100" fillId="26" borderId="26" xfId="0" applyFont="1" applyFill="1" applyBorder="1" applyAlignment="1">
      <alignment horizontal="center" vertical="center" wrapText="1"/>
    </xf>
    <xf numFmtId="0" fontId="100" fillId="0" borderId="0" xfId="0" applyFont="1" applyBorder="1" applyAlignment="1">
      <alignment horizontal="center" vertical="center"/>
    </xf>
    <xf numFmtId="0" fontId="79" fillId="0" borderId="0" xfId="0" applyFont="1" applyBorder="1"/>
    <xf numFmtId="0" fontId="103" fillId="0" borderId="0" xfId="0" quotePrefix="1" applyFont="1" applyFill="1" applyBorder="1" applyAlignment="1">
      <alignment horizontal="left" wrapText="1"/>
    </xf>
    <xf numFmtId="6" fontId="104" fillId="0" borderId="0" xfId="0" applyNumberFormat="1" applyFont="1" applyBorder="1" applyAlignment="1">
      <alignment horizontal="right"/>
    </xf>
    <xf numFmtId="38" fontId="104" fillId="0" borderId="0" xfId="0" applyNumberFormat="1" applyFont="1" applyBorder="1" applyAlignment="1">
      <alignment horizontal="right"/>
    </xf>
    <xf numFmtId="6" fontId="100" fillId="0" borderId="0" xfId="0" applyNumberFormat="1" applyFont="1" applyBorder="1"/>
    <xf numFmtId="0" fontId="104" fillId="0" borderId="0" xfId="0" applyFont="1" applyFill="1" applyBorder="1" applyAlignment="1">
      <alignment horizontal="left"/>
    </xf>
    <xf numFmtId="0" fontId="104" fillId="0" borderId="0" xfId="0" applyFont="1" applyBorder="1"/>
    <xf numFmtId="5" fontId="11" fillId="27" borderId="11" xfId="0" applyNumberFormat="1" applyFont="1" applyFill="1" applyBorder="1" applyProtection="1"/>
    <xf numFmtId="5" fontId="11" fillId="27" borderId="69" xfId="0" applyNumberFormat="1" applyFont="1" applyFill="1" applyBorder="1" applyProtection="1"/>
    <xf numFmtId="5" fontId="11" fillId="27" borderId="71" xfId="0" applyNumberFormat="1" applyFont="1" applyFill="1" applyBorder="1" applyProtection="1"/>
    <xf numFmtId="6" fontId="11" fillId="27" borderId="11" xfId="0" applyNumberFormat="1" applyFont="1" applyFill="1" applyBorder="1" applyProtection="1"/>
    <xf numFmtId="6" fontId="11" fillId="27" borderId="69" xfId="0" applyNumberFormat="1" applyFont="1" applyFill="1" applyBorder="1" applyProtection="1"/>
    <xf numFmtId="0" fontId="0" fillId="0" borderId="34" xfId="0" applyBorder="1" applyAlignment="1">
      <alignment wrapText="1"/>
    </xf>
    <xf numFmtId="0" fontId="0" fillId="0" borderId="0" xfId="0" applyBorder="1" applyAlignment="1">
      <alignment wrapText="1"/>
    </xf>
    <xf numFmtId="0" fontId="66" fillId="28" borderId="36" xfId="0" applyFont="1" applyFill="1" applyBorder="1" applyAlignment="1">
      <alignment horizontal="left" wrapText="1"/>
    </xf>
    <xf numFmtId="6" fontId="77" fillId="27" borderId="13" xfId="0" applyNumberFormat="1" applyFont="1" applyFill="1" applyBorder="1" applyAlignment="1">
      <alignment horizontal="right"/>
    </xf>
    <xf numFmtId="6" fontId="63" fillId="27" borderId="13" xfId="0" applyNumberFormat="1" applyFont="1" applyFill="1" applyBorder="1" applyAlignment="1">
      <alignment horizontal="right"/>
    </xf>
    <xf numFmtId="6" fontId="51" fillId="27" borderId="13" xfId="0" applyNumberFormat="1" applyFont="1" applyFill="1" applyBorder="1" applyAlignment="1">
      <alignment horizontal="right"/>
    </xf>
    <xf numFmtId="0" fontId="78" fillId="27" borderId="13" xfId="0" applyFont="1" applyFill="1" applyBorder="1" applyAlignment="1">
      <alignment horizontal="right" wrapText="1"/>
    </xf>
    <xf numFmtId="38" fontId="63" fillId="33" borderId="14" xfId="0" applyNumberFormat="1" applyFont="1" applyFill="1" applyBorder="1" applyAlignment="1">
      <alignment horizontal="right"/>
    </xf>
    <xf numFmtId="38" fontId="51" fillId="0" borderId="26" xfId="0" applyNumberFormat="1" applyFont="1" applyBorder="1" applyAlignment="1">
      <alignment horizontal="left"/>
    </xf>
    <xf numFmtId="6" fontId="51" fillId="0" borderId="26" xfId="0" applyNumberFormat="1" applyFont="1" applyFill="1" applyBorder="1" applyAlignment="1">
      <alignment horizontal="right"/>
    </xf>
    <xf numFmtId="6" fontId="51" fillId="27" borderId="26" xfId="0" applyNumberFormat="1" applyFont="1" applyFill="1" applyBorder="1" applyAlignment="1">
      <alignment horizontal="right"/>
    </xf>
    <xf numFmtId="6" fontId="0" fillId="27" borderId="13" xfId="0" applyNumberFormat="1" applyFill="1" applyBorder="1"/>
    <xf numFmtId="6" fontId="28" fillId="27" borderId="12" xfId="0" applyNumberFormat="1" applyFont="1" applyFill="1" applyBorder="1"/>
    <xf numFmtId="0" fontId="25" fillId="25" borderId="13" xfId="0" applyFont="1" applyFill="1" applyBorder="1" applyAlignment="1">
      <alignment horizontal="center" wrapText="1"/>
    </xf>
    <xf numFmtId="10" fontId="11" fillId="0" borderId="0" xfId="0" applyNumberFormat="1" applyFont="1" applyBorder="1"/>
    <xf numFmtId="0" fontId="11" fillId="0" borderId="0" xfId="0" applyFont="1" applyAlignment="1"/>
    <xf numFmtId="3" fontId="11" fillId="40" borderId="11" xfId="0" applyNumberFormat="1" applyFont="1" applyFill="1" applyBorder="1"/>
    <xf numFmtId="10" fontId="11" fillId="41" borderId="11" xfId="48" applyNumberFormat="1" applyFont="1" applyFill="1" applyBorder="1"/>
    <xf numFmtId="6" fontId="11" fillId="41" borderId="11" xfId="32" applyNumberFormat="1" applyFont="1" applyFill="1" applyBorder="1"/>
    <xf numFmtId="10" fontId="11" fillId="39" borderId="11" xfId="48" applyNumberFormat="1" applyFont="1" applyFill="1" applyBorder="1"/>
    <xf numFmtId="6" fontId="11" fillId="39" borderId="11" xfId="32" applyNumberFormat="1" applyFont="1" applyFill="1" applyBorder="1"/>
    <xf numFmtId="10" fontId="11" fillId="39" borderId="13" xfId="48" applyNumberFormat="1" applyFont="1" applyFill="1" applyBorder="1"/>
    <xf numFmtId="6" fontId="11" fillId="39" borderId="13" xfId="32" applyNumberFormat="1" applyFont="1" applyFill="1" applyBorder="1"/>
    <xf numFmtId="1" fontId="48" fillId="0" borderId="11" xfId="45" applyNumberFormat="1" applyFont="1" applyFill="1" applyBorder="1" applyAlignment="1">
      <alignment horizontal="right" wrapText="1"/>
    </xf>
    <xf numFmtId="10" fontId="11" fillId="41" borderId="11" xfId="0" applyNumberFormat="1" applyFont="1" applyFill="1" applyBorder="1"/>
    <xf numFmtId="10" fontId="11" fillId="41" borderId="13" xfId="0" applyNumberFormat="1" applyFont="1" applyFill="1" applyBorder="1"/>
    <xf numFmtId="10" fontId="11" fillId="39" borderId="11" xfId="0" applyNumberFormat="1" applyFont="1" applyFill="1" applyBorder="1"/>
    <xf numFmtId="166" fontId="11" fillId="41" borderId="11" xfId="0" applyNumberFormat="1" applyFont="1" applyFill="1" applyBorder="1"/>
    <xf numFmtId="166" fontId="11" fillId="41" borderId="13" xfId="0" applyNumberFormat="1" applyFont="1" applyFill="1" applyBorder="1"/>
    <xf numFmtId="166" fontId="11" fillId="39" borderId="11" xfId="0" applyNumberFormat="1" applyFont="1" applyFill="1" applyBorder="1"/>
    <xf numFmtId="9" fontId="22" fillId="27" borderId="26" xfId="0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168" fontId="54" fillId="0" borderId="0" xfId="0" applyNumberFormat="1" applyFont="1" applyAlignment="1">
      <alignment horizontal="center"/>
    </xf>
    <xf numFmtId="0" fontId="54" fillId="0" borderId="0" xfId="0" applyFont="1" applyFill="1" applyBorder="1" applyAlignment="1">
      <alignment horizontal="center" vertical="center"/>
    </xf>
    <xf numFmtId="3" fontId="11" fillId="41" borderId="11" xfId="0" applyNumberFormat="1" applyFont="1" applyFill="1" applyBorder="1"/>
    <xf numFmtId="0" fontId="63" fillId="0" borderId="35" xfId="0" applyFont="1" applyBorder="1" applyAlignment="1">
      <alignment horizontal="left" wrapText="1"/>
    </xf>
    <xf numFmtId="0" fontId="63" fillId="0" borderId="26" xfId="0" applyFont="1" applyBorder="1" applyAlignment="1">
      <alignment horizontal="left" wrapText="1"/>
    </xf>
    <xf numFmtId="0" fontId="63" fillId="0" borderId="35" xfId="0" applyFont="1" applyFill="1" applyBorder="1" applyAlignment="1">
      <alignment horizontal="left" wrapText="1"/>
    </xf>
    <xf numFmtId="38" fontId="11" fillId="0" borderId="71" xfId="0" applyNumberFormat="1" applyFont="1" applyFill="1" applyBorder="1" applyProtection="1"/>
    <xf numFmtId="49" fontId="69" fillId="41" borderId="34" xfId="0" applyNumberFormat="1" applyFont="1" applyFill="1" applyBorder="1" applyAlignment="1">
      <alignment horizontal="center" vertical="center" wrapText="1"/>
    </xf>
    <xf numFmtId="49" fontId="69" fillId="41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49" fontId="28" fillId="42" borderId="26" xfId="0" applyNumberFormat="1" applyFont="1" applyFill="1" applyBorder="1" applyAlignment="1">
      <alignment horizontal="center" vertical="center" wrapText="1"/>
    </xf>
    <xf numFmtId="49" fontId="28" fillId="41" borderId="34" xfId="0" applyNumberFormat="1" applyFont="1" applyFill="1" applyBorder="1" applyAlignment="1">
      <alignment horizontal="center" vertical="center" wrapText="1"/>
    </xf>
    <xf numFmtId="49" fontId="28" fillId="41" borderId="0" xfId="0" applyNumberFormat="1" applyFont="1" applyFill="1" applyBorder="1" applyAlignment="1">
      <alignment horizontal="center" vertical="center" wrapText="1"/>
    </xf>
    <xf numFmtId="10" fontId="28" fillId="42" borderId="26" xfId="49" applyNumberFormat="1" applyFont="1" applyFill="1" applyBorder="1" applyAlignment="1">
      <alignment horizontal="center" vertical="center" wrapText="1"/>
    </xf>
    <xf numFmtId="6" fontId="28" fillId="42" borderId="26" xfId="49" applyNumberFormat="1" applyFont="1" applyFill="1" applyBorder="1" applyAlignment="1">
      <alignment horizontal="center" vertical="center" wrapText="1"/>
    </xf>
    <xf numFmtId="1" fontId="11" fillId="26" borderId="11" xfId="0" applyNumberFormat="1" applyFont="1" applyFill="1" applyBorder="1" applyAlignment="1" applyProtection="1">
      <alignment horizontal="center"/>
    </xf>
    <xf numFmtId="1" fontId="13" fillId="26" borderId="11" xfId="0" applyNumberFormat="1" applyFont="1" applyFill="1" applyBorder="1" applyAlignment="1" applyProtection="1">
      <alignment horizontal="center"/>
    </xf>
    <xf numFmtId="1" fontId="22" fillId="26" borderId="10" xfId="0" quotePrefix="1" applyNumberFormat="1" applyFont="1" applyFill="1" applyBorder="1" applyAlignment="1" applyProtection="1">
      <alignment horizontal="center"/>
    </xf>
    <xf numFmtId="1" fontId="11" fillId="0" borderId="0" xfId="0" applyNumberFormat="1" applyFont="1" applyAlignment="1">
      <alignment horizontal="center"/>
    </xf>
    <xf numFmtId="1" fontId="11" fillId="26" borderId="26" xfId="0" applyNumberFormat="1" applyFont="1" applyFill="1" applyBorder="1" applyAlignment="1" applyProtection="1">
      <alignment horizontal="center"/>
    </xf>
    <xf numFmtId="1" fontId="13" fillId="26" borderId="26" xfId="0" applyNumberFormat="1" applyFont="1" applyFill="1" applyBorder="1" applyAlignment="1" applyProtection="1">
      <alignment horizontal="center"/>
    </xf>
    <xf numFmtId="1" fontId="22" fillId="26" borderId="26" xfId="0" applyNumberFormat="1" applyFont="1" applyFill="1" applyBorder="1" applyAlignment="1" applyProtection="1">
      <alignment horizontal="center"/>
    </xf>
    <xf numFmtId="1" fontId="22" fillId="26" borderId="26" xfId="0" applyNumberFormat="1" applyFont="1" applyFill="1" applyBorder="1" applyAlignment="1" applyProtection="1">
      <alignment horizontal="center" wrapText="1"/>
    </xf>
    <xf numFmtId="1" fontId="22" fillId="41" borderId="34" xfId="0" applyNumberFormat="1" applyFont="1" applyFill="1" applyBorder="1" applyAlignment="1" applyProtection="1">
      <alignment horizontal="center"/>
    </xf>
    <xf numFmtId="1" fontId="22" fillId="41" borderId="0" xfId="0" applyNumberFormat="1" applyFont="1" applyFill="1" applyBorder="1" applyAlignment="1" applyProtection="1">
      <alignment horizontal="center"/>
    </xf>
    <xf numFmtId="1" fontId="22" fillId="26" borderId="42" xfId="0" applyNumberFormat="1" applyFont="1" applyFill="1" applyBorder="1" applyAlignment="1" applyProtection="1">
      <alignment horizontal="center" wrapText="1"/>
    </xf>
    <xf numFmtId="1" fontId="11" fillId="0" borderId="26" xfId="0" applyNumberFormat="1" applyFont="1" applyBorder="1" applyAlignment="1">
      <alignment horizontal="center"/>
    </xf>
    <xf numFmtId="0" fontId="11" fillId="0" borderId="115" xfId="0" applyFont="1" applyFill="1" applyBorder="1" applyProtection="1"/>
    <xf numFmtId="0" fontId="11" fillId="0" borderId="116" xfId="0" applyFont="1" applyFill="1" applyBorder="1" applyProtection="1"/>
    <xf numFmtId="172" fontId="11" fillId="41" borderId="116" xfId="30" applyNumberFormat="1" applyFont="1" applyFill="1" applyBorder="1" applyAlignment="1" applyProtection="1">
      <alignment horizontal="right"/>
    </xf>
    <xf numFmtId="166" fontId="11" fillId="0" borderId="117" xfId="30" applyNumberFormat="1" applyFont="1" applyFill="1" applyBorder="1" applyAlignment="1" applyProtection="1">
      <alignment horizontal="right"/>
    </xf>
    <xf numFmtId="166" fontId="11" fillId="42" borderId="117" xfId="30" applyNumberFormat="1" applyFont="1" applyFill="1" applyBorder="1" applyAlignment="1" applyProtection="1">
      <alignment horizontal="right"/>
    </xf>
    <xf numFmtId="166" fontId="11" fillId="41" borderId="66" xfId="30" applyNumberFormat="1" applyFont="1" applyFill="1" applyBorder="1" applyAlignment="1" applyProtection="1">
      <alignment horizontal="right"/>
    </xf>
    <xf numFmtId="166" fontId="11" fillId="41" borderId="0" xfId="30" applyNumberFormat="1" applyFont="1" applyFill="1" applyBorder="1" applyAlignment="1" applyProtection="1">
      <alignment horizontal="right"/>
    </xf>
    <xf numFmtId="166" fontId="11" fillId="0" borderId="118" xfId="0" applyNumberFormat="1" applyFont="1" applyFill="1" applyBorder="1" applyAlignment="1" applyProtection="1">
      <alignment horizontal="right"/>
    </xf>
    <xf numFmtId="3" fontId="11" fillId="41" borderId="116" xfId="30" applyNumberFormat="1" applyFont="1" applyFill="1" applyBorder="1" applyAlignment="1" applyProtection="1">
      <alignment horizontal="right"/>
    </xf>
    <xf numFmtId="166" fontId="11" fillId="0" borderId="116" xfId="0" applyNumberFormat="1" applyFont="1" applyFill="1" applyBorder="1" applyAlignment="1" applyProtection="1">
      <alignment horizontal="right"/>
    </xf>
    <xf numFmtId="166" fontId="11" fillId="43" borderId="116" xfId="0" applyNumberFormat="1" applyFont="1" applyFill="1" applyBorder="1" applyAlignment="1" applyProtection="1">
      <alignment horizontal="right"/>
    </xf>
    <xf numFmtId="166" fontId="11" fillId="44" borderId="116" xfId="0" applyNumberFormat="1" applyFont="1" applyFill="1" applyBorder="1" applyAlignment="1" applyProtection="1">
      <alignment horizontal="right"/>
    </xf>
    <xf numFmtId="0" fontId="11" fillId="0" borderId="119" xfId="0" applyFont="1" applyFill="1" applyBorder="1" applyProtection="1"/>
    <xf numFmtId="0" fontId="11" fillId="0" borderId="120" xfId="0" applyFont="1" applyFill="1" applyBorder="1" applyProtection="1"/>
    <xf numFmtId="172" fontId="11" fillId="41" borderId="120" xfId="30" applyNumberFormat="1" applyFont="1" applyFill="1" applyBorder="1" applyAlignment="1" applyProtection="1">
      <alignment horizontal="right"/>
    </xf>
    <xf numFmtId="166" fontId="11" fillId="0" borderId="121" xfId="30" applyNumberFormat="1" applyFont="1" applyFill="1" applyBorder="1" applyAlignment="1" applyProtection="1">
      <alignment horizontal="right"/>
    </xf>
    <xf numFmtId="166" fontId="11" fillId="42" borderId="121" xfId="30" applyNumberFormat="1" applyFont="1" applyFill="1" applyBorder="1" applyAlignment="1" applyProtection="1">
      <alignment horizontal="right"/>
    </xf>
    <xf numFmtId="3" fontId="11" fillId="41" borderId="120" xfId="30" applyNumberFormat="1" applyFont="1" applyFill="1" applyBorder="1" applyAlignment="1" applyProtection="1">
      <alignment horizontal="right"/>
    </xf>
    <xf numFmtId="166" fontId="11" fillId="0" borderId="120" xfId="0" applyNumberFormat="1" applyFont="1" applyFill="1" applyBorder="1" applyAlignment="1" applyProtection="1">
      <alignment horizontal="right"/>
    </xf>
    <xf numFmtId="166" fontId="11" fillId="43" borderId="120" xfId="0" applyNumberFormat="1" applyFont="1" applyFill="1" applyBorder="1" applyAlignment="1" applyProtection="1">
      <alignment horizontal="right"/>
    </xf>
    <xf numFmtId="166" fontId="11" fillId="44" borderId="120" xfId="0" applyNumberFormat="1" applyFont="1" applyFill="1" applyBorder="1" applyAlignment="1" applyProtection="1">
      <alignment horizontal="right"/>
    </xf>
    <xf numFmtId="166" fontId="11" fillId="41" borderId="66" xfId="30" applyNumberFormat="1" applyFont="1" applyFill="1" applyBorder="1" applyAlignment="1" applyProtection="1">
      <alignment horizontal="right" wrapText="1"/>
    </xf>
    <xf numFmtId="0" fontId="11" fillId="41" borderId="0" xfId="0" applyFont="1" applyFill="1" applyBorder="1" applyAlignment="1">
      <alignment horizontal="center"/>
    </xf>
    <xf numFmtId="0" fontId="11" fillId="0" borderId="122" xfId="0" applyFont="1" applyFill="1" applyBorder="1" applyProtection="1"/>
    <xf numFmtId="0" fontId="11" fillId="0" borderId="123" xfId="0" applyFont="1" applyFill="1" applyBorder="1" applyProtection="1"/>
    <xf numFmtId="172" fontId="11" fillId="41" borderId="123" xfId="30" applyNumberFormat="1" applyFont="1" applyFill="1" applyBorder="1" applyAlignment="1" applyProtection="1">
      <alignment horizontal="right"/>
    </xf>
    <xf numFmtId="166" fontId="11" fillId="0" borderId="124" xfId="30" applyNumberFormat="1" applyFont="1" applyFill="1" applyBorder="1" applyAlignment="1" applyProtection="1">
      <alignment horizontal="right"/>
    </xf>
    <xf numFmtId="166" fontId="11" fillId="42" borderId="124" xfId="30" applyNumberFormat="1" applyFont="1" applyFill="1" applyBorder="1" applyAlignment="1" applyProtection="1">
      <alignment horizontal="right"/>
    </xf>
    <xf numFmtId="166" fontId="11" fillId="41" borderId="0" xfId="30" applyNumberFormat="1" applyFont="1" applyFill="1" applyBorder="1" applyAlignment="1" applyProtection="1"/>
    <xf numFmtId="166" fontId="11" fillId="0" borderId="125" xfId="0" applyNumberFormat="1" applyFont="1" applyFill="1" applyBorder="1" applyAlignment="1" applyProtection="1">
      <alignment horizontal="right"/>
    </xf>
    <xf numFmtId="3" fontId="11" fillId="41" borderId="123" xfId="30" applyNumberFormat="1" applyFont="1" applyFill="1" applyBorder="1" applyAlignment="1" applyProtection="1">
      <alignment horizontal="right"/>
    </xf>
    <xf numFmtId="166" fontId="11" fillId="0" borderId="123" xfId="0" applyNumberFormat="1" applyFont="1" applyFill="1" applyBorder="1" applyAlignment="1" applyProtection="1">
      <alignment horizontal="right"/>
    </xf>
    <xf numFmtId="166" fontId="11" fillId="43" borderId="123" xfId="0" applyNumberFormat="1" applyFont="1" applyFill="1" applyBorder="1" applyAlignment="1" applyProtection="1">
      <alignment horizontal="right"/>
    </xf>
    <xf numFmtId="166" fontId="11" fillId="44" borderId="123" xfId="0" applyNumberFormat="1" applyFont="1" applyFill="1" applyBorder="1" applyAlignment="1" applyProtection="1">
      <alignment horizontal="right"/>
    </xf>
    <xf numFmtId="166" fontId="11" fillId="41" borderId="0" xfId="30" applyNumberFormat="1" applyFont="1" applyFill="1" applyBorder="1" applyAlignment="1" applyProtection="1">
      <alignment horizontal="left"/>
    </xf>
    <xf numFmtId="172" fontId="11" fillId="41" borderId="120" xfId="0" applyNumberFormat="1" applyFont="1" applyFill="1" applyBorder="1" applyAlignment="1" applyProtection="1">
      <alignment horizontal="right"/>
    </xf>
    <xf numFmtId="166" fontId="11" fillId="0" borderId="121" xfId="0" applyNumberFormat="1" applyFont="1" applyFill="1" applyBorder="1" applyAlignment="1" applyProtection="1">
      <alignment horizontal="right"/>
    </xf>
    <xf numFmtId="166" fontId="11" fillId="42" borderId="121" xfId="0" applyNumberFormat="1" applyFont="1" applyFill="1" applyBorder="1" applyAlignment="1" applyProtection="1">
      <alignment horizontal="right"/>
    </xf>
    <xf numFmtId="166" fontId="11" fillId="41" borderId="66" xfId="0" applyNumberFormat="1" applyFont="1" applyFill="1" applyBorder="1" applyAlignment="1" applyProtection="1">
      <alignment horizontal="right"/>
    </xf>
    <xf numFmtId="166" fontId="11" fillId="41" borderId="0" xfId="0" applyNumberFormat="1" applyFont="1" applyFill="1" applyBorder="1" applyAlignment="1" applyProtection="1">
      <alignment horizontal="right"/>
    </xf>
    <xf numFmtId="3" fontId="11" fillId="41" borderId="120" xfId="0" applyNumberFormat="1" applyFont="1" applyFill="1" applyBorder="1" applyAlignment="1" applyProtection="1">
      <alignment horizontal="right"/>
    </xf>
    <xf numFmtId="172" fontId="11" fillId="41" borderId="123" xfId="0" applyNumberFormat="1" applyFont="1" applyFill="1" applyBorder="1" applyAlignment="1" applyProtection="1">
      <alignment horizontal="right"/>
    </xf>
    <xf numFmtId="166" fontId="11" fillId="0" borderId="124" xfId="0" applyNumberFormat="1" applyFont="1" applyFill="1" applyBorder="1" applyAlignment="1" applyProtection="1">
      <alignment horizontal="right"/>
    </xf>
    <xf numFmtId="166" fontId="11" fillId="42" borderId="124" xfId="0" applyNumberFormat="1" applyFont="1" applyFill="1" applyBorder="1" applyAlignment="1" applyProtection="1">
      <alignment horizontal="right"/>
    </xf>
    <xf numFmtId="3" fontId="11" fillId="41" borderId="123" xfId="0" applyNumberFormat="1" applyFont="1" applyFill="1" applyBorder="1" applyAlignment="1" applyProtection="1">
      <alignment horizontal="right"/>
    </xf>
    <xf numFmtId="172" fontId="11" fillId="41" borderId="116" xfId="0" applyNumberFormat="1" applyFont="1" applyFill="1" applyBorder="1" applyAlignment="1" applyProtection="1">
      <alignment horizontal="right"/>
    </xf>
    <xf numFmtId="166" fontId="11" fillId="0" borderId="117" xfId="0" applyNumberFormat="1" applyFont="1" applyFill="1" applyBorder="1" applyAlignment="1" applyProtection="1">
      <alignment horizontal="right"/>
    </xf>
    <xf numFmtId="166" fontId="11" fillId="42" borderId="117" xfId="0" applyNumberFormat="1" applyFont="1" applyFill="1" applyBorder="1" applyAlignment="1" applyProtection="1">
      <alignment horizontal="right"/>
    </xf>
    <xf numFmtId="3" fontId="11" fillId="41" borderId="116" xfId="0" applyNumberFormat="1" applyFont="1" applyFill="1" applyBorder="1" applyAlignment="1" applyProtection="1">
      <alignment horizontal="right"/>
    </xf>
    <xf numFmtId="0" fontId="11" fillId="0" borderId="126" xfId="0" applyFont="1" applyFill="1" applyBorder="1" applyProtection="1"/>
    <xf numFmtId="0" fontId="11" fillId="0" borderId="127" xfId="0" applyFont="1" applyFill="1" applyBorder="1" applyProtection="1"/>
    <xf numFmtId="172" fontId="11" fillId="41" borderId="127" xfId="0" applyNumberFormat="1" applyFont="1" applyFill="1" applyBorder="1" applyAlignment="1" applyProtection="1">
      <alignment horizontal="right"/>
    </xf>
    <xf numFmtId="166" fontId="11" fillId="0" borderId="128" xfId="0" applyNumberFormat="1" applyFont="1" applyFill="1" applyBorder="1" applyAlignment="1" applyProtection="1">
      <alignment horizontal="right"/>
    </xf>
    <xf numFmtId="166" fontId="11" fillId="42" borderId="128" xfId="0" applyNumberFormat="1" applyFont="1" applyFill="1" applyBorder="1" applyAlignment="1" applyProtection="1">
      <alignment horizontal="right"/>
    </xf>
    <xf numFmtId="3" fontId="11" fillId="41" borderId="127" xfId="0" applyNumberFormat="1" applyFont="1" applyFill="1" applyBorder="1" applyAlignment="1" applyProtection="1">
      <alignment horizontal="right"/>
    </xf>
    <xf numFmtId="166" fontId="11" fillId="0" borderId="127" xfId="0" applyNumberFormat="1" applyFont="1" applyFill="1" applyBorder="1" applyAlignment="1" applyProtection="1">
      <alignment horizontal="right"/>
    </xf>
    <xf numFmtId="166" fontId="11" fillId="43" borderId="127" xfId="0" applyNumberFormat="1" applyFont="1" applyFill="1" applyBorder="1" applyAlignment="1" applyProtection="1">
      <alignment horizontal="right"/>
    </xf>
    <xf numFmtId="166" fontId="11" fillId="44" borderId="127" xfId="0" applyNumberFormat="1" applyFont="1" applyFill="1" applyBorder="1" applyAlignment="1" applyProtection="1">
      <alignment horizontal="right"/>
    </xf>
    <xf numFmtId="0" fontId="13" fillId="0" borderId="129" xfId="0" applyFont="1" applyFill="1" applyBorder="1" applyProtection="1"/>
    <xf numFmtId="0" fontId="28" fillId="0" borderId="79" xfId="0" applyFont="1" applyFill="1" applyBorder="1" applyAlignment="1" applyProtection="1">
      <alignment horizontal="center"/>
    </xf>
    <xf numFmtId="172" fontId="28" fillId="41" borderId="79" xfId="30" applyNumberFormat="1" applyFont="1" applyFill="1" applyBorder="1" applyAlignment="1" applyProtection="1">
      <alignment horizontal="right"/>
    </xf>
    <xf numFmtId="166" fontId="28" fillId="0" borderId="80" xfId="30" applyNumberFormat="1" applyFont="1" applyFill="1" applyBorder="1" applyAlignment="1" applyProtection="1">
      <alignment horizontal="right"/>
    </xf>
    <xf numFmtId="166" fontId="28" fillId="42" borderId="80" xfId="30" applyNumberFormat="1" applyFont="1" applyFill="1" applyBorder="1" applyAlignment="1" applyProtection="1">
      <alignment horizontal="right"/>
    </xf>
    <xf numFmtId="166" fontId="28" fillId="41" borderId="0" xfId="30" applyNumberFormat="1" applyFont="1" applyFill="1" applyBorder="1" applyAlignment="1" applyProtection="1">
      <alignment horizontal="right"/>
    </xf>
    <xf numFmtId="166" fontId="13" fillId="0" borderId="130" xfId="0" applyNumberFormat="1" applyFont="1" applyFill="1" applyBorder="1" applyAlignment="1" applyProtection="1">
      <alignment horizontal="right"/>
    </xf>
    <xf numFmtId="3" fontId="28" fillId="41" borderId="79" xfId="30" applyNumberFormat="1" applyFont="1" applyFill="1" applyBorder="1" applyAlignment="1" applyProtection="1">
      <alignment horizontal="right"/>
    </xf>
    <xf numFmtId="166" fontId="28" fillId="43" borderId="79" xfId="30" applyNumberFormat="1" applyFont="1" applyFill="1" applyBorder="1" applyAlignment="1" applyProtection="1">
      <alignment horizontal="right"/>
    </xf>
    <xf numFmtId="166" fontId="28" fillId="44" borderId="79" xfId="30" applyNumberFormat="1" applyFont="1" applyFill="1" applyBorder="1" applyAlignment="1" applyProtection="1">
      <alignment horizontal="right"/>
    </xf>
    <xf numFmtId="0" fontId="13" fillId="0" borderId="0" xfId="0" applyFont="1" applyFill="1" applyBorder="1" applyAlignment="1" applyProtection="1"/>
    <xf numFmtId="38" fontId="28" fillId="0" borderId="0" xfId="30" applyNumberFormat="1" applyFont="1" applyFill="1" applyBorder="1" applyAlignment="1" applyProtection="1">
      <alignment horizontal="center"/>
    </xf>
    <xf numFmtId="0" fontId="13" fillId="41" borderId="0" xfId="0" applyFont="1" applyFill="1" applyBorder="1"/>
    <xf numFmtId="6" fontId="28" fillId="0" borderId="0" xfId="30" applyNumberFormat="1" applyFont="1" applyFill="1" applyBorder="1" applyAlignment="1" applyProtection="1">
      <alignment horizontal="center"/>
    </xf>
    <xf numFmtId="6" fontId="28" fillId="41" borderId="0" xfId="3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/>
    <xf numFmtId="0" fontId="11" fillId="0" borderId="0" xfId="0" quotePrefix="1" applyFont="1" applyAlignment="1">
      <alignment horizontal="center"/>
    </xf>
    <xf numFmtId="0" fontId="11" fillId="41" borderId="0" xfId="0" quotePrefix="1" applyFont="1" applyFill="1" applyBorder="1" applyAlignment="1">
      <alignment horizontal="center"/>
    </xf>
    <xf numFmtId="165" fontId="11" fillId="0" borderId="0" xfId="30" applyNumberFormat="1" applyFont="1" applyAlignment="1"/>
    <xf numFmtId="0" fontId="11" fillId="0" borderId="0" xfId="0" applyFont="1" applyAlignment="1">
      <alignment horizontal="left"/>
    </xf>
    <xf numFmtId="10" fontId="11" fillId="0" borderId="0" xfId="49" applyNumberFormat="1" applyFont="1" applyAlignment="1"/>
    <xf numFmtId="5" fontId="11" fillId="0" borderId="0" xfId="34" applyNumberFormat="1" applyFont="1" applyAlignment="1">
      <alignment horizontal="right"/>
    </xf>
    <xf numFmtId="10" fontId="11" fillId="0" borderId="14" xfId="0" applyNumberFormat="1" applyFont="1" applyBorder="1" applyAlignment="1">
      <alignment horizontal="right"/>
    </xf>
    <xf numFmtId="166" fontId="11" fillId="0" borderId="0" xfId="0" applyNumberFormat="1" applyFont="1" applyAlignment="1">
      <alignment horizontal="right"/>
    </xf>
    <xf numFmtId="169" fontId="11" fillId="0" borderId="14" xfId="0" applyNumberFormat="1" applyFont="1" applyBorder="1" applyAlignment="1">
      <alignment horizontal="right"/>
    </xf>
    <xf numFmtId="0" fontId="11" fillId="0" borderId="0" xfId="0" quotePrefix="1" applyFont="1" applyAlignment="1"/>
    <xf numFmtId="165" fontId="11" fillId="0" borderId="14" xfId="0" applyNumberFormat="1" applyFont="1" applyBorder="1" applyAlignment="1">
      <alignment horizontal="right"/>
    </xf>
    <xf numFmtId="6" fontId="11" fillId="0" borderId="14" xfId="0" applyNumberFormat="1" applyFont="1" applyBorder="1" applyAlignment="1">
      <alignment horizontal="right"/>
    </xf>
    <xf numFmtId="6" fontId="11" fillId="0" borderId="0" xfId="0" applyNumberFormat="1" applyFont="1" applyAlignment="1">
      <alignment horizontal="right"/>
    </xf>
    <xf numFmtId="5" fontId="30" fillId="41" borderId="0" xfId="0" applyNumberFormat="1" applyFont="1" applyFill="1" applyBorder="1" applyAlignment="1" applyProtection="1"/>
    <xf numFmtId="5" fontId="11" fillId="41" borderId="11" xfId="0" applyNumberFormat="1" applyFont="1" applyFill="1" applyBorder="1" applyProtection="1"/>
    <xf numFmtId="5" fontId="11" fillId="41" borderId="69" xfId="0" applyNumberFormat="1" applyFont="1" applyFill="1" applyBorder="1" applyProtection="1"/>
    <xf numFmtId="0" fontId="0" fillId="41" borderId="0" xfId="0" applyFill="1"/>
    <xf numFmtId="0" fontId="69" fillId="45" borderId="14" xfId="0" applyFont="1" applyFill="1" applyBorder="1" applyAlignment="1" applyProtection="1">
      <alignment vertical="center" wrapText="1"/>
    </xf>
    <xf numFmtId="0" fontId="38" fillId="0" borderId="14" xfId="0" quotePrefix="1" applyFont="1" applyBorder="1" applyAlignment="1">
      <alignment horizontal="center" wrapText="1"/>
    </xf>
    <xf numFmtId="5" fontId="77" fillId="41" borderId="13" xfId="0" applyNumberFormat="1" applyFont="1" applyFill="1" applyBorder="1" applyAlignment="1">
      <alignment horizontal="right" wrapText="1"/>
    </xf>
    <xf numFmtId="0" fontId="78" fillId="41" borderId="13" xfId="0" applyFont="1" applyFill="1" applyBorder="1" applyAlignment="1">
      <alignment horizontal="right" wrapText="1"/>
    </xf>
    <xf numFmtId="6" fontId="51" fillId="41" borderId="13" xfId="0" applyNumberFormat="1" applyFont="1" applyFill="1" applyBorder="1" applyAlignment="1">
      <alignment horizontal="right"/>
    </xf>
    <xf numFmtId="0" fontId="51" fillId="47" borderId="35" xfId="0" applyFont="1" applyFill="1" applyBorder="1" applyAlignment="1">
      <alignment horizontal="right" wrapText="1"/>
    </xf>
    <xf numFmtId="3" fontId="77" fillId="47" borderId="14" xfId="0" applyNumberFormat="1" applyFont="1" applyFill="1" applyBorder="1" applyAlignment="1">
      <alignment horizontal="right"/>
    </xf>
    <xf numFmtId="38" fontId="63" fillId="47" borderId="14" xfId="0" applyNumberFormat="1" applyFont="1" applyFill="1" applyBorder="1" applyAlignment="1">
      <alignment horizontal="right"/>
    </xf>
    <xf numFmtId="6" fontId="63" fillId="47" borderId="14" xfId="0" applyNumberFormat="1" applyFont="1" applyFill="1" applyBorder="1" applyAlignment="1">
      <alignment horizontal="right"/>
    </xf>
    <xf numFmtId="0" fontId="51" fillId="0" borderId="35" xfId="0" applyFont="1" applyFill="1" applyBorder="1" applyAlignment="1">
      <alignment horizontal="left" wrapText="1"/>
    </xf>
    <xf numFmtId="5" fontId="16" fillId="0" borderId="132" xfId="0" applyNumberFormat="1" applyFont="1" applyFill="1" applyBorder="1" applyProtection="1"/>
    <xf numFmtId="10" fontId="16" fillId="0" borderId="133" xfId="0" applyNumberFormat="1" applyFont="1" applyFill="1" applyBorder="1" applyProtection="1"/>
    <xf numFmtId="5" fontId="24" fillId="27" borderId="86" xfId="0" applyNumberFormat="1" applyFont="1" applyFill="1" applyBorder="1" applyProtection="1"/>
    <xf numFmtId="10" fontId="42" fillId="27" borderId="134" xfId="0" applyNumberFormat="1" applyFont="1" applyFill="1" applyBorder="1" applyProtection="1"/>
    <xf numFmtId="0" fontId="24" fillId="27" borderId="85" xfId="0" applyFont="1" applyFill="1" applyBorder="1" applyAlignment="1">
      <alignment horizontal="center"/>
    </xf>
    <xf numFmtId="0" fontId="55" fillId="48" borderId="0" xfId="0" applyFont="1" applyFill="1"/>
    <xf numFmtId="0" fontId="55" fillId="48" borderId="0" xfId="0" applyFont="1" applyFill="1" applyAlignment="1">
      <alignment horizontal="center"/>
    </xf>
    <xf numFmtId="0" fontId="0" fillId="0" borderId="0" xfId="0" applyBorder="1" applyAlignment="1">
      <alignment horizontal="left" wrapText="1"/>
    </xf>
    <xf numFmtId="5" fontId="0" fillId="0" borderId="0" xfId="0" applyNumberFormat="1" applyAlignment="1">
      <alignment horizontal="center"/>
    </xf>
    <xf numFmtId="1" fontId="11" fillId="26" borderId="59" xfId="0" applyNumberFormat="1" applyFont="1" applyFill="1" applyBorder="1" applyAlignment="1" applyProtection="1">
      <alignment horizontal="center" vertical="center"/>
    </xf>
    <xf numFmtId="1" fontId="13" fillId="26" borderId="65" xfId="0" applyNumberFormat="1" applyFont="1" applyFill="1" applyBorder="1" applyAlignment="1" applyProtection="1">
      <alignment horizontal="center" vertical="center"/>
    </xf>
    <xf numFmtId="1" fontId="22" fillId="26" borderId="69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6" fontId="11" fillId="43" borderId="11" xfId="0" applyNumberFormat="1" applyFont="1" applyFill="1" applyBorder="1" applyProtection="1"/>
    <xf numFmtId="6" fontId="11" fillId="43" borderId="69" xfId="0" applyNumberFormat="1" applyFont="1" applyFill="1" applyBorder="1" applyProtection="1"/>
    <xf numFmtId="0" fontId="0" fillId="0" borderId="0" xfId="0" applyBorder="1" applyAlignment="1">
      <alignment horizontal="center" wrapText="1"/>
    </xf>
    <xf numFmtId="6" fontId="11" fillId="43" borderId="71" xfId="0" applyNumberFormat="1" applyFont="1" applyFill="1" applyBorder="1" applyProtection="1"/>
    <xf numFmtId="6" fontId="28" fillId="0" borderId="82" xfId="31" applyNumberFormat="1" applyFont="1" applyFill="1" applyBorder="1" applyProtection="1"/>
    <xf numFmtId="6" fontId="28" fillId="43" borderId="82" xfId="31" applyNumberFormat="1" applyFont="1" applyFill="1" applyBorder="1" applyProtection="1"/>
    <xf numFmtId="10" fontId="54" fillId="0" borderId="0" xfId="48" applyNumberFormat="1" applyFont="1" applyFill="1" applyBorder="1"/>
    <xf numFmtId="6" fontId="28" fillId="0" borderId="76" xfId="32" applyNumberFormat="1" applyFont="1" applyBorder="1" applyAlignment="1">
      <alignment horizontal="right"/>
    </xf>
    <xf numFmtId="0" fontId="44" fillId="50" borderId="26" xfId="0" applyFont="1" applyFill="1" applyBorder="1" applyAlignment="1">
      <alignment horizontal="center" vertical="center" wrapText="1"/>
    </xf>
    <xf numFmtId="0" fontId="11" fillId="50" borderId="26" xfId="0" applyFont="1" applyFill="1" applyBorder="1"/>
    <xf numFmtId="1" fontId="22" fillId="26" borderId="13" xfId="28" quotePrefix="1" applyNumberFormat="1" applyFont="1" applyFill="1" applyBorder="1" applyAlignment="1">
      <alignment horizontal="center"/>
    </xf>
    <xf numFmtId="0" fontId="11" fillId="46" borderId="26" xfId="0" applyFont="1" applyFill="1" applyBorder="1"/>
    <xf numFmtId="0" fontId="0" fillId="52" borderId="26" xfId="0" applyFill="1" applyBorder="1" applyAlignment="1">
      <alignment horizontal="center" wrapText="1"/>
    </xf>
    <xf numFmtId="0" fontId="0" fillId="53" borderId="26" xfId="0" applyFill="1" applyBorder="1" applyAlignment="1">
      <alignment horizontal="center" wrapText="1"/>
    </xf>
    <xf numFmtId="171" fontId="0" fillId="0" borderId="0" xfId="0" applyNumberFormat="1"/>
    <xf numFmtId="10" fontId="11" fillId="39" borderId="13" xfId="0" applyNumberFormat="1" applyFont="1" applyFill="1" applyBorder="1"/>
    <xf numFmtId="166" fontId="11" fillId="39" borderId="13" xfId="0" applyNumberFormat="1" applyFont="1" applyFill="1" applyBorder="1"/>
    <xf numFmtId="10" fontId="11" fillId="41" borderId="13" xfId="48" applyNumberFormat="1" applyFont="1" applyFill="1" applyBorder="1"/>
    <xf numFmtId="6" fontId="11" fillId="41" borderId="13" xfId="32" applyNumberFormat="1" applyFont="1" applyFill="1" applyBorder="1"/>
    <xf numFmtId="10" fontId="11" fillId="41" borderId="34" xfId="48" applyNumberFormat="1" applyFont="1" applyFill="1" applyBorder="1"/>
    <xf numFmtId="43" fontId="28" fillId="0" borderId="61" xfId="28" applyNumberFormat="1" applyFont="1" applyBorder="1" applyAlignment="1">
      <alignment horizontal="right"/>
    </xf>
    <xf numFmtId="0" fontId="102" fillId="41" borderId="0" xfId="0" applyFont="1" applyFill="1" applyBorder="1" applyAlignment="1">
      <alignment horizontal="left" wrapText="1"/>
    </xf>
    <xf numFmtId="6" fontId="102" fillId="41" borderId="0" xfId="0" applyNumberFormat="1" applyFont="1" applyFill="1" applyBorder="1" applyAlignment="1">
      <alignment horizontal="center" wrapText="1"/>
    </xf>
    <xf numFmtId="0" fontId="100" fillId="41" borderId="0" xfId="0" applyFont="1" applyFill="1" applyBorder="1"/>
    <xf numFmtId="166" fontId="11" fillId="41" borderId="77" xfId="0" applyNumberFormat="1" applyFont="1" applyFill="1" applyBorder="1"/>
    <xf numFmtId="10" fontId="28" fillId="55" borderId="26" xfId="0" applyNumberFormat="1" applyFont="1" applyFill="1" applyBorder="1" applyAlignment="1">
      <alignment horizontal="center" vertical="center" wrapText="1"/>
    </xf>
    <xf numFmtId="0" fontId="51" fillId="41" borderId="0" xfId="0" applyFont="1" applyFill="1" applyBorder="1" applyAlignment="1">
      <alignment horizontal="center" vertical="center"/>
    </xf>
    <xf numFmtId="6" fontId="77" fillId="41" borderId="13" xfId="0" applyNumberFormat="1" applyFont="1" applyFill="1" applyBorder="1" applyAlignment="1">
      <alignment horizontal="right"/>
    </xf>
    <xf numFmtId="6" fontId="63" fillId="41" borderId="13" xfId="0" applyNumberFormat="1" applyFont="1" applyFill="1" applyBorder="1" applyAlignment="1">
      <alignment horizontal="right"/>
    </xf>
    <xf numFmtId="6" fontId="51" fillId="41" borderId="26" xfId="0" applyNumberFormat="1" applyFont="1" applyFill="1" applyBorder="1" applyAlignment="1">
      <alignment horizontal="right"/>
    </xf>
    <xf numFmtId="6" fontId="63" fillId="27" borderId="13" xfId="0" applyNumberFormat="1" applyFont="1" applyFill="1" applyBorder="1" applyAlignment="1">
      <alignment horizontal="center" wrapText="1"/>
    </xf>
    <xf numFmtId="6" fontId="63" fillId="41" borderId="14" xfId="0" applyNumberFormat="1" applyFont="1" applyFill="1" applyBorder="1" applyAlignment="1">
      <alignment horizontal="right"/>
    </xf>
    <xf numFmtId="0" fontId="77" fillId="56" borderId="13" xfId="0" applyFont="1" applyFill="1" applyBorder="1" applyAlignment="1">
      <alignment horizontal="center" wrapText="1"/>
    </xf>
    <xf numFmtId="6" fontId="63" fillId="56" borderId="13" xfId="0" applyNumberFormat="1" applyFont="1" applyFill="1" applyBorder="1" applyAlignment="1">
      <alignment horizontal="right"/>
    </xf>
    <xf numFmtId="6" fontId="51" fillId="56" borderId="13" xfId="0" applyNumberFormat="1" applyFont="1" applyFill="1" applyBorder="1" applyAlignment="1">
      <alignment horizontal="right"/>
    </xf>
    <xf numFmtId="0" fontId="0" fillId="56" borderId="0" xfId="0" applyFill="1"/>
    <xf numFmtId="6" fontId="51" fillId="56" borderId="26" xfId="0" applyNumberFormat="1" applyFont="1" applyFill="1" applyBorder="1" applyAlignment="1">
      <alignment horizontal="right"/>
    </xf>
    <xf numFmtId="0" fontId="100" fillId="0" borderId="26" xfId="0" applyFont="1" applyFill="1" applyBorder="1" applyAlignment="1">
      <alignment horizontal="left" wrapText="1"/>
    </xf>
    <xf numFmtId="0" fontId="100" fillId="0" borderId="13" xfId="0" applyFont="1" applyFill="1" applyBorder="1" applyAlignment="1">
      <alignment horizontal="left" wrapText="1"/>
    </xf>
    <xf numFmtId="0" fontId="100" fillId="41" borderId="26" xfId="0" applyFont="1" applyFill="1" applyBorder="1" applyAlignment="1">
      <alignment horizontal="left" wrapText="1"/>
    </xf>
    <xf numFmtId="0" fontId="104" fillId="28" borderId="36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wrapText="1"/>
    </xf>
    <xf numFmtId="3" fontId="11" fillId="41" borderId="13" xfId="0" applyNumberFormat="1" applyFont="1" applyFill="1" applyBorder="1"/>
    <xf numFmtId="3" fontId="77" fillId="41" borderId="35" xfId="0" applyNumberFormat="1" applyFont="1" applyFill="1" applyBorder="1" applyAlignment="1">
      <alignment horizontal="right"/>
    </xf>
    <xf numFmtId="0" fontId="19" fillId="0" borderId="0" xfId="0" applyFont="1"/>
    <xf numFmtId="5" fontId="19" fillId="0" borderId="0" xfId="0" applyNumberFormat="1" applyFont="1"/>
    <xf numFmtId="10" fontId="19" fillId="0" borderId="0" xfId="0" applyNumberFormat="1" applyFont="1"/>
    <xf numFmtId="5" fontId="98" fillId="0" borderId="0" xfId="0" applyNumberFormat="1" applyFont="1" applyFill="1" applyBorder="1" applyProtection="1"/>
    <xf numFmtId="6" fontId="98" fillId="0" borderId="0" xfId="0" applyNumberFormat="1" applyFont="1" applyFill="1" applyBorder="1" applyProtection="1"/>
    <xf numFmtId="165" fontId="98" fillId="0" borderId="0" xfId="28" applyNumberFormat="1" applyFont="1" applyFill="1" applyBorder="1" applyProtection="1"/>
    <xf numFmtId="165" fontId="28" fillId="0" borderId="0" xfId="28" applyNumberFormat="1" applyFont="1" applyFill="1" applyBorder="1" applyProtection="1"/>
    <xf numFmtId="6" fontId="28" fillId="0" borderId="0" xfId="28" applyNumberFormat="1" applyFont="1" applyFill="1" applyBorder="1" applyProtection="1"/>
    <xf numFmtId="0" fontId="0" fillId="41" borderId="0" xfId="0" applyFill="1" applyBorder="1"/>
    <xf numFmtId="0" fontId="14" fillId="0" borderId="85" xfId="0" applyFont="1" applyFill="1" applyBorder="1" applyAlignment="1">
      <alignment horizontal="center" vertical="top"/>
    </xf>
    <xf numFmtId="0" fontId="51" fillId="49" borderId="26" xfId="0" applyFont="1" applyFill="1" applyBorder="1" applyAlignment="1">
      <alignment horizontal="right" wrapText="1"/>
    </xf>
    <xf numFmtId="3" fontId="51" fillId="49" borderId="13" xfId="0" applyNumberFormat="1" applyFont="1" applyFill="1" applyBorder="1" applyAlignment="1">
      <alignment horizontal="right"/>
    </xf>
    <xf numFmtId="6" fontId="51" fillId="49" borderId="13" xfId="0" applyNumberFormat="1" applyFont="1" applyFill="1" applyBorder="1" applyAlignment="1">
      <alignment horizontal="right"/>
    </xf>
    <xf numFmtId="38" fontId="51" fillId="49" borderId="13" xfId="0" applyNumberFormat="1" applyFont="1" applyFill="1" applyBorder="1" applyAlignment="1">
      <alignment horizontal="right"/>
    </xf>
    <xf numFmtId="0" fontId="51" fillId="49" borderId="35" xfId="0" applyFont="1" applyFill="1" applyBorder="1" applyAlignment="1">
      <alignment horizontal="right" wrapText="1"/>
    </xf>
    <xf numFmtId="3" fontId="51" fillId="49" borderId="14" xfId="0" applyNumberFormat="1" applyFont="1" applyFill="1" applyBorder="1" applyAlignment="1">
      <alignment horizontal="right"/>
    </xf>
    <xf numFmtId="6" fontId="51" fillId="49" borderId="14" xfId="0" applyNumberFormat="1" applyFont="1" applyFill="1" applyBorder="1" applyAlignment="1">
      <alignment horizontal="right"/>
    </xf>
    <xf numFmtId="0" fontId="63" fillId="0" borderId="13" xfId="0" applyFont="1" applyFill="1" applyBorder="1" applyAlignment="1">
      <alignment horizontal="center" wrapText="1"/>
    </xf>
    <xf numFmtId="6" fontId="9" fillId="0" borderId="0" xfId="0" applyNumberFormat="1" applyFont="1" applyBorder="1" applyAlignment="1">
      <alignment horizontal="right"/>
    </xf>
    <xf numFmtId="0" fontId="63" fillId="55" borderId="26" xfId="0" applyFont="1" applyFill="1" applyBorder="1" applyAlignment="1">
      <alignment horizontal="left" wrapText="1"/>
    </xf>
    <xf numFmtId="0" fontId="63" fillId="55" borderId="35" xfId="0" applyFont="1" applyFill="1" applyBorder="1" applyAlignment="1">
      <alignment horizontal="left" wrapText="1"/>
    </xf>
    <xf numFmtId="0" fontId="9" fillId="0" borderId="0" xfId="0" applyFont="1"/>
    <xf numFmtId="3" fontId="13" fillId="0" borderId="11" xfId="0" applyNumberFormat="1" applyFont="1" applyFill="1" applyBorder="1"/>
    <xf numFmtId="3" fontId="13" fillId="0" borderId="13" xfId="0" applyNumberFormat="1" applyFont="1" applyFill="1" applyBorder="1"/>
    <xf numFmtId="0" fontId="102" fillId="41" borderId="10" xfId="0" applyFont="1" applyFill="1" applyBorder="1" applyAlignment="1">
      <alignment horizontal="right" wrapText="1"/>
    </xf>
    <xf numFmtId="6" fontId="102" fillId="0" borderId="10" xfId="0" applyNumberFormat="1" applyFont="1" applyBorder="1" applyAlignment="1">
      <alignment horizontal="center" wrapText="1"/>
    </xf>
    <xf numFmtId="6" fontId="102" fillId="0" borderId="10" xfId="0" applyNumberFormat="1" applyFont="1" applyFill="1" applyBorder="1" applyAlignment="1">
      <alignment horizontal="center" wrapText="1"/>
    </xf>
    <xf numFmtId="6" fontId="102" fillId="28" borderId="10" xfId="0" applyNumberFormat="1" applyFont="1" applyFill="1" applyBorder="1" applyAlignment="1">
      <alignment horizontal="center" wrapText="1"/>
    </xf>
    <xf numFmtId="38" fontId="102" fillId="28" borderId="50" xfId="0" applyNumberFormat="1" applyFont="1" applyFill="1" applyBorder="1" applyAlignment="1">
      <alignment horizontal="center"/>
    </xf>
    <xf numFmtId="6" fontId="102" fillId="28" borderId="50" xfId="0" applyNumberFormat="1" applyFont="1" applyFill="1" applyBorder="1" applyAlignment="1">
      <alignment horizontal="center"/>
    </xf>
    <xf numFmtId="0" fontId="100" fillId="0" borderId="50" xfId="0" applyFont="1" applyBorder="1"/>
    <xf numFmtId="6" fontId="100" fillId="0" borderId="50" xfId="0" applyNumberFormat="1" applyFont="1" applyBorder="1"/>
    <xf numFmtId="0" fontId="79" fillId="0" borderId="50" xfId="0" applyFont="1" applyBorder="1"/>
    <xf numFmtId="0" fontId="102" fillId="28" borderId="36" xfId="0" quotePrefix="1" applyFont="1" applyFill="1" applyBorder="1" applyAlignment="1">
      <alignment horizontal="right" wrapText="1"/>
    </xf>
    <xf numFmtId="0" fontId="79" fillId="0" borderId="26" xfId="0" applyFont="1" applyBorder="1"/>
    <xf numFmtId="38" fontId="79" fillId="0" borderId="146" xfId="0" applyNumberFormat="1" applyFont="1" applyFill="1" applyBorder="1" applyAlignment="1">
      <alignment horizontal="center"/>
    </xf>
    <xf numFmtId="6" fontId="79" fillId="0" borderId="146" xfId="0" applyNumberFormat="1" applyFont="1" applyBorder="1" applyAlignment="1">
      <alignment horizontal="center"/>
    </xf>
    <xf numFmtId="6" fontId="79" fillId="0" borderId="146" xfId="0" applyNumberFormat="1" applyFont="1" applyFill="1" applyBorder="1" applyAlignment="1">
      <alignment horizontal="center"/>
    </xf>
    <xf numFmtId="6" fontId="79" fillId="41" borderId="146" xfId="0" applyNumberFormat="1" applyFont="1" applyFill="1" applyBorder="1" applyAlignment="1">
      <alignment horizontal="center"/>
    </xf>
    <xf numFmtId="6" fontId="79" fillId="39" borderId="146" xfId="0" applyNumberFormat="1" applyFont="1" applyFill="1" applyBorder="1" applyAlignment="1">
      <alignment horizontal="center"/>
    </xf>
    <xf numFmtId="6" fontId="79" fillId="41" borderId="146" xfId="0" applyNumberFormat="1" applyFont="1" applyFill="1" applyBorder="1" applyAlignment="1">
      <alignment horizontal="center" wrapText="1"/>
    </xf>
    <xf numFmtId="6" fontId="79" fillId="0" borderId="146" xfId="0" applyNumberFormat="1" applyFont="1" applyFill="1" applyBorder="1" applyAlignment="1">
      <alignment horizontal="center" wrapText="1"/>
    </xf>
    <xf numFmtId="6" fontId="79" fillId="28" borderId="146" xfId="0" applyNumberFormat="1" applyFont="1" applyFill="1" applyBorder="1" applyAlignment="1">
      <alignment horizontal="center" wrapText="1"/>
    </xf>
    <xf numFmtId="38" fontId="79" fillId="0" borderId="145" xfId="0" applyNumberFormat="1" applyFont="1" applyFill="1" applyBorder="1" applyAlignment="1">
      <alignment horizontal="center"/>
    </xf>
    <xf numFmtId="6" fontId="79" fillId="0" borderId="145" xfId="0" applyNumberFormat="1" applyFont="1" applyBorder="1" applyAlignment="1">
      <alignment horizontal="center"/>
    </xf>
    <xf numFmtId="6" fontId="79" fillId="0" borderId="145" xfId="0" applyNumberFormat="1" applyFont="1" applyFill="1" applyBorder="1" applyAlignment="1">
      <alignment horizontal="center"/>
    </xf>
    <xf numFmtId="6" fontId="79" fillId="41" borderId="145" xfId="0" applyNumberFormat="1" applyFont="1" applyFill="1" applyBorder="1" applyAlignment="1">
      <alignment horizontal="center"/>
    </xf>
    <xf numFmtId="6" fontId="79" fillId="39" borderId="145" xfId="0" applyNumberFormat="1" applyFont="1" applyFill="1" applyBorder="1" applyAlignment="1">
      <alignment horizontal="center"/>
    </xf>
    <xf numFmtId="6" fontId="79" fillId="41" borderId="145" xfId="0" applyNumberFormat="1" applyFont="1" applyFill="1" applyBorder="1" applyAlignment="1">
      <alignment horizontal="center" wrapText="1"/>
    </xf>
    <xf numFmtId="6" fontId="79" fillId="0" borderId="145" xfId="0" applyNumberFormat="1" applyFont="1" applyFill="1" applyBorder="1" applyAlignment="1">
      <alignment horizontal="center" wrapText="1"/>
    </xf>
    <xf numFmtId="6" fontId="79" fillId="28" borderId="145" xfId="0" applyNumberFormat="1" applyFont="1" applyFill="1" applyBorder="1" applyAlignment="1">
      <alignment horizontal="center" wrapText="1"/>
    </xf>
    <xf numFmtId="38" fontId="79" fillId="0" borderId="147" xfId="0" applyNumberFormat="1" applyFont="1" applyFill="1" applyBorder="1" applyAlignment="1">
      <alignment horizontal="center"/>
    </xf>
    <xf numFmtId="6" fontId="79" fillId="0" borderId="147" xfId="0" applyNumberFormat="1" applyFont="1" applyBorder="1" applyAlignment="1">
      <alignment horizontal="center"/>
    </xf>
    <xf numFmtId="6" fontId="79" fillId="0" borderId="147" xfId="0" applyNumberFormat="1" applyFont="1" applyFill="1" applyBorder="1" applyAlignment="1">
      <alignment horizontal="center"/>
    </xf>
    <xf numFmtId="6" fontId="79" fillId="41" borderId="147" xfId="0" applyNumberFormat="1" applyFont="1" applyFill="1" applyBorder="1" applyAlignment="1">
      <alignment horizontal="center"/>
    </xf>
    <xf numFmtId="6" fontId="79" fillId="39" borderId="147" xfId="0" applyNumberFormat="1" applyFont="1" applyFill="1" applyBorder="1" applyAlignment="1">
      <alignment horizontal="center"/>
    </xf>
    <xf numFmtId="6" fontId="79" fillId="41" borderId="147" xfId="0" applyNumberFormat="1" applyFont="1" applyFill="1" applyBorder="1" applyAlignment="1">
      <alignment horizontal="center" wrapText="1"/>
    </xf>
    <xf numFmtId="6" fontId="79" fillId="0" borderId="147" xfId="0" applyNumberFormat="1" applyFont="1" applyFill="1" applyBorder="1" applyAlignment="1">
      <alignment horizontal="center" wrapText="1"/>
    </xf>
    <xf numFmtId="6" fontId="79" fillId="28" borderId="147" xfId="0" applyNumberFormat="1" applyFont="1" applyFill="1" applyBorder="1" applyAlignment="1">
      <alignment horizontal="center" wrapText="1"/>
    </xf>
    <xf numFmtId="0" fontId="102" fillId="0" borderId="42" xfId="0" applyFont="1" applyBorder="1"/>
    <xf numFmtId="38" fontId="102" fillId="0" borderId="10" xfId="0" applyNumberFormat="1" applyFont="1" applyFill="1" applyBorder="1" applyAlignment="1">
      <alignment horizontal="center"/>
    </xf>
    <xf numFmtId="6" fontId="102" fillId="0" borderId="10" xfId="0" applyNumberFormat="1" applyFont="1" applyBorder="1" applyAlignment="1">
      <alignment horizontal="center"/>
    </xf>
    <xf numFmtId="6" fontId="102" fillId="0" borderId="10" xfId="0" applyNumberFormat="1" applyFont="1" applyFill="1" applyBorder="1" applyAlignment="1">
      <alignment horizontal="center"/>
    </xf>
    <xf numFmtId="6" fontId="102" fillId="41" borderId="10" xfId="0" applyNumberFormat="1" applyFont="1" applyFill="1" applyBorder="1" applyAlignment="1">
      <alignment horizontal="center"/>
    </xf>
    <xf numFmtId="6" fontId="102" fillId="39" borderId="10" xfId="0" applyNumberFormat="1" applyFont="1" applyFill="1" applyBorder="1" applyAlignment="1">
      <alignment horizontal="center"/>
    </xf>
    <xf numFmtId="0" fontId="102" fillId="0" borderId="0" xfId="0" applyFont="1" applyBorder="1"/>
    <xf numFmtId="6" fontId="77" fillId="0" borderId="13" xfId="0" applyNumberFormat="1" applyFont="1" applyFill="1" applyBorder="1" applyAlignment="1">
      <alignment horizontal="center" wrapText="1"/>
    </xf>
    <xf numFmtId="6" fontId="79" fillId="60" borderId="146" xfId="0" applyNumberFormat="1" applyFont="1" applyFill="1" applyBorder="1" applyAlignment="1">
      <alignment horizontal="center" wrapText="1"/>
    </xf>
    <xf numFmtId="6" fontId="79" fillId="60" borderId="145" xfId="0" applyNumberFormat="1" applyFont="1" applyFill="1" applyBorder="1" applyAlignment="1">
      <alignment horizontal="center" wrapText="1"/>
    </xf>
    <xf numFmtId="6" fontId="79" fillId="60" borderId="147" xfId="0" applyNumberFormat="1" applyFont="1" applyFill="1" applyBorder="1" applyAlignment="1">
      <alignment horizontal="center" wrapText="1"/>
    </xf>
    <xf numFmtId="6" fontId="102" fillId="60" borderId="10" xfId="0" applyNumberFormat="1" applyFont="1" applyFill="1" applyBorder="1" applyAlignment="1">
      <alignment horizontal="center" wrapText="1"/>
    </xf>
    <xf numFmtId="0" fontId="9" fillId="0" borderId="0" xfId="0" applyFont="1" applyAlignment="1"/>
    <xf numFmtId="0" fontId="9" fillId="0" borderId="0" xfId="0" quotePrefix="1" applyFont="1"/>
    <xf numFmtId="0" fontId="21" fillId="0" borderId="52" xfId="0" applyFont="1" applyFill="1" applyBorder="1" applyAlignment="1">
      <alignment horizontal="center"/>
    </xf>
    <xf numFmtId="0" fontId="75" fillId="0" borderId="0" xfId="0" applyFont="1"/>
    <xf numFmtId="5" fontId="16" fillId="0" borderId="152" xfId="0" applyNumberFormat="1" applyFont="1" applyFill="1" applyBorder="1" applyAlignment="1" applyProtection="1">
      <alignment vertical="top"/>
    </xf>
    <xf numFmtId="5" fontId="16" fillId="0" borderId="153" xfId="0" applyNumberFormat="1" applyFont="1" applyFill="1" applyBorder="1" applyAlignment="1" applyProtection="1">
      <alignment vertical="top"/>
    </xf>
    <xf numFmtId="165" fontId="16" fillId="0" borderId="155" xfId="28" applyNumberFormat="1" applyFont="1" applyFill="1" applyBorder="1" applyAlignment="1" applyProtection="1"/>
    <xf numFmtId="165" fontId="16" fillId="0" borderId="20" xfId="28" applyNumberFormat="1" applyFont="1" applyFill="1" applyBorder="1" applyAlignment="1" applyProtection="1"/>
    <xf numFmtId="0" fontId="14" fillId="0" borderId="159" xfId="0" applyFont="1" applyFill="1" applyBorder="1" applyAlignment="1">
      <alignment horizontal="left"/>
    </xf>
    <xf numFmtId="165" fontId="16" fillId="0" borderId="160" xfId="28" applyNumberFormat="1" applyFont="1" applyFill="1" applyBorder="1" applyAlignment="1" applyProtection="1"/>
    <xf numFmtId="165" fontId="16" fillId="0" borderId="159" xfId="28" applyNumberFormat="1" applyFont="1" applyFill="1" applyBorder="1" applyAlignment="1" applyProtection="1"/>
    <xf numFmtId="165" fontId="16" fillId="0" borderId="32" xfId="28" applyNumberFormat="1" applyFont="1" applyFill="1" applyBorder="1" applyProtection="1"/>
    <xf numFmtId="43" fontId="16" fillId="0" borderId="155" xfId="28" applyFont="1" applyFill="1" applyBorder="1" applyAlignment="1" applyProtection="1">
      <alignment horizontal="right"/>
    </xf>
    <xf numFmtId="10" fontId="16" fillId="0" borderId="155" xfId="48" applyNumberFormat="1" applyFont="1" applyFill="1" applyBorder="1" applyAlignment="1" applyProtection="1">
      <alignment horizontal="right"/>
    </xf>
    <xf numFmtId="5" fontId="16" fillId="0" borderId="178" xfId="0" applyNumberFormat="1" applyFont="1" applyFill="1" applyBorder="1" applyProtection="1"/>
    <xf numFmtId="5" fontId="16" fillId="0" borderId="179" xfId="0" applyNumberFormat="1" applyFont="1" applyFill="1" applyBorder="1" applyProtection="1"/>
    <xf numFmtId="5" fontId="24" fillId="0" borderId="157" xfId="0" applyNumberFormat="1" applyFont="1" applyFill="1" applyBorder="1" applyAlignment="1" applyProtection="1"/>
    <xf numFmtId="5" fontId="24" fillId="0" borderId="158" xfId="0" applyNumberFormat="1" applyFont="1" applyFill="1" applyBorder="1" applyAlignment="1" applyProtection="1"/>
    <xf numFmtId="5" fontId="24" fillId="27" borderId="173" xfId="0" applyNumberFormat="1" applyFont="1" applyFill="1" applyBorder="1" applyAlignment="1" applyProtection="1"/>
    <xf numFmtId="5" fontId="24" fillId="27" borderId="29" xfId="0" applyNumberFormat="1" applyFont="1" applyFill="1" applyBorder="1" applyAlignment="1" applyProtection="1"/>
    <xf numFmtId="5" fontId="16" fillId="0" borderId="176" xfId="0" applyNumberFormat="1" applyFont="1" applyFill="1" applyBorder="1" applyAlignment="1" applyProtection="1"/>
    <xf numFmtId="5" fontId="16" fillId="0" borderId="177" xfId="0" applyNumberFormat="1" applyFont="1" applyFill="1" applyBorder="1" applyAlignment="1" applyProtection="1"/>
    <xf numFmtId="5" fontId="16" fillId="0" borderId="180" xfId="0" applyNumberFormat="1" applyFont="1" applyFill="1" applyBorder="1" applyProtection="1"/>
    <xf numFmtId="5" fontId="24" fillId="0" borderId="158" xfId="0" applyNumberFormat="1" applyFont="1" applyFill="1" applyBorder="1" applyProtection="1"/>
    <xf numFmtId="5" fontId="16" fillId="0" borderId="168" xfId="0" applyNumberFormat="1" applyFont="1" applyFill="1" applyBorder="1" applyProtection="1"/>
    <xf numFmtId="5" fontId="16" fillId="0" borderId="181" xfId="0" applyNumberFormat="1" applyFont="1" applyFill="1" applyBorder="1" applyProtection="1"/>
    <xf numFmtId="5" fontId="24" fillId="27" borderId="162" xfId="0" applyNumberFormat="1" applyFont="1" applyFill="1" applyBorder="1" applyAlignment="1" applyProtection="1">
      <alignment vertical="center"/>
    </xf>
    <xf numFmtId="5" fontId="16" fillId="0" borderId="158" xfId="0" applyNumberFormat="1" applyFont="1" applyFill="1" applyBorder="1" applyProtection="1"/>
    <xf numFmtId="5" fontId="16" fillId="0" borderId="20" xfId="0" applyNumberFormat="1" applyFont="1" applyFill="1" applyBorder="1" applyProtection="1"/>
    <xf numFmtId="5" fontId="21" fillId="27" borderId="172" xfId="0" applyNumberFormat="1" applyFont="1" applyFill="1" applyBorder="1" applyAlignment="1" applyProtection="1">
      <alignment vertical="center"/>
    </xf>
    <xf numFmtId="5" fontId="21" fillId="0" borderId="151" xfId="0" applyNumberFormat="1" applyFont="1" applyFill="1" applyBorder="1" applyProtection="1"/>
    <xf numFmtId="5" fontId="16" fillId="0" borderId="156" xfId="0" applyNumberFormat="1" applyFont="1" applyFill="1" applyBorder="1" applyAlignment="1" applyProtection="1"/>
    <xf numFmtId="5" fontId="16" fillId="0" borderId="138" xfId="0" applyNumberFormat="1" applyFont="1" applyFill="1" applyBorder="1" applyAlignment="1" applyProtection="1"/>
    <xf numFmtId="5" fontId="24" fillId="0" borderId="155" xfId="0" applyNumberFormat="1" applyFont="1" applyFill="1" applyBorder="1" applyAlignment="1" applyProtection="1"/>
    <xf numFmtId="5" fontId="24" fillId="0" borderId="20" xfId="0" applyNumberFormat="1" applyFont="1" applyFill="1" applyBorder="1" applyAlignment="1" applyProtection="1"/>
    <xf numFmtId="5" fontId="16" fillId="0" borderId="160" xfId="0" applyNumberFormat="1" applyFont="1" applyFill="1" applyBorder="1" applyAlignment="1" applyProtection="1"/>
    <xf numFmtId="5" fontId="16" fillId="0" borderId="159" xfId="0" applyNumberFormat="1" applyFont="1" applyFill="1" applyBorder="1" applyAlignment="1" applyProtection="1"/>
    <xf numFmtId="5" fontId="16" fillId="0" borderId="155" xfId="0" applyNumberFormat="1" applyFont="1" applyFill="1" applyBorder="1" applyAlignment="1" applyProtection="1"/>
    <xf numFmtId="5" fontId="16" fillId="0" borderId="20" xfId="0" applyNumberFormat="1" applyFont="1" applyFill="1" applyBorder="1" applyAlignment="1" applyProtection="1"/>
    <xf numFmtId="43" fontId="16" fillId="0" borderId="20" xfId="28" applyFont="1" applyFill="1" applyBorder="1" applyAlignment="1" applyProtection="1"/>
    <xf numFmtId="10" fontId="16" fillId="0" borderId="20" xfId="48" applyNumberFormat="1" applyFont="1" applyFill="1" applyBorder="1" applyAlignment="1" applyProtection="1"/>
    <xf numFmtId="5" fontId="24" fillId="0" borderId="160" xfId="0" applyNumberFormat="1" applyFont="1" applyFill="1" applyBorder="1" applyAlignment="1" applyProtection="1"/>
    <xf numFmtId="5" fontId="24" fillId="0" borderId="159" xfId="0" applyNumberFormat="1" applyFont="1" applyFill="1" applyBorder="1" applyAlignment="1" applyProtection="1"/>
    <xf numFmtId="5" fontId="24" fillId="0" borderId="161" xfId="0" applyNumberFormat="1" applyFont="1" applyFill="1" applyBorder="1" applyAlignment="1" applyProtection="1">
      <alignment vertical="center"/>
    </xf>
    <xf numFmtId="5" fontId="24" fillId="0" borderId="162" xfId="0" applyNumberFormat="1" applyFont="1" applyFill="1" applyBorder="1" applyAlignment="1" applyProtection="1">
      <alignment vertical="center"/>
    </xf>
    <xf numFmtId="5" fontId="24" fillId="0" borderId="156" xfId="0" applyNumberFormat="1" applyFont="1" applyFill="1" applyBorder="1" applyAlignment="1" applyProtection="1">
      <alignment vertical="center"/>
    </xf>
    <xf numFmtId="5" fontId="24" fillId="0" borderId="138" xfId="0" applyNumberFormat="1" applyFont="1" applyFill="1" applyBorder="1" applyAlignment="1" applyProtection="1">
      <alignment vertical="center"/>
    </xf>
    <xf numFmtId="5" fontId="16" fillId="0" borderId="155" xfId="0" applyNumberFormat="1" applyFont="1" applyFill="1" applyBorder="1" applyAlignment="1" applyProtection="1">
      <alignment vertical="center"/>
    </xf>
    <xf numFmtId="5" fontId="16" fillId="0" borderId="20" xfId="0" applyNumberFormat="1" applyFont="1" applyFill="1" applyBorder="1" applyAlignment="1" applyProtection="1">
      <alignment vertical="center"/>
    </xf>
    <xf numFmtId="5" fontId="16" fillId="0" borderId="163" xfId="0" applyNumberFormat="1" applyFont="1" applyFill="1" applyBorder="1" applyAlignment="1" applyProtection="1">
      <alignment vertical="center"/>
    </xf>
    <xf numFmtId="5" fontId="16" fillId="0" borderId="47" xfId="0" applyNumberFormat="1" applyFont="1" applyFill="1" applyBorder="1" applyAlignment="1" applyProtection="1">
      <alignment vertical="center"/>
    </xf>
    <xf numFmtId="5" fontId="16" fillId="0" borderId="164" xfId="0" applyNumberFormat="1" applyFont="1" applyFill="1" applyBorder="1" applyAlignment="1" applyProtection="1">
      <alignment vertical="center"/>
    </xf>
    <xf numFmtId="5" fontId="16" fillId="0" borderId="48" xfId="0" applyNumberFormat="1" applyFont="1" applyFill="1" applyBorder="1" applyAlignment="1" applyProtection="1">
      <alignment vertical="center"/>
    </xf>
    <xf numFmtId="5" fontId="16" fillId="0" borderId="165" xfId="0" applyNumberFormat="1" applyFont="1" applyFill="1" applyBorder="1" applyAlignment="1" applyProtection="1">
      <alignment vertical="center"/>
    </xf>
    <xf numFmtId="5" fontId="16" fillId="0" borderId="166" xfId="0" applyNumberFormat="1" applyFont="1" applyFill="1" applyBorder="1" applyAlignment="1" applyProtection="1">
      <alignment vertical="center"/>
    </xf>
    <xf numFmtId="5" fontId="16" fillId="0" borderId="167" xfId="0" applyNumberFormat="1" applyFont="1" applyFill="1" applyBorder="1" applyAlignment="1" applyProtection="1">
      <alignment vertical="center"/>
    </xf>
    <xf numFmtId="5" fontId="16" fillId="0" borderId="168" xfId="0" applyNumberFormat="1" applyFont="1" applyFill="1" applyBorder="1" applyAlignment="1" applyProtection="1">
      <alignment vertical="center"/>
    </xf>
    <xf numFmtId="5" fontId="16" fillId="0" borderId="169" xfId="0" applyNumberFormat="1" applyFont="1" applyFill="1" applyBorder="1" applyAlignment="1" applyProtection="1">
      <alignment vertical="center"/>
    </xf>
    <xf numFmtId="5" fontId="16" fillId="0" borderId="170" xfId="0" applyNumberFormat="1" applyFont="1" applyFill="1" applyBorder="1" applyAlignment="1" applyProtection="1">
      <alignment vertical="center"/>
    </xf>
    <xf numFmtId="5" fontId="24" fillId="27" borderId="171" xfId="0" applyNumberFormat="1" applyFont="1" applyFill="1" applyBorder="1" applyAlignment="1" applyProtection="1"/>
    <xf numFmtId="5" fontId="24" fillId="27" borderId="172" xfId="0" applyNumberFormat="1" applyFont="1" applyFill="1" applyBorder="1" applyAlignment="1" applyProtection="1"/>
    <xf numFmtId="5" fontId="16" fillId="0" borderId="182" xfId="0" applyNumberFormat="1" applyFont="1" applyFill="1" applyBorder="1" applyProtection="1"/>
    <xf numFmtId="5" fontId="24" fillId="0" borderId="157" xfId="0" applyNumberFormat="1" applyFont="1" applyFill="1" applyBorder="1" applyProtection="1"/>
    <xf numFmtId="5" fontId="16" fillId="0" borderId="167" xfId="0" applyNumberFormat="1" applyFont="1" applyFill="1" applyBorder="1" applyProtection="1"/>
    <xf numFmtId="5" fontId="16" fillId="0" borderId="183" xfId="0" applyNumberFormat="1" applyFont="1" applyFill="1" applyBorder="1" applyProtection="1"/>
    <xf numFmtId="5" fontId="24" fillId="0" borderId="182" xfId="0" applyNumberFormat="1" applyFont="1" applyFill="1" applyBorder="1" applyProtection="1"/>
    <xf numFmtId="5" fontId="24" fillId="0" borderId="164" xfId="0" applyNumberFormat="1" applyFont="1" applyFill="1" applyBorder="1" applyProtection="1"/>
    <xf numFmtId="5" fontId="24" fillId="27" borderId="161" xfId="0" applyNumberFormat="1" applyFont="1" applyFill="1" applyBorder="1" applyAlignment="1" applyProtection="1">
      <alignment vertical="center"/>
    </xf>
    <xf numFmtId="5" fontId="16" fillId="0" borderId="157" xfId="0" applyNumberFormat="1" applyFont="1" applyFill="1" applyBorder="1" applyProtection="1"/>
    <xf numFmtId="5" fontId="16" fillId="0" borderId="164" xfId="0" applyNumberFormat="1" applyFont="1" applyFill="1" applyBorder="1" applyProtection="1"/>
    <xf numFmtId="5" fontId="16" fillId="0" borderId="163" xfId="0" applyNumberFormat="1" applyFont="1" applyFill="1" applyBorder="1" applyAlignment="1" applyProtection="1"/>
    <xf numFmtId="5" fontId="21" fillId="27" borderId="171" xfId="0" applyNumberFormat="1" applyFont="1" applyFill="1" applyBorder="1" applyAlignment="1" applyProtection="1">
      <alignment vertical="center"/>
    </xf>
    <xf numFmtId="165" fontId="50" fillId="27" borderId="142" xfId="0" applyNumberFormat="1" applyFont="1" applyFill="1" applyBorder="1" applyAlignment="1" applyProtection="1">
      <alignment vertical="center"/>
    </xf>
    <xf numFmtId="5" fontId="16" fillId="0" borderId="184" xfId="0" applyNumberFormat="1" applyFont="1" applyFill="1" applyBorder="1" applyProtection="1"/>
    <xf numFmtId="5" fontId="24" fillId="0" borderId="185" xfId="0" applyNumberFormat="1" applyFont="1" applyFill="1" applyBorder="1" applyProtection="1"/>
    <xf numFmtId="5" fontId="16" fillId="0" borderId="186" xfId="0" applyNumberFormat="1" applyFont="1" applyFill="1" applyBorder="1" applyProtection="1"/>
    <xf numFmtId="5" fontId="16" fillId="0" borderId="187" xfId="0" applyNumberFormat="1" applyFont="1" applyFill="1" applyBorder="1" applyProtection="1"/>
    <xf numFmtId="5" fontId="24" fillId="27" borderId="188" xfId="0" applyNumberFormat="1" applyFont="1" applyFill="1" applyBorder="1" applyAlignment="1" applyProtection="1">
      <alignment vertical="center"/>
    </xf>
    <xf numFmtId="5" fontId="16" fillId="0" borderId="185" xfId="0" applyNumberFormat="1" applyFont="1" applyFill="1" applyBorder="1" applyProtection="1"/>
    <xf numFmtId="5" fontId="16" fillId="0" borderId="44" xfId="0" applyNumberFormat="1" applyFont="1" applyFill="1" applyBorder="1" applyProtection="1"/>
    <xf numFmtId="5" fontId="16" fillId="0" borderId="189" xfId="0" applyNumberFormat="1" applyFont="1" applyFill="1" applyBorder="1" applyAlignment="1" applyProtection="1"/>
    <xf numFmtId="165" fontId="50" fillId="27" borderId="190" xfId="0" applyNumberFormat="1" applyFont="1" applyFill="1" applyBorder="1" applyAlignment="1" applyProtection="1">
      <alignment vertical="center"/>
    </xf>
    <xf numFmtId="5" fontId="24" fillId="0" borderId="42" xfId="0" applyNumberFormat="1" applyFont="1" applyFill="1" applyBorder="1" applyProtection="1"/>
    <xf numFmtId="5" fontId="21" fillId="0" borderId="191" xfId="0" applyNumberFormat="1" applyFont="1" applyFill="1" applyBorder="1" applyAlignment="1" applyProtection="1">
      <alignment horizontal="left"/>
    </xf>
    <xf numFmtId="5" fontId="21" fillId="0" borderId="150" xfId="0" applyNumberFormat="1" applyFont="1" applyFill="1" applyBorder="1" applyAlignment="1" applyProtection="1"/>
    <xf numFmtId="5" fontId="24" fillId="0" borderId="174" xfId="0" applyNumberFormat="1" applyFont="1" applyFill="1" applyBorder="1" applyAlignment="1" applyProtection="1"/>
    <xf numFmtId="5" fontId="24" fillId="0" borderId="175" xfId="0" applyNumberFormat="1" applyFont="1" applyFill="1" applyBorder="1" applyAlignment="1" applyProtection="1"/>
    <xf numFmtId="5" fontId="24" fillId="0" borderId="34" xfId="0" applyNumberFormat="1" applyFont="1" applyFill="1" applyBorder="1" applyAlignment="1" applyProtection="1">
      <alignment horizontal="center"/>
    </xf>
    <xf numFmtId="10" fontId="28" fillId="41" borderId="76" xfId="48" applyNumberFormat="1" applyFont="1" applyFill="1" applyBorder="1" applyAlignment="1">
      <alignment horizontal="right"/>
    </xf>
    <xf numFmtId="6" fontId="28" fillId="41" borderId="12" xfId="32" applyNumberFormat="1" applyFont="1" applyFill="1" applyBorder="1" applyAlignment="1">
      <alignment horizontal="right"/>
    </xf>
    <xf numFmtId="6" fontId="54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/>
    <xf numFmtId="10" fontId="28" fillId="41" borderId="76" xfId="32" applyNumberFormat="1" applyFont="1" applyFill="1" applyBorder="1" applyAlignment="1">
      <alignment horizontal="right"/>
    </xf>
    <xf numFmtId="0" fontId="0" fillId="0" borderId="0" xfId="0" applyAlignment="1">
      <alignment horizontal="center" vertical="top" wrapText="1"/>
    </xf>
    <xf numFmtId="43" fontId="11" fillId="0" borderId="0" xfId="0" applyNumberFormat="1" applyFont="1"/>
    <xf numFmtId="10" fontId="11" fillId="0" borderId="0" xfId="0" applyNumberFormat="1" applyFont="1"/>
    <xf numFmtId="0" fontId="9" fillId="51" borderId="26" xfId="0" applyFont="1" applyFill="1" applyBorder="1" applyAlignment="1">
      <alignment vertical="center" wrapText="1"/>
    </xf>
    <xf numFmtId="0" fontId="11" fillId="51" borderId="26" xfId="0" applyFont="1" applyFill="1" applyBorder="1" applyAlignment="1">
      <alignment vertical="center"/>
    </xf>
    <xf numFmtId="16" fontId="9" fillId="46" borderId="26" xfId="0" quotePrefix="1" applyNumberFormat="1" applyFont="1" applyFill="1" applyBorder="1" applyAlignment="1">
      <alignment horizontal="center"/>
    </xf>
    <xf numFmtId="0" fontId="9" fillId="52" borderId="26" xfId="0" applyFont="1" applyFill="1" applyBorder="1" applyAlignment="1">
      <alignment horizontal="center" wrapText="1"/>
    </xf>
    <xf numFmtId="38" fontId="11" fillId="0" borderId="11" xfId="0" applyNumberFormat="1" applyFont="1" applyFill="1" applyBorder="1"/>
    <xf numFmtId="38" fontId="11" fillId="0" borderId="13" xfId="0" applyNumberFormat="1" applyFont="1" applyFill="1" applyBorder="1"/>
    <xf numFmtId="38" fontId="11" fillId="40" borderId="11" xfId="0" applyNumberFormat="1" applyFont="1" applyFill="1" applyBorder="1"/>
    <xf numFmtId="38" fontId="11" fillId="31" borderId="11" xfId="0" applyNumberFormat="1" applyFont="1" applyFill="1" applyBorder="1"/>
    <xf numFmtId="38" fontId="11" fillId="0" borderId="11" xfId="0" applyNumberFormat="1" applyFont="1" applyFill="1" applyBorder="1" applyAlignment="1">
      <alignment horizontal="right"/>
    </xf>
    <xf numFmtId="38" fontId="0" fillId="0" borderId="0" xfId="0" applyNumberFormat="1"/>
    <xf numFmtId="0" fontId="9" fillId="53" borderId="26" xfId="0" applyFont="1" applyFill="1" applyBorder="1" applyAlignment="1">
      <alignment horizontal="center" wrapText="1"/>
    </xf>
    <xf numFmtId="0" fontId="9" fillId="0" borderId="0" xfId="53" applyFont="1"/>
    <xf numFmtId="0" fontId="9" fillId="0" borderId="0" xfId="53" applyFont="1" applyAlignment="1">
      <alignment horizontal="center"/>
    </xf>
    <xf numFmtId="0" fontId="19" fillId="0" borderId="0" xfId="53" applyFont="1" applyAlignment="1">
      <alignment horizontal="center"/>
    </xf>
    <xf numFmtId="1" fontId="9" fillId="26" borderId="11" xfId="53" applyNumberFormat="1" applyFont="1" applyFill="1" applyBorder="1" applyAlignment="1" applyProtection="1">
      <alignment horizontal="center"/>
    </xf>
    <xf numFmtId="1" fontId="13" fillId="26" borderId="11" xfId="53" applyNumberFormat="1" applyFont="1" applyFill="1" applyBorder="1" applyAlignment="1" applyProtection="1">
      <alignment horizontal="center"/>
    </xf>
    <xf numFmtId="1" fontId="22" fillId="26" borderId="10" xfId="53" quotePrefix="1" applyNumberFormat="1" applyFont="1" applyFill="1" applyBorder="1" applyAlignment="1" applyProtection="1">
      <alignment horizontal="center"/>
    </xf>
    <xf numFmtId="1" fontId="9" fillId="0" borderId="0" xfId="53" applyNumberFormat="1" applyFont="1" applyAlignment="1">
      <alignment horizontal="center"/>
    </xf>
    <xf numFmtId="0" fontId="9" fillId="0" borderId="115" xfId="53" applyFont="1" applyFill="1" applyBorder="1" applyProtection="1"/>
    <xf numFmtId="0" fontId="9" fillId="0" borderId="116" xfId="53" applyFont="1" applyFill="1" applyBorder="1" applyProtection="1"/>
    <xf numFmtId="172" fontId="9" fillId="41" borderId="116" xfId="54" applyNumberFormat="1" applyFont="1" applyFill="1" applyBorder="1" applyAlignment="1" applyProtection="1">
      <alignment horizontal="right"/>
    </xf>
    <xf numFmtId="166" fontId="9" fillId="0" borderId="117" xfId="54" applyNumberFormat="1" applyFont="1" applyFill="1" applyBorder="1" applyAlignment="1" applyProtection="1">
      <alignment horizontal="right"/>
    </xf>
    <xf numFmtId="166" fontId="9" fillId="42" borderId="117" xfId="54" applyNumberFormat="1" applyFont="1" applyFill="1" applyBorder="1" applyAlignment="1" applyProtection="1">
      <alignment horizontal="right"/>
    </xf>
    <xf numFmtId="166" fontId="9" fillId="43" borderId="116" xfId="53" applyNumberFormat="1" applyFont="1" applyFill="1" applyBorder="1" applyAlignment="1" applyProtection="1">
      <alignment horizontal="right"/>
    </xf>
    <xf numFmtId="166" fontId="9" fillId="44" borderId="116" xfId="53" applyNumberFormat="1" applyFont="1" applyFill="1" applyBorder="1" applyAlignment="1" applyProtection="1">
      <alignment horizontal="right"/>
    </xf>
    <xf numFmtId="0" fontId="9" fillId="0" borderId="119" xfId="53" applyFont="1" applyFill="1" applyBorder="1" applyProtection="1"/>
    <xf numFmtId="0" fontId="9" fillId="0" borderId="120" xfId="53" applyFont="1" applyFill="1" applyBorder="1" applyProtection="1"/>
    <xf numFmtId="172" fontId="9" fillId="41" borderId="120" xfId="54" applyNumberFormat="1" applyFont="1" applyFill="1" applyBorder="1" applyAlignment="1" applyProtection="1">
      <alignment horizontal="right"/>
    </xf>
    <xf numFmtId="166" fontId="9" fillId="0" borderId="121" xfId="54" applyNumberFormat="1" applyFont="1" applyFill="1" applyBorder="1" applyAlignment="1" applyProtection="1">
      <alignment horizontal="right"/>
    </xf>
    <xf numFmtId="0" fontId="9" fillId="0" borderId="122" xfId="53" applyFont="1" applyFill="1" applyBorder="1" applyProtection="1"/>
    <xf numFmtId="0" fontId="9" fillId="0" borderId="123" xfId="53" applyFont="1" applyFill="1" applyBorder="1" applyProtection="1"/>
    <xf numFmtId="172" fontId="9" fillId="41" borderId="123" xfId="54" applyNumberFormat="1" applyFont="1" applyFill="1" applyBorder="1" applyAlignment="1" applyProtection="1">
      <alignment horizontal="right"/>
    </xf>
    <xf numFmtId="166" fontId="9" fillId="0" borderId="124" xfId="54" applyNumberFormat="1" applyFont="1" applyFill="1" applyBorder="1" applyAlignment="1" applyProtection="1">
      <alignment horizontal="right"/>
    </xf>
    <xf numFmtId="172" fontId="9" fillId="41" borderId="120" xfId="53" applyNumberFormat="1" applyFont="1" applyFill="1" applyBorder="1" applyAlignment="1" applyProtection="1">
      <alignment horizontal="right"/>
    </xf>
    <xf numFmtId="166" fontId="9" fillId="0" borderId="121" xfId="53" applyNumberFormat="1" applyFont="1" applyFill="1" applyBorder="1" applyAlignment="1" applyProtection="1">
      <alignment horizontal="right"/>
    </xf>
    <xf numFmtId="172" fontId="9" fillId="41" borderId="123" xfId="53" applyNumberFormat="1" applyFont="1" applyFill="1" applyBorder="1" applyAlignment="1" applyProtection="1">
      <alignment horizontal="right"/>
    </xf>
    <xf numFmtId="166" fontId="9" fillId="0" borderId="124" xfId="53" applyNumberFormat="1" applyFont="1" applyFill="1" applyBorder="1" applyAlignment="1" applyProtection="1">
      <alignment horizontal="right"/>
    </xf>
    <xf numFmtId="172" fontId="9" fillId="41" borderId="116" xfId="53" applyNumberFormat="1" applyFont="1" applyFill="1" applyBorder="1" applyAlignment="1" applyProtection="1">
      <alignment horizontal="right"/>
    </xf>
    <xf numFmtId="166" fontId="9" fillId="0" borderId="117" xfId="53" applyNumberFormat="1" applyFont="1" applyFill="1" applyBorder="1" applyAlignment="1" applyProtection="1">
      <alignment horizontal="right"/>
    </xf>
    <xf numFmtId="0" fontId="9" fillId="0" borderId="126" xfId="53" applyFont="1" applyFill="1" applyBorder="1" applyProtection="1"/>
    <xf numFmtId="0" fontId="9" fillId="0" borderId="127" xfId="53" applyFont="1" applyFill="1" applyBorder="1" applyProtection="1"/>
    <xf numFmtId="172" fontId="9" fillId="41" borderId="127" xfId="53" applyNumberFormat="1" applyFont="1" applyFill="1" applyBorder="1" applyAlignment="1" applyProtection="1">
      <alignment horizontal="right"/>
    </xf>
    <xf numFmtId="166" fontId="9" fillId="0" borderId="128" xfId="53" applyNumberFormat="1" applyFont="1" applyFill="1" applyBorder="1" applyAlignment="1" applyProtection="1">
      <alignment horizontal="right"/>
    </xf>
    <xf numFmtId="0" fontId="13" fillId="0" borderId="129" xfId="53" applyFont="1" applyFill="1" applyBorder="1" applyProtection="1"/>
    <xf numFmtId="0" fontId="28" fillId="0" borderId="79" xfId="53" applyFont="1" applyFill="1" applyBorder="1" applyAlignment="1" applyProtection="1">
      <alignment horizontal="center"/>
    </xf>
    <xf numFmtId="172" fontId="28" fillId="41" borderId="79" xfId="54" applyNumberFormat="1" applyFont="1" applyFill="1" applyBorder="1" applyAlignment="1" applyProtection="1">
      <alignment horizontal="right"/>
    </xf>
    <xf numFmtId="166" fontId="28" fillId="0" borderId="80" xfId="54" applyNumberFormat="1" applyFont="1" applyFill="1" applyBorder="1" applyAlignment="1" applyProtection="1">
      <alignment horizontal="right"/>
    </xf>
    <xf numFmtId="166" fontId="28" fillId="42" borderId="80" xfId="54" applyNumberFormat="1" applyFont="1" applyFill="1" applyBorder="1" applyAlignment="1" applyProtection="1">
      <alignment horizontal="right"/>
    </xf>
    <xf numFmtId="166" fontId="28" fillId="43" borderId="79" xfId="54" applyNumberFormat="1" applyFont="1" applyFill="1" applyBorder="1" applyAlignment="1" applyProtection="1">
      <alignment horizontal="right"/>
    </xf>
    <xf numFmtId="166" fontId="28" fillId="44" borderId="79" xfId="54" applyNumberFormat="1" applyFont="1" applyFill="1" applyBorder="1" applyAlignment="1" applyProtection="1">
      <alignment horizontal="right"/>
    </xf>
    <xf numFmtId="0" fontId="13" fillId="0" borderId="0" xfId="53" applyFont="1"/>
    <xf numFmtId="0" fontId="13" fillId="0" borderId="0" xfId="53" applyFont="1" applyFill="1" applyBorder="1" applyAlignment="1" applyProtection="1"/>
    <xf numFmtId="38" fontId="28" fillId="0" borderId="0" xfId="54" applyNumberFormat="1" applyFont="1" applyFill="1" applyBorder="1" applyAlignment="1" applyProtection="1">
      <alignment horizontal="center"/>
    </xf>
    <xf numFmtId="166" fontId="9" fillId="0" borderId="0" xfId="53" applyNumberFormat="1" applyFont="1" applyAlignment="1">
      <alignment horizontal="center"/>
    </xf>
    <xf numFmtId="6" fontId="28" fillId="0" borderId="0" xfId="54" applyNumberFormat="1" applyFont="1" applyFill="1" applyBorder="1" applyAlignment="1" applyProtection="1">
      <alignment horizontal="center"/>
    </xf>
    <xf numFmtId="0" fontId="10" fillId="0" borderId="0" xfId="53" applyFont="1" applyFill="1" applyBorder="1" applyAlignment="1" applyProtection="1">
      <alignment horizontal="right" vertical="center"/>
    </xf>
    <xf numFmtId="0" fontId="9" fillId="0" borderId="0" xfId="53" applyFont="1" applyFill="1" applyBorder="1" applyAlignment="1" applyProtection="1"/>
    <xf numFmtId="0" fontId="9" fillId="0" borderId="0" xfId="53" quotePrefix="1" applyFont="1" applyAlignment="1">
      <alignment horizontal="center"/>
    </xf>
    <xf numFmtId="165" fontId="9" fillId="0" borderId="0" xfId="54" applyNumberFormat="1" applyFont="1" applyAlignment="1"/>
    <xf numFmtId="0" fontId="9" fillId="0" borderId="0" xfId="53" applyFont="1" applyAlignment="1">
      <alignment horizontal="left"/>
    </xf>
    <xf numFmtId="10" fontId="9" fillId="0" borderId="0" xfId="55" applyNumberFormat="1" applyFont="1" applyAlignment="1"/>
    <xf numFmtId="5" fontId="9" fillId="0" borderId="0" xfId="56" applyNumberFormat="1" applyFont="1" applyAlignment="1">
      <alignment horizontal="right"/>
    </xf>
    <xf numFmtId="0" fontId="9" fillId="0" borderId="0" xfId="53" applyFont="1" applyAlignment="1"/>
    <xf numFmtId="10" fontId="9" fillId="0" borderId="14" xfId="53" applyNumberFormat="1" applyFont="1" applyBorder="1" applyAlignment="1">
      <alignment horizontal="right"/>
    </xf>
    <xf numFmtId="166" fontId="9" fillId="0" borderId="0" xfId="53" applyNumberFormat="1" applyFont="1" applyAlignment="1">
      <alignment horizontal="right"/>
    </xf>
    <xf numFmtId="169" fontId="9" fillId="0" borderId="14" xfId="53" applyNumberFormat="1" applyFont="1" applyBorder="1" applyAlignment="1">
      <alignment horizontal="right"/>
    </xf>
    <xf numFmtId="0" fontId="9" fillId="0" borderId="0" xfId="53" quotePrefix="1" applyFont="1" applyAlignment="1"/>
    <xf numFmtId="165" fontId="9" fillId="0" borderId="14" xfId="53" applyNumberFormat="1" applyFont="1" applyBorder="1" applyAlignment="1">
      <alignment horizontal="right"/>
    </xf>
    <xf numFmtId="6" fontId="9" fillId="0" borderId="14" xfId="53" applyNumberFormat="1" applyFont="1" applyBorder="1" applyAlignment="1">
      <alignment horizontal="right"/>
    </xf>
    <xf numFmtId="6" fontId="9" fillId="0" borderId="0" xfId="53" applyNumberFormat="1" applyFont="1" applyAlignment="1">
      <alignment horizontal="right"/>
    </xf>
    <xf numFmtId="10" fontId="28" fillId="0" borderId="80" xfId="48" applyNumberFormat="1" applyFont="1" applyFill="1" applyBorder="1" applyAlignment="1" applyProtection="1">
      <alignment horizontal="right"/>
    </xf>
    <xf numFmtId="1" fontId="39" fillId="26" borderId="26" xfId="53" applyNumberFormat="1" applyFont="1" applyFill="1" applyBorder="1" applyAlignment="1" applyProtection="1">
      <alignment horizontal="center"/>
    </xf>
    <xf numFmtId="1" fontId="112" fillId="26" borderId="26" xfId="53" applyNumberFormat="1" applyFont="1" applyFill="1" applyBorder="1" applyAlignment="1" applyProtection="1">
      <alignment horizontal="center"/>
    </xf>
    <xf numFmtId="1" fontId="117" fillId="26" borderId="26" xfId="53" applyNumberFormat="1" applyFont="1" applyFill="1" applyBorder="1" applyAlignment="1" applyProtection="1">
      <alignment horizontal="center"/>
    </xf>
    <xf numFmtId="1" fontId="117" fillId="26" borderId="26" xfId="53" applyNumberFormat="1" applyFont="1" applyFill="1" applyBorder="1" applyAlignment="1" applyProtection="1">
      <alignment horizontal="center" wrapText="1"/>
    </xf>
    <xf numFmtId="1" fontId="39" fillId="0" borderId="26" xfId="53" applyNumberFormat="1" applyFont="1" applyBorder="1" applyAlignment="1">
      <alignment horizontal="center"/>
    </xf>
    <xf numFmtId="166" fontId="9" fillId="0" borderId="0" xfId="53" applyNumberFormat="1" applyFont="1"/>
    <xf numFmtId="166" fontId="118" fillId="0" borderId="0" xfId="53" applyNumberFormat="1" applyFont="1"/>
    <xf numFmtId="166" fontId="19" fillId="0" borderId="0" xfId="53" applyNumberFormat="1" applyFont="1" applyAlignment="1">
      <alignment horizontal="center"/>
    </xf>
    <xf numFmtId="166" fontId="9" fillId="0" borderId="118" xfId="53" applyNumberFormat="1" applyFont="1" applyFill="1" applyBorder="1" applyAlignment="1" applyProtection="1">
      <alignment horizontal="right"/>
    </xf>
    <xf numFmtId="166" fontId="9" fillId="42" borderId="121" xfId="54" applyNumberFormat="1" applyFont="1" applyFill="1" applyBorder="1" applyAlignment="1" applyProtection="1">
      <alignment horizontal="right"/>
    </xf>
    <xf numFmtId="166" fontId="9" fillId="43" borderId="120" xfId="53" applyNumberFormat="1" applyFont="1" applyFill="1" applyBorder="1" applyAlignment="1" applyProtection="1">
      <alignment horizontal="right"/>
    </xf>
    <xf numFmtId="166" fontId="9" fillId="44" borderId="120" xfId="53" applyNumberFormat="1" applyFont="1" applyFill="1" applyBorder="1" applyAlignment="1" applyProtection="1">
      <alignment horizontal="right"/>
    </xf>
    <xf numFmtId="166" fontId="9" fillId="42" borderId="124" xfId="54" applyNumberFormat="1" applyFont="1" applyFill="1" applyBorder="1" applyAlignment="1" applyProtection="1">
      <alignment horizontal="right"/>
    </xf>
    <xf numFmtId="166" fontId="9" fillId="0" borderId="125" xfId="53" applyNumberFormat="1" applyFont="1" applyFill="1" applyBorder="1" applyAlignment="1" applyProtection="1">
      <alignment horizontal="right"/>
    </xf>
    <xf numFmtId="166" fontId="9" fillId="43" borderId="123" xfId="53" applyNumberFormat="1" applyFont="1" applyFill="1" applyBorder="1" applyAlignment="1" applyProtection="1">
      <alignment horizontal="right"/>
    </xf>
    <xf numFmtId="166" fontId="9" fillId="44" borderId="123" xfId="53" applyNumberFormat="1" applyFont="1" applyFill="1" applyBorder="1" applyAlignment="1" applyProtection="1">
      <alignment horizontal="right"/>
    </xf>
    <xf numFmtId="166" fontId="9" fillId="42" borderId="121" xfId="53" applyNumberFormat="1" applyFont="1" applyFill="1" applyBorder="1" applyAlignment="1" applyProtection="1">
      <alignment horizontal="right"/>
    </xf>
    <xf numFmtId="166" fontId="9" fillId="42" borderId="124" xfId="53" applyNumberFormat="1" applyFont="1" applyFill="1" applyBorder="1" applyAlignment="1" applyProtection="1">
      <alignment horizontal="right"/>
    </xf>
    <xf numFmtId="166" fontId="9" fillId="42" borderId="117" xfId="53" applyNumberFormat="1" applyFont="1" applyFill="1" applyBorder="1" applyAlignment="1" applyProtection="1">
      <alignment horizontal="right"/>
    </xf>
    <xf numFmtId="166" fontId="9" fillId="42" borderId="128" xfId="53" applyNumberFormat="1" applyFont="1" applyFill="1" applyBorder="1" applyAlignment="1" applyProtection="1">
      <alignment horizontal="right"/>
    </xf>
    <xf numFmtId="166" fontId="9" fillId="43" borderId="127" xfId="53" applyNumberFormat="1" applyFont="1" applyFill="1" applyBorder="1" applyAlignment="1" applyProtection="1">
      <alignment horizontal="right"/>
    </xf>
    <xf numFmtId="166" fontId="9" fillId="44" borderId="127" xfId="53" applyNumberFormat="1" applyFont="1" applyFill="1" applyBorder="1" applyAlignment="1" applyProtection="1">
      <alignment horizontal="right"/>
    </xf>
    <xf numFmtId="166" fontId="13" fillId="0" borderId="130" xfId="53" applyNumberFormat="1" applyFont="1" applyFill="1" applyBorder="1" applyAlignment="1" applyProtection="1">
      <alignment horizontal="right"/>
    </xf>
    <xf numFmtId="0" fontId="100" fillId="41" borderId="13" xfId="0" applyFont="1" applyFill="1" applyBorder="1" applyAlignment="1">
      <alignment horizontal="left" wrapText="1"/>
    </xf>
    <xf numFmtId="0" fontId="100" fillId="49" borderId="26" xfId="0" applyFont="1" applyFill="1" applyBorder="1" applyAlignment="1">
      <alignment horizontal="left" wrapText="1"/>
    </xf>
    <xf numFmtId="0" fontId="100" fillId="49" borderId="13" xfId="0" applyFont="1" applyFill="1" applyBorder="1" applyAlignment="1">
      <alignment horizontal="left" wrapText="1"/>
    </xf>
    <xf numFmtId="3" fontId="63" fillId="41" borderId="35" xfId="0" applyNumberFormat="1" applyFont="1" applyFill="1" applyBorder="1" applyAlignment="1">
      <alignment horizontal="right" wrapText="1"/>
    </xf>
    <xf numFmtId="6" fontId="9" fillId="0" borderId="11" xfId="0" applyNumberFormat="1" applyFont="1" applyFill="1" applyBorder="1" applyProtection="1"/>
    <xf numFmtId="10" fontId="9" fillId="0" borderId="117" xfId="48" applyNumberFormat="1" applyFont="1" applyFill="1" applyBorder="1" applyAlignment="1" applyProtection="1">
      <alignment horizontal="right"/>
    </xf>
    <xf numFmtId="10" fontId="9" fillId="0" borderId="121" xfId="48" applyNumberFormat="1" applyFont="1" applyFill="1" applyBorder="1" applyAlignment="1" applyProtection="1">
      <alignment horizontal="right"/>
    </xf>
    <xf numFmtId="10" fontId="9" fillId="0" borderId="124" xfId="48" applyNumberFormat="1" applyFont="1" applyFill="1" applyBorder="1" applyAlignment="1" applyProtection="1">
      <alignment horizontal="right"/>
    </xf>
    <xf numFmtId="10" fontId="9" fillId="0" borderId="128" xfId="48" applyNumberFormat="1" applyFont="1" applyFill="1" applyBorder="1" applyAlignment="1" applyProtection="1">
      <alignment horizontal="right"/>
    </xf>
    <xf numFmtId="166" fontId="9" fillId="43" borderId="117" xfId="54" applyNumberFormat="1" applyFont="1" applyFill="1" applyBorder="1" applyAlignment="1" applyProtection="1">
      <alignment horizontal="right"/>
    </xf>
    <xf numFmtId="166" fontId="9" fillId="43" borderId="121" xfId="54" applyNumberFormat="1" applyFont="1" applyFill="1" applyBorder="1" applyAlignment="1" applyProtection="1">
      <alignment horizontal="right"/>
    </xf>
    <xf numFmtId="166" fontId="9" fillId="43" borderId="124" xfId="54" applyNumberFormat="1" applyFont="1" applyFill="1" applyBorder="1" applyAlignment="1" applyProtection="1">
      <alignment horizontal="right"/>
    </xf>
    <xf numFmtId="166" fontId="9" fillId="43" borderId="121" xfId="53" applyNumberFormat="1" applyFont="1" applyFill="1" applyBorder="1" applyAlignment="1" applyProtection="1">
      <alignment horizontal="right"/>
    </xf>
    <xf numFmtId="166" fontId="9" fillId="43" borderId="124" xfId="53" applyNumberFormat="1" applyFont="1" applyFill="1" applyBorder="1" applyAlignment="1" applyProtection="1">
      <alignment horizontal="right"/>
    </xf>
    <xf numFmtId="166" fontId="9" fillId="43" borderId="117" xfId="53" applyNumberFormat="1" applyFont="1" applyFill="1" applyBorder="1" applyAlignment="1" applyProtection="1">
      <alignment horizontal="right"/>
    </xf>
    <xf numFmtId="166" fontId="9" fillId="43" borderId="128" xfId="53" applyNumberFormat="1" applyFont="1" applyFill="1" applyBorder="1" applyAlignment="1" applyProtection="1">
      <alignment horizontal="right"/>
    </xf>
    <xf numFmtId="166" fontId="28" fillId="43" borderId="80" xfId="54" applyNumberFormat="1" applyFont="1" applyFill="1" applyBorder="1" applyAlignment="1" applyProtection="1">
      <alignment horizontal="right"/>
    </xf>
    <xf numFmtId="166" fontId="9" fillId="44" borderId="117" xfId="54" applyNumberFormat="1" applyFont="1" applyFill="1" applyBorder="1" applyAlignment="1" applyProtection="1">
      <alignment horizontal="right"/>
    </xf>
    <xf numFmtId="166" fontId="9" fillId="44" borderId="121" xfId="54" applyNumberFormat="1" applyFont="1" applyFill="1" applyBorder="1" applyAlignment="1" applyProtection="1">
      <alignment horizontal="right"/>
    </xf>
    <xf numFmtId="166" fontId="9" fillId="44" borderId="124" xfId="54" applyNumberFormat="1" applyFont="1" applyFill="1" applyBorder="1" applyAlignment="1" applyProtection="1">
      <alignment horizontal="right"/>
    </xf>
    <xf numFmtId="166" fontId="9" fillId="44" borderId="121" xfId="53" applyNumberFormat="1" applyFont="1" applyFill="1" applyBorder="1" applyAlignment="1" applyProtection="1">
      <alignment horizontal="right"/>
    </xf>
    <xf numFmtId="166" fontId="9" fillId="44" borderId="124" xfId="53" applyNumberFormat="1" applyFont="1" applyFill="1" applyBorder="1" applyAlignment="1" applyProtection="1">
      <alignment horizontal="right"/>
    </xf>
    <xf numFmtId="166" fontId="9" fillId="44" borderId="117" xfId="53" applyNumberFormat="1" applyFont="1" applyFill="1" applyBorder="1" applyAlignment="1" applyProtection="1">
      <alignment horizontal="right"/>
    </xf>
    <xf numFmtId="166" fontId="9" fillId="44" borderId="128" xfId="53" applyNumberFormat="1" applyFont="1" applyFill="1" applyBorder="1" applyAlignment="1" applyProtection="1">
      <alignment horizontal="right"/>
    </xf>
    <xf numFmtId="166" fontId="28" fillId="44" borderId="80" xfId="54" applyNumberFormat="1" applyFont="1" applyFill="1" applyBorder="1" applyAlignment="1" applyProtection="1">
      <alignment horizontal="right"/>
    </xf>
    <xf numFmtId="5" fontId="21" fillId="27" borderId="44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 vertical="top" wrapText="1"/>
    </xf>
    <xf numFmtId="166" fontId="9" fillId="41" borderId="117" xfId="54" applyNumberFormat="1" applyFont="1" applyFill="1" applyBorder="1" applyAlignment="1" applyProtection="1">
      <alignment horizontal="right"/>
    </xf>
    <xf numFmtId="166" fontId="9" fillId="41" borderId="121" xfId="54" applyNumberFormat="1" applyFont="1" applyFill="1" applyBorder="1" applyAlignment="1" applyProtection="1">
      <alignment horizontal="right"/>
    </xf>
    <xf numFmtId="166" fontId="9" fillId="41" borderId="124" xfId="54" applyNumberFormat="1" applyFont="1" applyFill="1" applyBorder="1" applyAlignment="1" applyProtection="1">
      <alignment horizontal="right"/>
    </xf>
    <xf numFmtId="166" fontId="9" fillId="41" borderId="121" xfId="53" applyNumberFormat="1" applyFont="1" applyFill="1" applyBorder="1" applyAlignment="1" applyProtection="1">
      <alignment horizontal="right"/>
    </xf>
    <xf numFmtId="166" fontId="9" fillId="41" borderId="124" xfId="53" applyNumberFormat="1" applyFont="1" applyFill="1" applyBorder="1" applyAlignment="1" applyProtection="1">
      <alignment horizontal="right"/>
    </xf>
    <xf numFmtId="166" fontId="9" fillId="41" borderId="117" xfId="53" applyNumberFormat="1" applyFont="1" applyFill="1" applyBorder="1" applyAlignment="1" applyProtection="1">
      <alignment horizontal="right"/>
    </xf>
    <xf numFmtId="166" fontId="9" fillId="41" borderId="128" xfId="53" applyNumberFormat="1" applyFont="1" applyFill="1" applyBorder="1" applyAlignment="1" applyProtection="1">
      <alignment horizontal="right"/>
    </xf>
    <xf numFmtId="166" fontId="28" fillId="41" borderId="80" xfId="54" applyNumberFormat="1" applyFont="1" applyFill="1" applyBorder="1" applyAlignment="1" applyProtection="1">
      <alignment horizontal="right"/>
    </xf>
    <xf numFmtId="10" fontId="28" fillId="61" borderId="13" xfId="48" applyNumberFormat="1" applyFont="1" applyFill="1" applyBorder="1" applyAlignment="1">
      <alignment horizontal="center" vertical="center" wrapText="1"/>
    </xf>
    <xf numFmtId="10" fontId="28" fillId="43" borderId="13" xfId="48" applyNumberFormat="1" applyFont="1" applyFill="1" applyBorder="1" applyAlignment="1">
      <alignment horizontal="center" vertical="center" wrapText="1"/>
    </xf>
    <xf numFmtId="6" fontId="9" fillId="41" borderId="117" xfId="54" applyNumberFormat="1" applyFont="1" applyFill="1" applyBorder="1" applyAlignment="1" applyProtection="1">
      <alignment horizontal="right"/>
    </xf>
    <xf numFmtId="6" fontId="9" fillId="41" borderId="121" xfId="54" applyNumberFormat="1" applyFont="1" applyFill="1" applyBorder="1" applyAlignment="1" applyProtection="1">
      <alignment horizontal="right"/>
    </xf>
    <xf numFmtId="6" fontId="9" fillId="41" borderId="124" xfId="54" applyNumberFormat="1" applyFont="1" applyFill="1" applyBorder="1" applyAlignment="1" applyProtection="1">
      <alignment horizontal="right"/>
    </xf>
    <xf numFmtId="6" fontId="9" fillId="41" borderId="121" xfId="53" applyNumberFormat="1" applyFont="1" applyFill="1" applyBorder="1" applyAlignment="1" applyProtection="1">
      <alignment horizontal="right"/>
    </xf>
    <xf numFmtId="6" fontId="9" fillId="41" borderId="124" xfId="53" applyNumberFormat="1" applyFont="1" applyFill="1" applyBorder="1" applyAlignment="1" applyProtection="1">
      <alignment horizontal="right"/>
    </xf>
    <xf numFmtId="6" fontId="9" fillId="41" borderId="117" xfId="53" applyNumberFormat="1" applyFont="1" applyFill="1" applyBorder="1" applyAlignment="1" applyProtection="1">
      <alignment horizontal="right"/>
    </xf>
    <xf numFmtId="6" fontId="9" fillId="41" borderId="128" xfId="53" applyNumberFormat="1" applyFont="1" applyFill="1" applyBorder="1" applyAlignment="1" applyProtection="1">
      <alignment horizontal="right"/>
    </xf>
    <xf numFmtId="6" fontId="28" fillId="41" borderId="80" xfId="54" applyNumberFormat="1" applyFont="1" applyFill="1" applyBorder="1" applyAlignment="1" applyProtection="1">
      <alignment horizontal="right"/>
    </xf>
    <xf numFmtId="6" fontId="9" fillId="41" borderId="116" xfId="53" applyNumberFormat="1" applyFont="1" applyFill="1" applyBorder="1" applyAlignment="1" applyProtection="1">
      <alignment horizontal="right"/>
    </xf>
    <xf numFmtId="6" fontId="9" fillId="41" borderId="120" xfId="53" applyNumberFormat="1" applyFont="1" applyFill="1" applyBorder="1" applyAlignment="1" applyProtection="1">
      <alignment horizontal="right"/>
    </xf>
    <xf numFmtId="6" fontId="9" fillId="41" borderId="123" xfId="53" applyNumberFormat="1" applyFont="1" applyFill="1" applyBorder="1" applyAlignment="1" applyProtection="1">
      <alignment horizontal="right"/>
    </xf>
    <xf numFmtId="6" fontId="9" fillId="41" borderId="127" xfId="53" applyNumberFormat="1" applyFont="1" applyFill="1" applyBorder="1" applyAlignment="1" applyProtection="1">
      <alignment horizontal="right"/>
    </xf>
    <xf numFmtId="6" fontId="28" fillId="41" borderId="79" xfId="54" applyNumberFormat="1" applyFont="1" applyFill="1" applyBorder="1" applyAlignment="1" applyProtection="1">
      <alignment horizontal="right"/>
    </xf>
    <xf numFmtId="6" fontId="9" fillId="0" borderId="0" xfId="53" applyNumberFormat="1" applyFont="1" applyBorder="1" applyAlignment="1">
      <alignment horizontal="right"/>
    </xf>
    <xf numFmtId="0" fontId="0" fillId="0" borderId="0" xfId="0" applyBorder="1" applyAlignment="1">
      <alignment horizontal="left" wrapText="1"/>
    </xf>
    <xf numFmtId="5" fontId="21" fillId="27" borderId="192" xfId="0" applyNumberFormat="1" applyFont="1" applyFill="1" applyBorder="1" applyAlignment="1" applyProtection="1">
      <alignment vertical="center"/>
    </xf>
    <xf numFmtId="10" fontId="16" fillId="27" borderId="193" xfId="0" applyNumberFormat="1" applyFont="1" applyFill="1" applyBorder="1" applyAlignment="1" applyProtection="1">
      <alignment vertical="center"/>
    </xf>
    <xf numFmtId="5" fontId="120" fillId="0" borderId="0" xfId="0" applyNumberFormat="1" applyFont="1" applyFill="1" applyBorder="1" applyProtection="1"/>
    <xf numFmtId="165" fontId="28" fillId="0" borderId="0" xfId="28" quotePrefix="1" applyNumberFormat="1" applyFont="1" applyFill="1" applyBorder="1" applyProtection="1"/>
    <xf numFmtId="6" fontId="9" fillId="0" borderId="0" xfId="0" applyNumberFormat="1" applyFont="1"/>
    <xf numFmtId="0" fontId="14" fillId="0" borderId="194" xfId="0" quotePrefix="1" applyFont="1" applyFill="1" applyBorder="1" applyAlignment="1">
      <alignment horizontal="center"/>
    </xf>
    <xf numFmtId="0" fontId="11" fillId="41" borderId="66" xfId="0" applyFont="1" applyFill="1" applyBorder="1" applyProtection="1"/>
    <xf numFmtId="6" fontId="11" fillId="41" borderId="11" xfId="0" applyNumberFormat="1" applyFont="1" applyFill="1" applyBorder="1" applyProtection="1"/>
    <xf numFmtId="0" fontId="11" fillId="41" borderId="67" xfId="0" applyFont="1" applyFill="1" applyBorder="1" applyProtection="1"/>
    <xf numFmtId="6" fontId="11" fillId="41" borderId="69" xfId="0" applyNumberFormat="1" applyFont="1" applyFill="1" applyBorder="1" applyProtection="1"/>
    <xf numFmtId="6" fontId="115" fillId="41" borderId="11" xfId="0" applyNumberFormat="1" applyFont="1" applyFill="1" applyBorder="1" applyProtection="1"/>
    <xf numFmtId="0" fontId="9" fillId="46" borderId="26" xfId="0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left"/>
    </xf>
    <xf numFmtId="0" fontId="24" fillId="41" borderId="51" xfId="0" applyFont="1" applyFill="1" applyBorder="1" applyAlignment="1">
      <alignment horizontal="center"/>
    </xf>
    <xf numFmtId="0" fontId="24" fillId="41" borderId="50" xfId="0" applyFont="1" applyFill="1" applyBorder="1" applyAlignment="1">
      <alignment horizontal="left"/>
    </xf>
    <xf numFmtId="0" fontId="14" fillId="41" borderId="50" xfId="0" applyFont="1" applyFill="1" applyBorder="1" applyAlignment="1">
      <alignment horizontal="left"/>
    </xf>
    <xf numFmtId="5" fontId="24" fillId="41" borderId="19" xfId="0" applyNumberFormat="1" applyFont="1" applyFill="1" applyBorder="1" applyProtection="1"/>
    <xf numFmtId="5" fontId="24" fillId="41" borderId="157" xfId="0" applyNumberFormat="1" applyFont="1" applyFill="1" applyBorder="1" applyProtection="1"/>
    <xf numFmtId="5" fontId="24" fillId="41" borderId="185" xfId="0" applyNumberFormat="1" applyFont="1" applyFill="1" applyBorder="1" applyProtection="1"/>
    <xf numFmtId="5" fontId="24" fillId="41" borderId="158" xfId="0" applyNumberFormat="1" applyFont="1" applyFill="1" applyBorder="1" applyProtection="1"/>
    <xf numFmtId="10" fontId="24" fillId="41" borderId="94" xfId="0" applyNumberFormat="1" applyFont="1" applyFill="1" applyBorder="1" applyProtection="1"/>
    <xf numFmtId="0" fontId="24" fillId="41" borderId="51" xfId="0" quotePrefix="1" applyFont="1" applyFill="1" applyBorder="1" applyAlignment="1">
      <alignment horizontal="center"/>
    </xf>
    <xf numFmtId="0" fontId="24" fillId="41" borderId="0" xfId="0" applyFont="1" applyFill="1" applyBorder="1" applyAlignment="1">
      <alignment horizontal="left"/>
    </xf>
    <xf numFmtId="0" fontId="14" fillId="41" borderId="0" xfId="0" applyFont="1" applyFill="1" applyBorder="1" applyAlignment="1">
      <alignment horizontal="left"/>
    </xf>
    <xf numFmtId="5" fontId="24" fillId="41" borderId="49" xfId="0" applyNumberFormat="1" applyFont="1" applyFill="1" applyBorder="1" applyProtection="1"/>
    <xf numFmtId="5" fontId="24" fillId="41" borderId="149" xfId="0" applyNumberFormat="1" applyFont="1" applyFill="1" applyBorder="1" applyProtection="1"/>
    <xf numFmtId="5" fontId="24" fillId="41" borderId="44" xfId="0" applyNumberFormat="1" applyFont="1" applyFill="1" applyBorder="1" applyProtection="1"/>
    <xf numFmtId="0" fontId="14" fillId="41" borderId="51" xfId="0" applyFont="1" applyFill="1" applyBorder="1" applyAlignment="1">
      <alignment horizontal="center"/>
    </xf>
    <xf numFmtId="0" fontId="14" fillId="41" borderId="0" xfId="0" quotePrefix="1" applyFont="1" applyFill="1" applyBorder="1" applyAlignment="1">
      <alignment horizontal="center"/>
    </xf>
    <xf numFmtId="5" fontId="16" fillId="41" borderId="20" xfId="0" applyNumberFormat="1" applyFont="1" applyFill="1" applyBorder="1" applyProtection="1"/>
    <xf numFmtId="10" fontId="16" fillId="41" borderId="105" xfId="0" applyNumberFormat="1" applyFont="1" applyFill="1" applyBorder="1" applyProtection="1"/>
    <xf numFmtId="0" fontId="14" fillId="0" borderId="50" xfId="0" applyFont="1" applyFill="1" applyBorder="1" applyAlignment="1">
      <alignment horizontal="left" wrapText="1"/>
    </xf>
    <xf numFmtId="0" fontId="14" fillId="0" borderId="195" xfId="0" applyFont="1" applyFill="1" applyBorder="1" applyAlignment="1">
      <alignment horizontal="left"/>
    </xf>
    <xf numFmtId="5" fontId="24" fillId="0" borderId="196" xfId="0" applyNumberFormat="1" applyFont="1" applyFill="1" applyBorder="1" applyProtection="1"/>
    <xf numFmtId="5" fontId="16" fillId="0" borderId="197" xfId="0" applyNumberFormat="1" applyFont="1" applyFill="1" applyBorder="1" applyProtection="1"/>
    <xf numFmtId="5" fontId="16" fillId="0" borderId="198" xfId="0" applyNumberFormat="1" applyFont="1" applyFill="1" applyBorder="1" applyProtection="1"/>
    <xf numFmtId="5" fontId="16" fillId="0" borderId="199" xfId="0" applyNumberFormat="1" applyFont="1" applyFill="1" applyBorder="1" applyProtection="1"/>
    <xf numFmtId="5" fontId="16" fillId="0" borderId="200" xfId="0" applyNumberFormat="1" applyFont="1" applyFill="1" applyBorder="1" applyAlignment="1" applyProtection="1"/>
    <xf numFmtId="0" fontId="14" fillId="0" borderId="201" xfId="0" applyFont="1" applyFill="1" applyBorder="1" applyAlignment="1">
      <alignment horizontal="left"/>
    </xf>
    <xf numFmtId="5" fontId="16" fillId="0" borderId="202" xfId="0" applyNumberFormat="1" applyFont="1" applyFill="1" applyBorder="1" applyAlignment="1" applyProtection="1"/>
    <xf numFmtId="5" fontId="16" fillId="0" borderId="203" xfId="0" applyNumberFormat="1" applyFont="1" applyFill="1" applyBorder="1" applyAlignment="1" applyProtection="1"/>
    <xf numFmtId="5" fontId="16" fillId="0" borderId="204" xfId="0" applyNumberFormat="1" applyFont="1" applyFill="1" applyBorder="1" applyAlignment="1" applyProtection="1"/>
    <xf numFmtId="5" fontId="16" fillId="0" borderId="205" xfId="0" applyNumberFormat="1" applyFont="1" applyFill="1" applyBorder="1" applyProtection="1"/>
    <xf numFmtId="10" fontId="16" fillId="0" borderId="206" xfId="0" applyNumberFormat="1" applyFont="1" applyFill="1" applyBorder="1" applyProtection="1"/>
    <xf numFmtId="0" fontId="14" fillId="0" borderId="207" xfId="0" applyFont="1" applyFill="1" applyBorder="1" applyAlignment="1">
      <alignment horizontal="left"/>
    </xf>
    <xf numFmtId="5" fontId="16" fillId="0" borderId="208" xfId="0" applyNumberFormat="1" applyFont="1" applyFill="1" applyBorder="1" applyProtection="1"/>
    <xf numFmtId="5" fontId="16" fillId="0" borderId="207" xfId="0" applyNumberFormat="1" applyFont="1" applyFill="1" applyBorder="1" applyProtection="1"/>
    <xf numFmtId="5" fontId="16" fillId="0" borderId="209" xfId="0" applyNumberFormat="1" applyFont="1" applyFill="1" applyBorder="1" applyProtection="1"/>
    <xf numFmtId="5" fontId="16" fillId="0" borderId="210" xfId="0" applyNumberFormat="1" applyFont="1" applyFill="1" applyBorder="1" applyProtection="1"/>
    <xf numFmtId="10" fontId="16" fillId="0" borderId="211" xfId="0" applyNumberFormat="1" applyFont="1" applyFill="1" applyBorder="1" applyProtection="1"/>
    <xf numFmtId="0" fontId="14" fillId="0" borderId="21" xfId="0" applyFont="1" applyFill="1" applyBorder="1" applyAlignment="1">
      <alignment horizontal="right"/>
    </xf>
    <xf numFmtId="165" fontId="14" fillId="0" borderId="155" xfId="28" applyNumberFormat="1" applyFont="1" applyFill="1" applyBorder="1" applyAlignment="1" applyProtection="1"/>
    <xf numFmtId="165" fontId="14" fillId="0" borderId="20" xfId="28" applyNumberFormat="1" applyFont="1" applyFill="1" applyBorder="1" applyAlignment="1" applyProtection="1"/>
    <xf numFmtId="165" fontId="14" fillId="0" borderId="154" xfId="28" applyNumberFormat="1" applyFont="1" applyFill="1" applyBorder="1" applyAlignment="1" applyProtection="1"/>
    <xf numFmtId="165" fontId="14" fillId="0" borderId="144" xfId="28" applyNumberFormat="1" applyFont="1" applyFill="1" applyBorder="1" applyAlignment="1" applyProtection="1"/>
    <xf numFmtId="165" fontId="14" fillId="0" borderId="27" xfId="28" applyNumberFormat="1" applyFont="1" applyFill="1" applyBorder="1" applyProtection="1"/>
    <xf numFmtId="0" fontId="14" fillId="0" borderId="21" xfId="0" applyFont="1" applyFill="1" applyBorder="1" applyAlignment="1">
      <alignment horizontal="right" vertical="top"/>
    </xf>
    <xf numFmtId="0" fontId="14" fillId="0" borderId="20" xfId="0" applyFont="1" applyFill="1" applyBorder="1" applyAlignment="1">
      <alignment horizontal="left" vertical="top" wrapText="1"/>
    </xf>
    <xf numFmtId="0" fontId="28" fillId="25" borderId="26" xfId="0" applyFont="1" applyFill="1" applyBorder="1" applyAlignment="1">
      <alignment horizontal="center" vertical="center" wrapText="1"/>
    </xf>
    <xf numFmtId="3" fontId="13" fillId="0" borderId="0" xfId="0" applyNumberFormat="1" applyFont="1"/>
    <xf numFmtId="0" fontId="123" fillId="0" borderId="0" xfId="53" applyFont="1"/>
    <xf numFmtId="0" fontId="9" fillId="0" borderId="0" xfId="53"/>
    <xf numFmtId="0" fontId="123" fillId="0" borderId="0" xfId="53" applyNumberFormat="1" applyFont="1"/>
    <xf numFmtId="0" fontId="72" fillId="0" borderId="0" xfId="53" applyFont="1"/>
    <xf numFmtId="0" fontId="48" fillId="63" borderId="22" xfId="45" applyFont="1" applyFill="1" applyBorder="1" applyAlignment="1">
      <alignment horizontal="center" wrapText="1"/>
    </xf>
    <xf numFmtId="0" fontId="9" fillId="0" borderId="0" xfId="53" applyAlignment="1">
      <alignment wrapText="1"/>
    </xf>
    <xf numFmtId="173" fontId="124" fillId="0" borderId="7" xfId="64" applyNumberFormat="1" applyFont="1" applyFill="1" applyBorder="1" applyAlignment="1">
      <alignment horizontal="right" wrapText="1"/>
    </xf>
    <xf numFmtId="3" fontId="13" fillId="0" borderId="0" xfId="53" applyNumberFormat="1" applyFont="1"/>
    <xf numFmtId="173" fontId="48" fillId="0" borderId="7" xfId="64" applyNumberFormat="1" applyFont="1" applyFill="1" applyBorder="1" applyAlignment="1">
      <alignment horizontal="right" wrapText="1"/>
    </xf>
    <xf numFmtId="0" fontId="48" fillId="0" borderId="7" xfId="64" applyFont="1" applyFill="1" applyBorder="1" applyAlignment="1">
      <alignment wrapText="1"/>
    </xf>
    <xf numFmtId="3" fontId="48" fillId="0" borderId="7" xfId="64" applyNumberFormat="1" applyFont="1" applyFill="1" applyBorder="1" applyAlignment="1">
      <alignment horizontal="right" wrapText="1"/>
    </xf>
    <xf numFmtId="3" fontId="9" fillId="0" borderId="0" xfId="53" applyNumberFormat="1"/>
    <xf numFmtId="3" fontId="9" fillId="41" borderId="120" xfId="54" applyNumberFormat="1" applyFont="1" applyFill="1" applyBorder="1" applyAlignment="1" applyProtection="1">
      <alignment horizontal="right"/>
    </xf>
    <xf numFmtId="3" fontId="9" fillId="41" borderId="123" xfId="54" applyNumberFormat="1" applyFont="1" applyFill="1" applyBorder="1" applyAlignment="1" applyProtection="1">
      <alignment horizontal="right"/>
    </xf>
    <xf numFmtId="3" fontId="9" fillId="41" borderId="116" xfId="54" applyNumberFormat="1" applyFont="1" applyFill="1" applyBorder="1" applyAlignment="1" applyProtection="1">
      <alignment horizontal="right"/>
    </xf>
    <xf numFmtId="3" fontId="9" fillId="41" borderId="120" xfId="53" applyNumberFormat="1" applyFont="1" applyFill="1" applyBorder="1" applyAlignment="1" applyProtection="1">
      <alignment horizontal="right"/>
    </xf>
    <xf numFmtId="3" fontId="9" fillId="41" borderId="123" xfId="53" applyNumberFormat="1" applyFont="1" applyFill="1" applyBorder="1" applyAlignment="1" applyProtection="1">
      <alignment horizontal="right"/>
    </xf>
    <xf numFmtId="3" fontId="9" fillId="41" borderId="116" xfId="53" applyNumberFormat="1" applyFont="1" applyFill="1" applyBorder="1" applyAlignment="1" applyProtection="1">
      <alignment horizontal="right"/>
    </xf>
    <xf numFmtId="3" fontId="9" fillId="41" borderId="127" xfId="53" applyNumberFormat="1" applyFont="1" applyFill="1" applyBorder="1" applyAlignment="1" applyProtection="1">
      <alignment horizontal="right"/>
    </xf>
    <xf numFmtId="0" fontId="9" fillId="0" borderId="0" xfId="0" applyFont="1" applyAlignment="1">
      <alignment wrapText="1"/>
    </xf>
    <xf numFmtId="0" fontId="11" fillId="0" borderId="0" xfId="0" applyFont="1" applyAlignment="1">
      <alignment horizontal="center"/>
    </xf>
    <xf numFmtId="6" fontId="11" fillId="42" borderId="117" xfId="30" applyNumberFormat="1" applyFont="1" applyFill="1" applyBorder="1" applyAlignment="1" applyProtection="1">
      <alignment horizontal="right"/>
    </xf>
    <xf numFmtId="6" fontId="11" fillId="42" borderId="121" xfId="30" applyNumberFormat="1" applyFont="1" applyFill="1" applyBorder="1" applyAlignment="1" applyProtection="1">
      <alignment horizontal="right"/>
    </xf>
    <xf numFmtId="6" fontId="11" fillId="42" borderId="124" xfId="30" applyNumberFormat="1" applyFont="1" applyFill="1" applyBorder="1" applyAlignment="1" applyProtection="1">
      <alignment horizontal="right"/>
    </xf>
    <xf numFmtId="6" fontId="11" fillId="42" borderId="121" xfId="0" applyNumberFormat="1" applyFont="1" applyFill="1" applyBorder="1" applyAlignment="1" applyProtection="1">
      <alignment horizontal="right"/>
    </xf>
    <xf numFmtId="6" fontId="11" fillId="42" borderId="124" xfId="0" applyNumberFormat="1" applyFont="1" applyFill="1" applyBorder="1" applyAlignment="1" applyProtection="1">
      <alignment horizontal="right"/>
    </xf>
    <xf numFmtId="6" fontId="11" fillId="42" borderId="117" xfId="0" applyNumberFormat="1" applyFont="1" applyFill="1" applyBorder="1" applyAlignment="1" applyProtection="1">
      <alignment horizontal="right"/>
    </xf>
    <xf numFmtId="6" fontId="11" fillId="42" borderId="128" xfId="0" applyNumberFormat="1" applyFont="1" applyFill="1" applyBorder="1" applyAlignment="1" applyProtection="1">
      <alignment horizontal="right"/>
    </xf>
    <xf numFmtId="6" fontId="28" fillId="42" borderId="80" xfId="30" applyNumberFormat="1" applyFont="1" applyFill="1" applyBorder="1" applyAlignment="1" applyProtection="1">
      <alignment horizontal="right"/>
    </xf>
    <xf numFmtId="166" fontId="9" fillId="42" borderId="117" xfId="30" applyNumberFormat="1" applyFont="1" applyFill="1" applyBorder="1" applyAlignment="1" applyProtection="1">
      <alignment horizontal="right"/>
    </xf>
    <xf numFmtId="6" fontId="11" fillId="43" borderId="116" xfId="0" applyNumberFormat="1" applyFont="1" applyFill="1" applyBorder="1" applyAlignment="1" applyProtection="1">
      <alignment horizontal="right"/>
    </xf>
    <xf numFmtId="6" fontId="11" fillId="43" borderId="120" xfId="0" applyNumberFormat="1" applyFont="1" applyFill="1" applyBorder="1" applyAlignment="1" applyProtection="1">
      <alignment horizontal="right"/>
    </xf>
    <xf numFmtId="6" fontId="11" fillId="43" borderId="123" xfId="0" applyNumberFormat="1" applyFont="1" applyFill="1" applyBorder="1" applyAlignment="1" applyProtection="1">
      <alignment horizontal="right"/>
    </xf>
    <xf numFmtId="6" fontId="11" fillId="43" borderId="127" xfId="0" applyNumberFormat="1" applyFont="1" applyFill="1" applyBorder="1" applyAlignment="1" applyProtection="1">
      <alignment horizontal="right"/>
    </xf>
    <xf numFmtId="6" fontId="28" fillId="43" borderId="79" xfId="30" applyNumberFormat="1" applyFont="1" applyFill="1" applyBorder="1" applyAlignment="1" applyProtection="1">
      <alignment horizontal="right"/>
    </xf>
    <xf numFmtId="0" fontId="9" fillId="0" borderId="212" xfId="53" applyFont="1" applyFill="1" applyBorder="1" applyProtection="1"/>
    <xf numFmtId="0" fontId="9" fillId="0" borderId="39" xfId="53" applyFont="1" applyFill="1" applyBorder="1" applyProtection="1"/>
    <xf numFmtId="172" fontId="9" fillId="41" borderId="39" xfId="53" applyNumberFormat="1" applyFont="1" applyFill="1" applyBorder="1" applyAlignment="1" applyProtection="1">
      <alignment horizontal="right"/>
    </xf>
    <xf numFmtId="166" fontId="9" fillId="0" borderId="213" xfId="53" applyNumberFormat="1" applyFont="1" applyFill="1" applyBorder="1" applyAlignment="1" applyProtection="1">
      <alignment horizontal="right"/>
    </xf>
    <xf numFmtId="10" fontId="9" fillId="0" borderId="213" xfId="48" applyNumberFormat="1" applyFont="1" applyFill="1" applyBorder="1" applyAlignment="1" applyProtection="1">
      <alignment horizontal="right"/>
    </xf>
    <xf numFmtId="166" fontId="9" fillId="43" borderId="213" xfId="53" applyNumberFormat="1" applyFont="1" applyFill="1" applyBorder="1" applyAlignment="1" applyProtection="1">
      <alignment horizontal="right"/>
    </xf>
    <xf numFmtId="5" fontId="16" fillId="0" borderId="214" xfId="0" applyNumberFormat="1" applyFont="1" applyFill="1" applyBorder="1" applyProtection="1"/>
    <xf numFmtId="0" fontId="0" fillId="0" borderId="0" xfId="0" applyAlignment="1">
      <alignment vertical="top" wrapText="1"/>
    </xf>
    <xf numFmtId="49" fontId="28" fillId="42" borderId="10" xfId="53" applyNumberFormat="1" applyFont="1" applyFill="1" applyBorder="1" applyAlignment="1">
      <alignment horizontal="center" vertical="center" wrapText="1"/>
    </xf>
    <xf numFmtId="49" fontId="28" fillId="43" borderId="13" xfId="53" applyNumberFormat="1" applyFont="1" applyFill="1" applyBorder="1" applyAlignment="1">
      <alignment horizontal="center" vertical="center" wrapText="1"/>
    </xf>
    <xf numFmtId="49" fontId="28" fillId="43" borderId="10" xfId="53" applyNumberFormat="1" applyFont="1" applyFill="1" applyBorder="1" applyAlignment="1">
      <alignment horizontal="center" vertical="center" wrapText="1"/>
    </xf>
    <xf numFmtId="6" fontId="11" fillId="0" borderId="13" xfId="0" applyNumberFormat="1" applyFont="1" applyFill="1" applyBorder="1" applyProtection="1"/>
    <xf numFmtId="3" fontId="9" fillId="41" borderId="39" xfId="53" applyNumberFormat="1" applyFont="1" applyFill="1" applyBorder="1" applyAlignment="1" applyProtection="1">
      <alignment horizontal="right"/>
    </xf>
    <xf numFmtId="0" fontId="9" fillId="0" borderId="217" xfId="53" applyFont="1" applyFill="1" applyBorder="1" applyProtection="1"/>
    <xf numFmtId="0" fontId="9" fillId="0" borderId="218" xfId="53" applyFont="1" applyFill="1" applyBorder="1" applyProtection="1"/>
    <xf numFmtId="3" fontId="9" fillId="41" borderId="218" xfId="53" applyNumberFormat="1" applyFont="1" applyFill="1" applyBorder="1" applyAlignment="1" applyProtection="1">
      <alignment horizontal="right"/>
    </xf>
    <xf numFmtId="166" fontId="9" fillId="0" borderId="219" xfId="53" applyNumberFormat="1" applyFont="1" applyFill="1" applyBorder="1" applyAlignment="1" applyProtection="1">
      <alignment horizontal="right"/>
    </xf>
    <xf numFmtId="166" fontId="9" fillId="41" borderId="216" xfId="53" applyNumberFormat="1" applyFont="1" applyFill="1" applyBorder="1" applyAlignment="1" applyProtection="1">
      <alignment horizontal="right"/>
    </xf>
    <xf numFmtId="6" fontId="9" fillId="41" borderId="216" xfId="53" applyNumberFormat="1" applyFont="1" applyFill="1" applyBorder="1" applyAlignment="1" applyProtection="1">
      <alignment horizontal="right"/>
    </xf>
    <xf numFmtId="166" fontId="9" fillId="42" borderId="219" xfId="53" applyNumberFormat="1" applyFont="1" applyFill="1" applyBorder="1" applyAlignment="1" applyProtection="1">
      <alignment horizontal="right"/>
    </xf>
    <xf numFmtId="6" fontId="9" fillId="42" borderId="117" xfId="53" applyNumberFormat="1" applyFont="1" applyFill="1" applyBorder="1" applyAlignment="1" applyProtection="1">
      <alignment horizontal="right"/>
    </xf>
    <xf numFmtId="6" fontId="28" fillId="42" borderId="80" xfId="54" applyNumberFormat="1" applyFont="1" applyFill="1" applyBorder="1" applyAlignment="1" applyProtection="1">
      <alignment horizontal="right"/>
    </xf>
    <xf numFmtId="6" fontId="9" fillId="42" borderId="117" xfId="54" applyNumberFormat="1" applyFont="1" applyFill="1" applyBorder="1" applyAlignment="1" applyProtection="1">
      <alignment horizontal="right"/>
    </xf>
    <xf numFmtId="6" fontId="9" fillId="43" borderId="116" xfId="53" applyNumberFormat="1" applyFont="1" applyFill="1" applyBorder="1" applyAlignment="1" applyProtection="1">
      <alignment horizontal="right"/>
    </xf>
    <xf numFmtId="6" fontId="28" fillId="43" borderId="79" xfId="54" applyNumberFormat="1" applyFont="1" applyFill="1" applyBorder="1" applyAlignment="1" applyProtection="1">
      <alignment horizontal="right"/>
    </xf>
    <xf numFmtId="5" fontId="16" fillId="0" borderId="77" xfId="0" applyNumberFormat="1" applyFont="1" applyFill="1" applyBorder="1" applyProtection="1"/>
    <xf numFmtId="5" fontId="16" fillId="0" borderId="221" xfId="0" applyNumberFormat="1" applyFont="1" applyFill="1" applyBorder="1" applyProtection="1"/>
    <xf numFmtId="5" fontId="16" fillId="0" borderId="220" xfId="0" applyNumberFormat="1" applyFont="1" applyFill="1" applyBorder="1" applyProtection="1"/>
    <xf numFmtId="5" fontId="16" fillId="41" borderId="220" xfId="0" applyNumberFormat="1" applyFont="1" applyFill="1" applyBorder="1" applyProtection="1"/>
    <xf numFmtId="6" fontId="0" fillId="0" borderId="71" xfId="0" applyNumberFormat="1" applyBorder="1"/>
    <xf numFmtId="6" fontId="0" fillId="0" borderId="0" xfId="0" applyNumberFormat="1" applyAlignment="1">
      <alignment horizontal="center" vertical="top" wrapText="1"/>
    </xf>
    <xf numFmtId="6" fontId="11" fillId="41" borderId="71" xfId="0" applyNumberFormat="1" applyFont="1" applyFill="1" applyBorder="1" applyProtection="1"/>
    <xf numFmtId="0" fontId="63" fillId="39" borderId="35" xfId="0" applyFont="1" applyFill="1" applyBorder="1" applyAlignment="1">
      <alignment horizontal="left" wrapText="1"/>
    </xf>
    <xf numFmtId="5" fontId="16" fillId="41" borderId="207" xfId="0" applyNumberFormat="1" applyFont="1" applyFill="1" applyBorder="1" applyProtection="1"/>
    <xf numFmtId="0" fontId="0" fillId="0" borderId="15" xfId="0" applyBorder="1"/>
    <xf numFmtId="0" fontId="0" fillId="0" borderId="16" xfId="0" applyBorder="1"/>
    <xf numFmtId="0" fontId="0" fillId="0" borderId="222" xfId="0" applyBorder="1"/>
    <xf numFmtId="0" fontId="125" fillId="63" borderId="22" xfId="65" applyFont="1" applyFill="1" applyBorder="1" applyAlignment="1">
      <alignment horizontal="center"/>
    </xf>
    <xf numFmtId="0" fontId="125" fillId="63" borderId="22" xfId="65" applyFont="1" applyFill="1" applyBorder="1" applyAlignment="1">
      <alignment horizontal="center" wrapText="1"/>
    </xf>
    <xf numFmtId="0" fontId="125" fillId="65" borderId="22" xfId="65" applyFont="1" applyFill="1" applyBorder="1" applyAlignment="1">
      <alignment horizontal="center" wrapText="1"/>
    </xf>
    <xf numFmtId="0" fontId="125" fillId="63" borderId="155" xfId="65" applyFont="1" applyFill="1" applyBorder="1" applyAlignment="1">
      <alignment horizontal="center" wrapText="1"/>
    </xf>
    <xf numFmtId="0" fontId="125" fillId="63" borderId="20" xfId="65" applyFont="1" applyFill="1" applyBorder="1" applyAlignment="1">
      <alignment horizontal="center" wrapText="1"/>
    </xf>
    <xf numFmtId="0" fontId="125" fillId="0" borderId="7" xfId="65" applyFont="1" applyFill="1" applyBorder="1" applyAlignment="1">
      <alignment wrapText="1"/>
    </xf>
    <xf numFmtId="0" fontId="125" fillId="0" borderId="7" xfId="65" applyFont="1" applyFill="1" applyBorder="1" applyAlignment="1">
      <alignment horizontal="right" wrapText="1"/>
    </xf>
    <xf numFmtId="0" fontId="125" fillId="0" borderId="0" xfId="65"/>
    <xf numFmtId="0" fontId="125" fillId="0" borderId="215" xfId="65" applyFont="1" applyFill="1" applyBorder="1" applyAlignment="1">
      <alignment horizontal="right" wrapText="1"/>
    </xf>
    <xf numFmtId="0" fontId="125" fillId="0" borderId="223" xfId="65" applyFont="1" applyFill="1" applyBorder="1" applyAlignment="1">
      <alignment horizontal="right" wrapText="1"/>
    </xf>
    <xf numFmtId="0" fontId="125" fillId="0" borderId="224" xfId="65" applyBorder="1"/>
    <xf numFmtId="0" fontId="100" fillId="0" borderId="26" xfId="0" applyFont="1" applyBorder="1" applyAlignment="1">
      <alignment horizontal="left" wrapText="1"/>
    </xf>
    <xf numFmtId="6" fontId="79" fillId="0" borderId="13" xfId="0" applyNumberFormat="1" applyFont="1" applyBorder="1"/>
    <xf numFmtId="0" fontId="100" fillId="49" borderId="42" xfId="0" applyFont="1" applyFill="1" applyBorder="1" applyAlignment="1">
      <alignment horizontal="right"/>
    </xf>
    <xf numFmtId="0" fontId="100" fillId="0" borderId="13" xfId="0" applyFont="1" applyBorder="1" applyAlignment="1">
      <alignment wrapText="1"/>
    </xf>
    <xf numFmtId="0" fontId="100" fillId="0" borderId="0" xfId="0" applyFont="1"/>
    <xf numFmtId="0" fontId="127" fillId="0" borderId="0" xfId="0" applyFont="1" applyAlignment="1">
      <alignment horizontal="center" wrapText="1"/>
    </xf>
    <xf numFmtId="0" fontId="100" fillId="0" borderId="0" xfId="0" applyFont="1" applyFill="1"/>
    <xf numFmtId="0" fontId="127" fillId="0" borderId="0" xfId="0" quotePrefix="1" applyFont="1" applyFill="1" applyAlignment="1">
      <alignment horizontal="center" wrapText="1"/>
    </xf>
    <xf numFmtId="0" fontId="127" fillId="0" borderId="0" xfId="0" quotePrefix="1" applyFont="1" applyAlignment="1">
      <alignment horizontal="center" wrapText="1"/>
    </xf>
    <xf numFmtId="0" fontId="129" fillId="25" borderId="10" xfId="0" applyFont="1" applyFill="1" applyBorder="1" applyAlignment="1">
      <alignment horizontal="center" vertical="center" wrapText="1"/>
    </xf>
    <xf numFmtId="0" fontId="132" fillId="25" borderId="13" xfId="0" applyFont="1" applyFill="1" applyBorder="1" applyAlignment="1">
      <alignment horizontal="center" vertical="center" wrapText="1"/>
    </xf>
    <xf numFmtId="0" fontId="100" fillId="26" borderId="26" xfId="0" applyFont="1" applyFill="1" applyBorder="1"/>
    <xf numFmtId="1" fontId="128" fillId="26" borderId="26" xfId="0" quotePrefix="1" applyNumberFormat="1" applyFont="1" applyFill="1" applyBorder="1" applyAlignment="1">
      <alignment horizontal="center"/>
    </xf>
    <xf numFmtId="0" fontId="100" fillId="49" borderId="42" xfId="0" applyFont="1" applyFill="1" applyBorder="1"/>
    <xf numFmtId="0" fontId="104" fillId="0" borderId="13" xfId="0" applyFont="1" applyBorder="1" applyAlignment="1">
      <alignment wrapText="1"/>
    </xf>
    <xf numFmtId="0" fontId="100" fillId="49" borderId="0" xfId="0" applyFont="1" applyFill="1"/>
    <xf numFmtId="0" fontId="104" fillId="0" borderId="0" xfId="0" applyFont="1"/>
    <xf numFmtId="165" fontId="102" fillId="28" borderId="50" xfId="28" applyNumberFormat="1" applyFont="1" applyFill="1" applyBorder="1"/>
    <xf numFmtId="6" fontId="79" fillId="28" borderId="50" xfId="0" applyNumberFormat="1" applyFont="1" applyFill="1" applyBorder="1"/>
    <xf numFmtId="6" fontId="102" fillId="28" borderId="50" xfId="0" applyNumberFormat="1" applyFont="1" applyFill="1" applyBorder="1"/>
    <xf numFmtId="6" fontId="102" fillId="34" borderId="42" xfId="0" applyNumberFormat="1" applyFont="1" applyFill="1" applyBorder="1"/>
    <xf numFmtId="0" fontId="104" fillId="0" borderId="0" xfId="0" applyFont="1" applyBorder="1" applyAlignment="1">
      <alignment wrapText="1"/>
    </xf>
    <xf numFmtId="3" fontId="100" fillId="0" borderId="0" xfId="0" applyNumberFormat="1" applyFont="1" applyFill="1" applyBorder="1"/>
    <xf numFmtId="8" fontId="100" fillId="0" borderId="0" xfId="0" applyNumberFormat="1" applyFont="1" applyBorder="1"/>
    <xf numFmtId="6" fontId="100" fillId="0" borderId="135" xfId="0" applyNumberFormat="1" applyFont="1" applyFill="1" applyBorder="1" applyAlignment="1">
      <alignment horizontal="center"/>
    </xf>
    <xf numFmtId="0" fontId="134" fillId="0" borderId="0" xfId="0" applyFont="1" applyBorder="1" applyAlignment="1">
      <alignment wrapText="1"/>
    </xf>
    <xf numFmtId="6" fontId="63" fillId="0" borderId="13" xfId="0" applyNumberFormat="1" applyFont="1" applyFill="1" applyBorder="1" applyAlignment="1">
      <alignment horizontal="right"/>
    </xf>
    <xf numFmtId="0" fontId="63" fillId="0" borderId="26" xfId="0" applyFont="1" applyFill="1" applyBorder="1" applyAlignment="1">
      <alignment horizontal="left" wrapText="1"/>
    </xf>
    <xf numFmtId="5" fontId="16" fillId="41" borderId="164" xfId="0" applyNumberFormat="1" applyFont="1" applyFill="1" applyBorder="1" applyProtection="1"/>
    <xf numFmtId="5" fontId="16" fillId="41" borderId="200" xfId="0" applyNumberFormat="1" applyFont="1" applyFill="1" applyBorder="1" applyProtection="1"/>
    <xf numFmtId="0" fontId="100" fillId="54" borderId="26" xfId="0" applyFont="1" applyFill="1" applyBorder="1" applyAlignment="1">
      <alignment horizontal="left" wrapText="1"/>
    </xf>
    <xf numFmtId="166" fontId="13" fillId="0" borderId="0" xfId="0" applyNumberFormat="1" applyFont="1"/>
    <xf numFmtId="0" fontId="9" fillId="0" borderId="0" xfId="0" applyFont="1" applyAlignment="1">
      <alignment horizontal="center" wrapText="1"/>
    </xf>
    <xf numFmtId="6" fontId="13" fillId="0" borderId="0" xfId="0" applyNumberFormat="1" applyFont="1"/>
    <xf numFmtId="0" fontId="125" fillId="52" borderId="7" xfId="65" applyFont="1" applyFill="1" applyBorder="1" applyAlignment="1">
      <alignment horizontal="right" wrapText="1"/>
    </xf>
    <xf numFmtId="166" fontId="11" fillId="52" borderId="0" xfId="0" applyNumberFormat="1" applyFont="1" applyFill="1"/>
    <xf numFmtId="6" fontId="9" fillId="52" borderId="0" xfId="0" applyNumberFormat="1" applyFont="1" applyFill="1"/>
    <xf numFmtId="0" fontId="9" fillId="67" borderId="36" xfId="0" applyFont="1" applyFill="1" applyBorder="1"/>
    <xf numFmtId="6" fontId="11" fillId="67" borderId="42" xfId="0" applyNumberFormat="1" applyFont="1" applyFill="1" applyBorder="1"/>
    <xf numFmtId="6" fontId="30" fillId="41" borderId="0" xfId="0" applyNumberFormat="1" applyFont="1" applyFill="1" applyBorder="1" applyAlignment="1" applyProtection="1"/>
    <xf numFmtId="0" fontId="125" fillId="63" borderId="155" xfId="65" applyFont="1" applyFill="1" applyBorder="1" applyAlignment="1">
      <alignment horizontal="center"/>
    </xf>
    <xf numFmtId="0" fontId="125" fillId="0" borderId="89" xfId="65" applyFont="1" applyFill="1" applyBorder="1" applyAlignment="1">
      <alignment horizontal="right" wrapText="1"/>
    </xf>
    <xf numFmtId="0" fontId="125" fillId="0" borderId="49" xfId="65" applyBorder="1"/>
    <xf numFmtId="0" fontId="125" fillId="0" borderId="89" xfId="65" applyFont="1" applyFill="1" applyBorder="1" applyAlignment="1">
      <alignment wrapText="1"/>
    </xf>
    <xf numFmtId="0" fontId="125" fillId="0" borderId="226" xfId="65" applyFont="1" applyFill="1" applyBorder="1" applyAlignment="1">
      <alignment wrapText="1"/>
    </xf>
    <xf numFmtId="0" fontId="125" fillId="0" borderId="109" xfId="65" applyFont="1" applyFill="1" applyBorder="1" applyAlignment="1">
      <alignment horizontal="right" wrapText="1"/>
    </xf>
    <xf numFmtId="0" fontId="125" fillId="0" borderId="109" xfId="65" applyFont="1" applyFill="1" applyBorder="1" applyAlignment="1">
      <alignment wrapText="1"/>
    </xf>
    <xf numFmtId="0" fontId="125" fillId="0" borderId="228" xfId="65" applyFont="1" applyFill="1" applyBorder="1" applyAlignment="1">
      <alignment wrapText="1"/>
    </xf>
    <xf numFmtId="0" fontId="125" fillId="0" borderId="89" xfId="65" applyBorder="1"/>
    <xf numFmtId="0" fontId="125" fillId="0" borderId="88" xfId="65" applyFont="1" applyFill="1" applyBorder="1" applyAlignment="1">
      <alignment horizontal="right" wrapText="1"/>
    </xf>
    <xf numFmtId="0" fontId="125" fillId="0" borderId="88" xfId="65" applyBorder="1"/>
    <xf numFmtId="0" fontId="125" fillId="0" borderId="88" xfId="65" applyFont="1" applyFill="1" applyBorder="1" applyAlignment="1">
      <alignment wrapText="1"/>
    </xf>
    <xf numFmtId="0" fontId="125" fillId="0" borderId="230" xfId="65" applyFont="1" applyFill="1" applyBorder="1" applyAlignment="1">
      <alignment wrapText="1"/>
    </xf>
    <xf numFmtId="0" fontId="125" fillId="0" borderId="132" xfId="65" applyFont="1" applyFill="1" applyBorder="1" applyAlignment="1">
      <alignment horizontal="right" wrapText="1"/>
    </xf>
    <xf numFmtId="0" fontId="125" fillId="0" borderId="132" xfId="65" applyBorder="1"/>
    <xf numFmtId="0" fontId="125" fillId="0" borderId="132" xfId="65" applyFont="1" applyFill="1" applyBorder="1" applyAlignment="1">
      <alignment wrapText="1"/>
    </xf>
    <xf numFmtId="0" fontId="0" fillId="0" borderId="131" xfId="0" applyBorder="1"/>
    <xf numFmtId="3" fontId="13" fillId="0" borderId="131" xfId="0" applyNumberFormat="1" applyFont="1" applyBorder="1"/>
    <xf numFmtId="0" fontId="0" fillId="0" borderId="234" xfId="0" applyBorder="1"/>
    <xf numFmtId="0" fontId="0" fillId="0" borderId="235" xfId="0" applyBorder="1"/>
    <xf numFmtId="0" fontId="125" fillId="0" borderId="237" xfId="65" applyFont="1" applyFill="1" applyBorder="1" applyAlignment="1">
      <alignment wrapText="1"/>
    </xf>
    <xf numFmtId="0" fontId="125" fillId="0" borderId="237" xfId="65" applyFont="1" applyFill="1" applyBorder="1" applyAlignment="1">
      <alignment horizontal="right" wrapText="1"/>
    </xf>
    <xf numFmtId="0" fontId="125" fillId="0" borderId="237" xfId="65" applyBorder="1"/>
    <xf numFmtId="0" fontId="125" fillId="0" borderId="114" xfId="65" applyFont="1" applyFill="1" applyBorder="1" applyAlignment="1">
      <alignment wrapText="1"/>
    </xf>
    <xf numFmtId="0" fontId="125" fillId="0" borderId="114" xfId="65" applyFont="1" applyFill="1" applyBorder="1" applyAlignment="1">
      <alignment horizontal="right" wrapText="1"/>
    </xf>
    <xf numFmtId="0" fontId="125" fillId="0" borderId="114" xfId="65" applyBorder="1"/>
    <xf numFmtId="0" fontId="0" fillId="0" borderId="238" xfId="0" applyBorder="1"/>
    <xf numFmtId="0" fontId="125" fillId="0" borderId="239" xfId="65" applyBorder="1"/>
    <xf numFmtId="0" fontId="125" fillId="0" borderId="239" xfId="65" applyFont="1" applyFill="1" applyBorder="1" applyAlignment="1">
      <alignment horizontal="right" wrapText="1"/>
    </xf>
    <xf numFmtId="0" fontId="125" fillId="0" borderId="239" xfId="65" applyFont="1" applyFill="1" applyBorder="1" applyAlignment="1">
      <alignment wrapText="1"/>
    </xf>
    <xf numFmtId="0" fontId="0" fillId="0" borderId="81" xfId="0" applyBorder="1"/>
    <xf numFmtId="3" fontId="13" fillId="0" borderId="81" xfId="0" applyNumberFormat="1" applyFont="1" applyBorder="1"/>
    <xf numFmtId="3" fontId="0" fillId="0" borderId="0" xfId="0" applyNumberFormat="1" applyBorder="1"/>
    <xf numFmtId="0" fontId="48" fillId="66" borderId="22" xfId="65" applyFont="1" applyFill="1" applyBorder="1" applyAlignment="1">
      <alignment horizontal="center" wrapText="1"/>
    </xf>
    <xf numFmtId="0" fontId="48" fillId="63" borderId="22" xfId="65" applyFont="1" applyFill="1" applyBorder="1" applyAlignment="1">
      <alignment horizontal="center"/>
    </xf>
    <xf numFmtId="173" fontId="125" fillId="0" borderId="227" xfId="65" applyNumberFormat="1" applyFont="1" applyFill="1" applyBorder="1" applyAlignment="1">
      <alignment horizontal="right" wrapText="1"/>
    </xf>
    <xf numFmtId="173" fontId="125" fillId="0" borderId="215" xfId="65" applyNumberFormat="1" applyFont="1" applyFill="1" applyBorder="1" applyAlignment="1">
      <alignment horizontal="right" wrapText="1"/>
    </xf>
    <xf numFmtId="173" fontId="125" fillId="0" borderId="231" xfId="65" applyNumberFormat="1" applyFont="1" applyFill="1" applyBorder="1" applyAlignment="1">
      <alignment horizontal="right" wrapText="1"/>
    </xf>
    <xf numFmtId="173" fontId="125" fillId="0" borderId="229" xfId="65" applyNumberFormat="1" applyFont="1" applyFill="1" applyBorder="1" applyAlignment="1">
      <alignment horizontal="right" wrapText="1"/>
    </xf>
    <xf numFmtId="173" fontId="125" fillId="0" borderId="240" xfId="65" applyNumberFormat="1" applyFont="1" applyFill="1" applyBorder="1" applyAlignment="1">
      <alignment horizontal="right" wrapText="1"/>
    </xf>
    <xf numFmtId="173" fontId="125" fillId="0" borderId="241" xfId="65" applyNumberFormat="1" applyFont="1" applyFill="1" applyBorder="1" applyAlignment="1">
      <alignment horizontal="right" wrapText="1"/>
    </xf>
    <xf numFmtId="0" fontId="125" fillId="63" borderId="21" xfId="65" applyFont="1" applyFill="1" applyBorder="1" applyAlignment="1">
      <alignment horizontal="center"/>
    </xf>
    <xf numFmtId="0" fontId="125" fillId="0" borderId="108" xfId="65" applyFont="1" applyFill="1" applyBorder="1" applyAlignment="1">
      <alignment wrapText="1"/>
    </xf>
    <xf numFmtId="0" fontId="125" fillId="0" borderId="83" xfId="65" applyFont="1" applyFill="1" applyBorder="1" applyAlignment="1">
      <alignment wrapText="1"/>
    </xf>
    <xf numFmtId="0" fontId="125" fillId="0" borderId="232" xfId="65" applyFont="1" applyFill="1" applyBorder="1" applyAlignment="1">
      <alignment wrapText="1"/>
    </xf>
    <xf numFmtId="0" fontId="125" fillId="0" borderId="87" xfId="65" applyFont="1" applyFill="1" applyBorder="1" applyAlignment="1">
      <alignment wrapText="1"/>
    </xf>
    <xf numFmtId="0" fontId="125" fillId="0" borderId="242" xfId="65" applyFont="1" applyFill="1" applyBorder="1" applyAlignment="1">
      <alignment wrapText="1"/>
    </xf>
    <xf numFmtId="0" fontId="125" fillId="0" borderId="187" xfId="65" applyFont="1" applyFill="1" applyBorder="1" applyAlignment="1">
      <alignment wrapText="1"/>
    </xf>
    <xf numFmtId="0" fontId="125" fillId="0" borderId="184" xfId="65" applyFont="1" applyFill="1" applyBorder="1" applyAlignment="1">
      <alignment wrapText="1"/>
    </xf>
    <xf numFmtId="0" fontId="124" fillId="0" borderId="236" xfId="65" applyFont="1" applyFill="1" applyBorder="1" applyAlignment="1">
      <alignment horizontal="right" wrapText="1"/>
    </xf>
    <xf numFmtId="0" fontId="125" fillId="0" borderId="109" xfId="65" applyFont="1" applyFill="1" applyBorder="1" applyAlignment="1">
      <alignment horizontal="center" wrapText="1"/>
    </xf>
    <xf numFmtId="0" fontId="125" fillId="0" borderId="89" xfId="65" applyFont="1" applyFill="1" applyBorder="1" applyAlignment="1">
      <alignment horizontal="center" wrapText="1"/>
    </xf>
    <xf numFmtId="0" fontId="125" fillId="0" borderId="132" xfId="65" applyFont="1" applyFill="1" applyBorder="1" applyAlignment="1">
      <alignment horizontal="center" wrapText="1"/>
    </xf>
    <xf numFmtId="0" fontId="125" fillId="0" borderId="88" xfId="65" applyFont="1" applyFill="1" applyBorder="1" applyAlignment="1">
      <alignment horizontal="center" wrapText="1"/>
    </xf>
    <xf numFmtId="0" fontId="125" fillId="0" borderId="233" xfId="65" applyFont="1" applyFill="1" applyBorder="1" applyAlignment="1">
      <alignment horizontal="center" wrapText="1"/>
    </xf>
    <xf numFmtId="0" fontId="0" fillId="0" borderId="243" xfId="0" applyBorder="1" applyAlignment="1">
      <alignment horizontal="center"/>
    </xf>
    <xf numFmtId="10" fontId="0" fillId="0" borderId="0" xfId="48" applyNumberFormat="1" applyFont="1" applyBorder="1" applyAlignment="1">
      <alignment wrapText="1"/>
    </xf>
    <xf numFmtId="38" fontId="0" fillId="0" borderId="0" xfId="0" applyNumberFormat="1" applyAlignment="1">
      <alignment wrapText="1"/>
    </xf>
    <xf numFmtId="171" fontId="0" fillId="0" borderId="0" xfId="0" applyNumberFormat="1" applyBorder="1" applyAlignment="1">
      <alignment wrapText="1"/>
    </xf>
    <xf numFmtId="49" fontId="28" fillId="43" borderId="10" xfId="53" applyNumberFormat="1" applyFont="1" applyFill="1" applyBorder="1" applyAlignment="1">
      <alignment horizontal="center" vertical="center" wrapText="1"/>
    </xf>
    <xf numFmtId="165" fontId="0" fillId="0" borderId="0" xfId="28" applyNumberFormat="1" applyFont="1"/>
    <xf numFmtId="165" fontId="0" fillId="0" borderId="0" xfId="28" applyNumberFormat="1" applyFont="1" applyBorder="1" applyAlignment="1">
      <alignment wrapText="1"/>
    </xf>
    <xf numFmtId="5" fontId="13" fillId="68" borderId="11" xfId="0" applyNumberFormat="1" applyFont="1" applyFill="1" applyBorder="1" applyProtection="1"/>
    <xf numFmtId="0" fontId="100" fillId="49" borderId="0" xfId="0" applyFont="1" applyFill="1" applyBorder="1"/>
    <xf numFmtId="166" fontId="128" fillId="31" borderId="246" xfId="28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center" vertical="center" wrapText="1"/>
    </xf>
    <xf numFmtId="0" fontId="135" fillId="0" borderId="14" xfId="0" applyFont="1" applyFill="1" applyBorder="1" applyAlignment="1">
      <alignment horizontal="center" vertical="center" wrapText="1"/>
    </xf>
    <xf numFmtId="49" fontId="28" fillId="43" borderId="13" xfId="53" applyNumberFormat="1" applyFont="1" applyFill="1" applyBorder="1" applyAlignment="1">
      <alignment horizontal="center" vertical="center" wrapText="1"/>
    </xf>
    <xf numFmtId="0" fontId="20" fillId="52" borderId="0" xfId="0" applyFont="1" applyFill="1" applyAlignment="1">
      <alignment horizontal="center" vertical="center" wrapText="1"/>
    </xf>
    <xf numFmtId="166" fontId="9" fillId="57" borderId="116" xfId="53" applyNumberFormat="1" applyFont="1" applyFill="1" applyBorder="1" applyAlignment="1" applyProtection="1">
      <alignment horizontal="right"/>
    </xf>
    <xf numFmtId="166" fontId="9" fillId="57" borderId="120" xfId="53" applyNumberFormat="1" applyFont="1" applyFill="1" applyBorder="1" applyAlignment="1" applyProtection="1">
      <alignment horizontal="right"/>
    </xf>
    <xf numFmtId="166" fontId="9" fillId="57" borderId="123" xfId="53" applyNumberFormat="1" applyFont="1" applyFill="1" applyBorder="1" applyAlignment="1" applyProtection="1">
      <alignment horizontal="right"/>
    </xf>
    <xf numFmtId="166" fontId="9" fillId="57" borderId="127" xfId="53" applyNumberFormat="1" applyFont="1" applyFill="1" applyBorder="1" applyAlignment="1" applyProtection="1">
      <alignment horizontal="right"/>
    </xf>
    <xf numFmtId="166" fontId="28" fillId="57" borderId="79" xfId="54" applyNumberFormat="1" applyFont="1" applyFill="1" applyBorder="1" applyAlignment="1" applyProtection="1">
      <alignment horizontal="right"/>
    </xf>
    <xf numFmtId="1" fontId="102" fillId="0" borderId="10" xfId="0" applyNumberFormat="1" applyFont="1" applyFill="1" applyBorder="1" applyAlignment="1">
      <alignment horizontal="center" wrapText="1"/>
    </xf>
    <xf numFmtId="1" fontId="9" fillId="57" borderId="116" xfId="53" applyNumberFormat="1" applyFont="1" applyFill="1" applyBorder="1" applyAlignment="1" applyProtection="1">
      <alignment horizontal="right"/>
    </xf>
    <xf numFmtId="1" fontId="9" fillId="57" borderId="120" xfId="53" applyNumberFormat="1" applyFont="1" applyFill="1" applyBorder="1" applyAlignment="1" applyProtection="1">
      <alignment horizontal="right"/>
    </xf>
    <xf numFmtId="1" fontId="9" fillId="57" borderId="123" xfId="53" applyNumberFormat="1" applyFont="1" applyFill="1" applyBorder="1" applyAlignment="1" applyProtection="1">
      <alignment horizontal="right"/>
    </xf>
    <xf numFmtId="1" fontId="28" fillId="57" borderId="79" xfId="54" applyNumberFormat="1" applyFont="1" applyFill="1" applyBorder="1" applyAlignment="1" applyProtection="1">
      <alignment horizontal="right"/>
    </xf>
    <xf numFmtId="1" fontId="9" fillId="57" borderId="127" xfId="53" applyNumberFormat="1" applyFont="1" applyFill="1" applyBorder="1" applyAlignment="1" applyProtection="1">
      <alignment horizontal="right"/>
    </xf>
    <xf numFmtId="166" fontId="9" fillId="41" borderId="213" xfId="53" applyNumberFormat="1" applyFont="1" applyFill="1" applyBorder="1" applyAlignment="1" applyProtection="1">
      <alignment horizontal="right"/>
    </xf>
    <xf numFmtId="166" fontId="9" fillId="0" borderId="248" xfId="53" applyNumberFormat="1" applyFont="1" applyFill="1" applyBorder="1" applyAlignment="1" applyProtection="1">
      <alignment horizontal="right"/>
    </xf>
    <xf numFmtId="166" fontId="9" fillId="43" borderId="39" xfId="53" applyNumberFormat="1" applyFont="1" applyFill="1" applyBorder="1" applyAlignment="1" applyProtection="1">
      <alignment horizontal="right"/>
    </xf>
    <xf numFmtId="1" fontId="9" fillId="57" borderId="39" xfId="53" applyNumberFormat="1" applyFont="1" applyFill="1" applyBorder="1" applyAlignment="1" applyProtection="1">
      <alignment horizontal="right"/>
    </xf>
    <xf numFmtId="166" fontId="9" fillId="57" borderId="39" xfId="53" applyNumberFormat="1" applyFont="1" applyFill="1" applyBorder="1" applyAlignment="1" applyProtection="1">
      <alignment horizontal="right"/>
    </xf>
    <xf numFmtId="6" fontId="9" fillId="41" borderId="39" xfId="53" applyNumberFormat="1" applyFont="1" applyFill="1" applyBorder="1" applyAlignment="1" applyProtection="1">
      <alignment horizontal="right"/>
    </xf>
    <xf numFmtId="0" fontId="9" fillId="0" borderId="249" xfId="0" applyFont="1" applyFill="1" applyBorder="1" applyAlignment="1" applyProtection="1">
      <alignment horizontal="left"/>
    </xf>
    <xf numFmtId="0" fontId="9" fillId="0" borderId="13" xfId="0" applyFont="1" applyFill="1" applyBorder="1" applyAlignment="1" applyProtection="1">
      <alignment horizontal="left"/>
    </xf>
    <xf numFmtId="0" fontId="28" fillId="0" borderId="12" xfId="0" applyFont="1" applyFill="1" applyBorder="1" applyAlignment="1" applyProtection="1">
      <alignment horizontal="center"/>
    </xf>
    <xf numFmtId="0" fontId="13" fillId="0" borderId="249" xfId="0" applyFont="1" applyFill="1" applyBorder="1" applyProtection="1"/>
    <xf numFmtId="37" fontId="9" fillId="0" borderId="249" xfId="57" applyNumberFormat="1" applyFont="1" applyFill="1" applyBorder="1" applyProtection="1"/>
    <xf numFmtId="5" fontId="13" fillId="0" borderId="249" xfId="0" applyNumberFormat="1" applyFont="1" applyFill="1" applyBorder="1" applyProtection="1"/>
    <xf numFmtId="165" fontId="9" fillId="0" borderId="249" xfId="57" applyNumberFormat="1" applyFont="1" applyFill="1" applyBorder="1" applyProtection="1"/>
    <xf numFmtId="5" fontId="13" fillId="25" borderId="249" xfId="0" applyNumberFormat="1" applyFont="1" applyFill="1" applyBorder="1" applyProtection="1"/>
    <xf numFmtId="0" fontId="13" fillId="0" borderId="13" xfId="0" applyFont="1" applyFill="1" applyBorder="1" applyProtection="1"/>
    <xf numFmtId="37" fontId="9" fillId="0" borderId="13" xfId="57" applyNumberFormat="1" applyFont="1" applyFill="1" applyBorder="1" applyProtection="1"/>
    <xf numFmtId="5" fontId="13" fillId="0" borderId="13" xfId="0" applyNumberFormat="1" applyFont="1" applyFill="1" applyBorder="1" applyProtection="1"/>
    <xf numFmtId="5" fontId="13" fillId="25" borderId="13" xfId="0" applyNumberFormat="1" applyFont="1" applyFill="1" applyBorder="1" applyProtection="1"/>
    <xf numFmtId="0" fontId="13" fillId="0" borderId="12" xfId="0" applyFont="1" applyFill="1" applyBorder="1" applyProtection="1"/>
    <xf numFmtId="165" fontId="28" fillId="0" borderId="12" xfId="57" applyNumberFormat="1" applyFont="1" applyFill="1" applyBorder="1" applyProtection="1"/>
    <xf numFmtId="5" fontId="28" fillId="0" borderId="12" xfId="0" applyNumberFormat="1" applyFont="1" applyFill="1" applyBorder="1" applyProtection="1"/>
    <xf numFmtId="5" fontId="28" fillId="25" borderId="12" xfId="0" applyNumberFormat="1" applyFont="1" applyFill="1" applyBorder="1" applyProtection="1"/>
    <xf numFmtId="3" fontId="9" fillId="0" borderId="250" xfId="0" applyNumberFormat="1" applyFont="1" applyFill="1" applyBorder="1" applyAlignment="1">
      <alignment horizontal="center"/>
    </xf>
    <xf numFmtId="166" fontId="28" fillId="0" borderId="12" xfId="57" applyNumberFormat="1" applyFont="1" applyFill="1" applyBorder="1" applyProtection="1"/>
    <xf numFmtId="5" fontId="28" fillId="0" borderId="12" xfId="57" applyNumberFormat="1" applyFont="1" applyFill="1" applyBorder="1" applyProtection="1"/>
    <xf numFmtId="5" fontId="13" fillId="25" borderId="250" xfId="0" applyNumberFormat="1" applyFont="1" applyFill="1" applyBorder="1" applyProtection="1"/>
    <xf numFmtId="1" fontId="9" fillId="57" borderId="251" xfId="53" applyNumberFormat="1" applyFont="1" applyFill="1" applyBorder="1" applyAlignment="1" applyProtection="1">
      <alignment horizontal="right"/>
    </xf>
    <xf numFmtId="0" fontId="0" fillId="43" borderId="252" xfId="0" applyFill="1" applyBorder="1"/>
    <xf numFmtId="1" fontId="28" fillId="57" borderId="254" xfId="54" applyNumberFormat="1" applyFont="1" applyFill="1" applyBorder="1" applyAlignment="1" applyProtection="1">
      <alignment horizontal="right"/>
    </xf>
    <xf numFmtId="166" fontId="28" fillId="44" borderId="258" xfId="54" applyNumberFormat="1" applyFont="1" applyFill="1" applyBorder="1" applyAlignment="1" applyProtection="1">
      <alignment horizontal="right"/>
    </xf>
    <xf numFmtId="0" fontId="137" fillId="0" borderId="0" xfId="0" applyFont="1" applyFill="1" applyBorder="1" applyAlignment="1">
      <alignment horizontal="left" vertical="center" wrapText="1"/>
    </xf>
    <xf numFmtId="5" fontId="11" fillId="27" borderId="261" xfId="0" applyNumberFormat="1" applyFont="1" applyFill="1" applyBorder="1" applyProtection="1"/>
    <xf numFmtId="5" fontId="9" fillId="0" borderId="0" xfId="0" applyNumberFormat="1" applyFont="1" applyBorder="1"/>
    <xf numFmtId="6" fontId="11" fillId="0" borderId="261" xfId="0" applyNumberFormat="1" applyFont="1" applyFill="1" applyBorder="1" applyProtection="1"/>
    <xf numFmtId="6" fontId="28" fillId="0" borderId="0" xfId="31" applyNumberFormat="1" applyFont="1" applyFill="1" applyBorder="1" applyProtection="1"/>
    <xf numFmtId="6" fontId="28" fillId="0" borderId="135" xfId="31" applyNumberFormat="1" applyFont="1" applyFill="1" applyBorder="1" applyProtection="1"/>
    <xf numFmtId="1" fontId="117" fillId="26" borderId="256" xfId="53" applyNumberFormat="1" applyFont="1" applyFill="1" applyBorder="1" applyAlignment="1" applyProtection="1">
      <alignment horizontal="center" wrapText="1"/>
    </xf>
    <xf numFmtId="166" fontId="9" fillId="42" borderId="262" xfId="54" applyNumberFormat="1" applyFont="1" applyFill="1" applyBorder="1" applyAlignment="1" applyProtection="1">
      <alignment horizontal="right"/>
    </xf>
    <xf numFmtId="166" fontId="9" fillId="42" borderId="263" xfId="54" applyNumberFormat="1" applyFont="1" applyFill="1" applyBorder="1" applyAlignment="1" applyProtection="1">
      <alignment horizontal="right"/>
    </xf>
    <xf numFmtId="166" fontId="9" fillId="42" borderId="262" xfId="53" applyNumberFormat="1" applyFont="1" applyFill="1" applyBorder="1" applyAlignment="1" applyProtection="1">
      <alignment horizontal="right"/>
    </xf>
    <xf numFmtId="166" fontId="9" fillId="42" borderId="263" xfId="53" applyNumberFormat="1" applyFont="1" applyFill="1" applyBorder="1" applyAlignment="1" applyProtection="1">
      <alignment horizontal="right"/>
    </xf>
    <xf numFmtId="166" fontId="9" fillId="42" borderId="264" xfId="53" applyNumberFormat="1" applyFont="1" applyFill="1" applyBorder="1" applyAlignment="1" applyProtection="1">
      <alignment horizontal="right"/>
    </xf>
    <xf numFmtId="1" fontId="112" fillId="26" borderId="256" xfId="53" applyNumberFormat="1" applyFont="1" applyFill="1" applyBorder="1" applyAlignment="1" applyProtection="1">
      <alignment horizontal="center"/>
    </xf>
    <xf numFmtId="38" fontId="51" fillId="49" borderId="14" xfId="0" applyNumberFormat="1" applyFont="1" applyFill="1" applyBorder="1" applyAlignment="1">
      <alignment horizontal="right"/>
    </xf>
    <xf numFmtId="38" fontId="63" fillId="0" borderId="13" xfId="0" applyNumberFormat="1" applyFont="1" applyBorder="1" applyAlignment="1">
      <alignment horizontal="right"/>
    </xf>
    <xf numFmtId="38" fontId="51" fillId="0" borderId="13" xfId="0" applyNumberFormat="1" applyFont="1" applyBorder="1" applyAlignment="1">
      <alignment horizontal="right"/>
    </xf>
    <xf numFmtId="38" fontId="77" fillId="0" borderId="13" xfId="0" applyNumberFormat="1" applyFont="1" applyFill="1" applyBorder="1" applyAlignment="1">
      <alignment horizontal="center" wrapText="1"/>
    </xf>
    <xf numFmtId="38" fontId="78" fillId="28" borderId="13" xfId="0" applyNumberFormat="1" applyFont="1" applyFill="1" applyBorder="1" applyAlignment="1">
      <alignment horizontal="right" wrapText="1"/>
    </xf>
    <xf numFmtId="0" fontId="28" fillId="25" borderId="26" xfId="0" applyFont="1" applyFill="1" applyBorder="1" applyAlignment="1">
      <alignment horizontal="center" vertical="center" wrapText="1"/>
    </xf>
    <xf numFmtId="49" fontId="28" fillId="43" borderId="13" xfId="53" applyNumberFormat="1" applyFont="1" applyFill="1" applyBorder="1" applyAlignment="1">
      <alignment horizontal="center" vertical="center" wrapText="1"/>
    </xf>
    <xf numFmtId="49" fontId="28" fillId="43" borderId="10" xfId="53" applyNumberFormat="1" applyFont="1" applyFill="1" applyBorder="1" applyAlignment="1">
      <alignment horizontal="center" vertical="center" wrapText="1"/>
    </xf>
    <xf numFmtId="6" fontId="78" fillId="28" borderId="13" xfId="0" applyNumberFormat="1" applyFont="1" applyFill="1" applyBorder="1" applyAlignment="1">
      <alignment horizontal="right" wrapText="1"/>
    </xf>
    <xf numFmtId="6" fontId="78" fillId="41" borderId="13" xfId="0" applyNumberFormat="1" applyFont="1" applyFill="1" applyBorder="1" applyAlignment="1">
      <alignment horizontal="right" wrapText="1"/>
    </xf>
    <xf numFmtId="6" fontId="51" fillId="0" borderId="256" xfId="0" applyNumberFormat="1" applyFont="1" applyFill="1" applyBorder="1" applyAlignment="1">
      <alignment horizontal="right"/>
    </xf>
    <xf numFmtId="38" fontId="51" fillId="0" borderId="256" xfId="0" applyNumberFormat="1" applyFont="1" applyFill="1" applyBorder="1" applyAlignment="1">
      <alignment horizontal="right"/>
    </xf>
    <xf numFmtId="6" fontId="9" fillId="43" borderId="117" xfId="54" applyNumberFormat="1" applyFont="1" applyFill="1" applyBorder="1" applyAlignment="1" applyProtection="1">
      <alignment horizontal="right"/>
    </xf>
    <xf numFmtId="6" fontId="9" fillId="43" borderId="121" xfId="54" applyNumberFormat="1" applyFont="1" applyFill="1" applyBorder="1" applyAlignment="1" applyProtection="1">
      <alignment horizontal="right"/>
    </xf>
    <xf numFmtId="6" fontId="9" fillId="43" borderId="124" xfId="54" applyNumberFormat="1" applyFont="1" applyFill="1" applyBorder="1" applyAlignment="1" applyProtection="1">
      <alignment horizontal="right"/>
    </xf>
    <xf numFmtId="6" fontId="9" fillId="43" borderId="121" xfId="53" applyNumberFormat="1" applyFont="1" applyFill="1" applyBorder="1" applyAlignment="1" applyProtection="1">
      <alignment horizontal="right"/>
    </xf>
    <xf numFmtId="6" fontId="9" fillId="43" borderId="124" xfId="53" applyNumberFormat="1" applyFont="1" applyFill="1" applyBorder="1" applyAlignment="1" applyProtection="1">
      <alignment horizontal="right"/>
    </xf>
    <xf numFmtId="6" fontId="9" fillId="43" borderId="117" xfId="53" applyNumberFormat="1" applyFont="1" applyFill="1" applyBorder="1" applyAlignment="1" applyProtection="1">
      <alignment horizontal="right"/>
    </xf>
    <xf numFmtId="6" fontId="9" fillId="43" borderId="128" xfId="53" applyNumberFormat="1" applyFont="1" applyFill="1" applyBorder="1" applyAlignment="1" applyProtection="1">
      <alignment horizontal="right"/>
    </xf>
    <xf numFmtId="6" fontId="28" fillId="43" borderId="80" xfId="54" applyNumberFormat="1" applyFont="1" applyFill="1" applyBorder="1" applyAlignment="1" applyProtection="1">
      <alignment horizontal="right"/>
    </xf>
    <xf numFmtId="166" fontId="9" fillId="42" borderId="247" xfId="53" applyNumberFormat="1" applyFont="1" applyFill="1" applyBorder="1" applyAlignment="1" applyProtection="1">
      <alignment horizontal="right"/>
    </xf>
    <xf numFmtId="166" fontId="9" fillId="42" borderId="184" xfId="53" applyNumberFormat="1" applyFont="1" applyFill="1" applyBorder="1" applyAlignment="1" applyProtection="1">
      <alignment horizontal="right"/>
    </xf>
    <xf numFmtId="0" fontId="141" fillId="42" borderId="0" xfId="0" applyFont="1" applyFill="1"/>
    <xf numFmtId="166" fontId="28" fillId="42" borderId="267" xfId="54" applyNumberFormat="1" applyFont="1" applyFill="1" applyBorder="1" applyAlignment="1" applyProtection="1">
      <alignment horizontal="right"/>
    </xf>
    <xf numFmtId="6" fontId="9" fillId="42" borderId="262" xfId="54" applyNumberFormat="1" applyFont="1" applyFill="1" applyBorder="1" applyAlignment="1" applyProtection="1">
      <alignment horizontal="right"/>
    </xf>
    <xf numFmtId="6" fontId="9" fillId="42" borderId="263" xfId="54" applyNumberFormat="1" applyFont="1" applyFill="1" applyBorder="1" applyAlignment="1" applyProtection="1">
      <alignment horizontal="right"/>
    </xf>
    <xf numFmtId="6" fontId="9" fillId="42" borderId="262" xfId="53" applyNumberFormat="1" applyFont="1" applyFill="1" applyBorder="1" applyAlignment="1" applyProtection="1">
      <alignment horizontal="right"/>
    </xf>
    <xf numFmtId="6" fontId="9" fillId="42" borderId="263" xfId="53" applyNumberFormat="1" applyFont="1" applyFill="1" applyBorder="1" applyAlignment="1" applyProtection="1">
      <alignment horizontal="right"/>
    </xf>
    <xf numFmtId="6" fontId="9" fillId="42" borderId="264" xfId="53" applyNumberFormat="1" applyFont="1" applyFill="1" applyBorder="1" applyAlignment="1" applyProtection="1">
      <alignment horizontal="right"/>
    </xf>
    <xf numFmtId="6" fontId="28" fillId="42" borderId="267" xfId="54" applyNumberFormat="1" applyFont="1" applyFill="1" applyBorder="1" applyAlignment="1" applyProtection="1">
      <alignment horizontal="right"/>
    </xf>
    <xf numFmtId="0" fontId="55" fillId="0" borderId="0" xfId="53" applyFont="1" applyFill="1" applyAlignment="1">
      <alignment horizontal="center"/>
    </xf>
    <xf numFmtId="49" fontId="69" fillId="0" borderId="257" xfId="53" applyNumberFormat="1" applyFont="1" applyFill="1" applyBorder="1" applyAlignment="1">
      <alignment vertical="center" wrapText="1"/>
    </xf>
    <xf numFmtId="6" fontId="9" fillId="42" borderId="121" xfId="54" applyNumberFormat="1" applyFont="1" applyFill="1" applyBorder="1" applyAlignment="1" applyProtection="1">
      <alignment horizontal="right"/>
    </xf>
    <xf numFmtId="6" fontId="9" fillId="42" borderId="124" xfId="54" applyNumberFormat="1" applyFont="1" applyFill="1" applyBorder="1" applyAlignment="1" applyProtection="1">
      <alignment horizontal="right"/>
    </xf>
    <xf numFmtId="6" fontId="9" fillId="42" borderId="121" xfId="53" applyNumberFormat="1" applyFont="1" applyFill="1" applyBorder="1" applyAlignment="1" applyProtection="1">
      <alignment horizontal="right"/>
    </xf>
    <xf numFmtId="6" fontId="9" fillId="42" borderId="124" xfId="53" applyNumberFormat="1" applyFont="1" applyFill="1" applyBorder="1" applyAlignment="1" applyProtection="1">
      <alignment horizontal="right"/>
    </xf>
    <xf numFmtId="6" fontId="9" fillId="42" borderId="128" xfId="53" applyNumberFormat="1" applyFont="1" applyFill="1" applyBorder="1" applyAlignment="1" applyProtection="1">
      <alignment horizontal="right"/>
    </xf>
    <xf numFmtId="171" fontId="9" fillId="57" borderId="120" xfId="53" applyNumberFormat="1" applyFont="1" applyFill="1" applyBorder="1" applyAlignment="1" applyProtection="1">
      <alignment horizontal="right"/>
    </xf>
    <xf numFmtId="171" fontId="9" fillId="57" borderId="123" xfId="53" applyNumberFormat="1" applyFont="1" applyFill="1" applyBorder="1" applyAlignment="1" applyProtection="1">
      <alignment horizontal="right"/>
    </xf>
    <xf numFmtId="171" fontId="9" fillId="57" borderId="116" xfId="53" applyNumberFormat="1" applyFont="1" applyFill="1" applyBorder="1" applyAlignment="1" applyProtection="1">
      <alignment horizontal="right"/>
    </xf>
    <xf numFmtId="171" fontId="9" fillId="57" borderId="127" xfId="53" applyNumberFormat="1" applyFont="1" applyFill="1" applyBorder="1" applyAlignment="1" applyProtection="1">
      <alignment horizontal="right"/>
    </xf>
    <xf numFmtId="6" fontId="9" fillId="57" borderId="120" xfId="53" applyNumberFormat="1" applyFont="1" applyFill="1" applyBorder="1" applyAlignment="1" applyProtection="1">
      <alignment horizontal="right"/>
    </xf>
    <xf numFmtId="6" fontId="9" fillId="57" borderId="116" xfId="53" applyNumberFormat="1" applyFont="1" applyFill="1" applyBorder="1" applyAlignment="1" applyProtection="1">
      <alignment horizontal="right"/>
    </xf>
    <xf numFmtId="6" fontId="9" fillId="57" borderId="123" xfId="53" applyNumberFormat="1" applyFont="1" applyFill="1" applyBorder="1" applyAlignment="1" applyProtection="1">
      <alignment horizontal="right"/>
    </xf>
    <xf numFmtId="6" fontId="9" fillId="57" borderId="127" xfId="53" applyNumberFormat="1" applyFont="1" applyFill="1" applyBorder="1" applyAlignment="1" applyProtection="1">
      <alignment horizontal="right"/>
    </xf>
    <xf numFmtId="6" fontId="9" fillId="44" borderId="116" xfId="53" applyNumberFormat="1" applyFont="1" applyFill="1" applyBorder="1" applyAlignment="1" applyProtection="1">
      <alignment horizontal="right"/>
    </xf>
    <xf numFmtId="6" fontId="9" fillId="43" borderId="120" xfId="53" applyNumberFormat="1" applyFont="1" applyFill="1" applyBorder="1" applyAlignment="1" applyProtection="1">
      <alignment horizontal="right"/>
    </xf>
    <xf numFmtId="6" fontId="9" fillId="44" borderId="120" xfId="53" applyNumberFormat="1" applyFont="1" applyFill="1" applyBorder="1" applyAlignment="1" applyProtection="1">
      <alignment horizontal="right"/>
    </xf>
    <xf numFmtId="6" fontId="9" fillId="43" borderId="123" xfId="53" applyNumberFormat="1" applyFont="1" applyFill="1" applyBorder="1" applyAlignment="1" applyProtection="1">
      <alignment horizontal="right"/>
    </xf>
    <xf numFmtId="6" fontId="9" fillId="44" borderId="123" xfId="53" applyNumberFormat="1" applyFont="1" applyFill="1" applyBorder="1" applyAlignment="1" applyProtection="1">
      <alignment horizontal="right"/>
    </xf>
    <xf numFmtId="6" fontId="9" fillId="43" borderId="127" xfId="53" applyNumberFormat="1" applyFont="1" applyFill="1" applyBorder="1" applyAlignment="1" applyProtection="1">
      <alignment horizontal="right"/>
    </xf>
    <xf numFmtId="6" fontId="9" fillId="44" borderId="127" xfId="53" applyNumberFormat="1" applyFont="1" applyFill="1" applyBorder="1" applyAlignment="1" applyProtection="1">
      <alignment horizontal="right"/>
    </xf>
    <xf numFmtId="6" fontId="9" fillId="43" borderId="247" xfId="53" applyNumberFormat="1" applyFont="1" applyFill="1" applyBorder="1" applyAlignment="1" applyProtection="1">
      <alignment horizontal="right"/>
    </xf>
    <xf numFmtId="6" fontId="9" fillId="43" borderId="238" xfId="53" applyNumberFormat="1" applyFont="1" applyFill="1" applyBorder="1" applyAlignment="1" applyProtection="1">
      <alignment horizontal="right"/>
    </xf>
    <xf numFmtId="6" fontId="13" fillId="43" borderId="12" xfId="53" applyNumberFormat="1" applyFont="1" applyFill="1" applyBorder="1" applyAlignment="1" applyProtection="1">
      <alignment horizontal="right"/>
    </xf>
    <xf numFmtId="6" fontId="9" fillId="43" borderId="184" xfId="53" applyNumberFormat="1" applyFont="1" applyFill="1" applyBorder="1" applyAlignment="1" applyProtection="1">
      <alignment horizontal="right"/>
    </xf>
    <xf numFmtId="6" fontId="13" fillId="43" borderId="76" xfId="53" applyNumberFormat="1" applyFont="1" applyFill="1" applyBorder="1" applyAlignment="1" applyProtection="1">
      <alignment horizontal="right"/>
    </xf>
    <xf numFmtId="6" fontId="0" fillId="57" borderId="253" xfId="0" applyNumberFormat="1" applyFill="1" applyBorder="1"/>
    <xf numFmtId="6" fontId="126" fillId="57" borderId="254" xfId="53" applyNumberFormat="1" applyFont="1" applyFill="1" applyBorder="1" applyAlignment="1" applyProtection="1">
      <alignment horizontal="right"/>
    </xf>
    <xf numFmtId="166" fontId="126" fillId="43" borderId="254" xfId="53" applyNumberFormat="1" applyFont="1" applyFill="1" applyBorder="1" applyAlignment="1" applyProtection="1">
      <alignment horizontal="right"/>
    </xf>
    <xf numFmtId="166" fontId="126" fillId="42" borderId="76" xfId="53" applyNumberFormat="1" applyFont="1" applyFill="1" applyBorder="1" applyAlignment="1" applyProtection="1">
      <alignment horizontal="right"/>
    </xf>
    <xf numFmtId="6" fontId="126" fillId="42" borderId="80" xfId="54" applyNumberFormat="1" applyFont="1" applyFill="1" applyBorder="1" applyAlignment="1" applyProtection="1">
      <alignment horizontal="right"/>
    </xf>
    <xf numFmtId="38" fontId="9" fillId="57" borderId="120" xfId="53" applyNumberFormat="1" applyFont="1" applyFill="1" applyBorder="1" applyAlignment="1" applyProtection="1">
      <alignment horizontal="right"/>
    </xf>
    <xf numFmtId="38" fontId="9" fillId="57" borderId="123" xfId="53" applyNumberFormat="1" applyFont="1" applyFill="1" applyBorder="1" applyAlignment="1" applyProtection="1">
      <alignment horizontal="right"/>
    </xf>
    <xf numFmtId="38" fontId="9" fillId="57" borderId="116" xfId="53" applyNumberFormat="1" applyFont="1" applyFill="1" applyBorder="1" applyAlignment="1" applyProtection="1">
      <alignment horizontal="right"/>
    </xf>
    <xf numFmtId="38" fontId="9" fillId="57" borderId="127" xfId="53" applyNumberFormat="1" applyFont="1" applyFill="1" applyBorder="1" applyAlignment="1" applyProtection="1">
      <alignment horizontal="right"/>
    </xf>
    <xf numFmtId="166" fontId="9" fillId="57" borderId="268" xfId="53" applyNumberFormat="1" applyFont="1" applyFill="1" applyBorder="1" applyAlignment="1" applyProtection="1">
      <alignment horizontal="right"/>
    </xf>
    <xf numFmtId="166" fontId="9" fillId="57" borderId="269" xfId="53" applyNumberFormat="1" applyFont="1" applyFill="1" applyBorder="1" applyAlignment="1" applyProtection="1">
      <alignment horizontal="right"/>
    </xf>
    <xf numFmtId="6" fontId="9" fillId="57" borderId="268" xfId="53" applyNumberFormat="1" applyFont="1" applyFill="1" applyBorder="1" applyAlignment="1" applyProtection="1">
      <alignment horizontal="right"/>
    </xf>
    <xf numFmtId="6" fontId="9" fillId="57" borderId="269" xfId="53" applyNumberFormat="1" applyFont="1" applyFill="1" applyBorder="1" applyAlignment="1" applyProtection="1">
      <alignment horizontal="right"/>
    </xf>
    <xf numFmtId="6" fontId="9" fillId="57" borderId="270" xfId="53" applyNumberFormat="1" applyFont="1" applyFill="1" applyBorder="1" applyAlignment="1" applyProtection="1">
      <alignment horizontal="right"/>
    </xf>
    <xf numFmtId="166" fontId="28" fillId="57" borderId="254" xfId="54" applyNumberFormat="1" applyFont="1" applyFill="1" applyBorder="1" applyAlignment="1" applyProtection="1">
      <alignment horizontal="right"/>
    </xf>
    <xf numFmtId="38" fontId="9" fillId="57" borderId="268" xfId="53" applyNumberFormat="1" applyFont="1" applyFill="1" applyBorder="1" applyAlignment="1" applyProtection="1">
      <alignment horizontal="right"/>
    </xf>
    <xf numFmtId="38" fontId="9" fillId="57" borderId="269" xfId="53" applyNumberFormat="1" applyFont="1" applyFill="1" applyBorder="1" applyAlignment="1" applyProtection="1">
      <alignment horizontal="right"/>
    </xf>
    <xf numFmtId="38" fontId="9" fillId="57" borderId="270" xfId="53" applyNumberFormat="1" applyFont="1" applyFill="1" applyBorder="1" applyAlignment="1" applyProtection="1">
      <alignment horizontal="right"/>
    </xf>
    <xf numFmtId="38" fontId="28" fillId="57" borderId="79" xfId="54" applyNumberFormat="1" applyFont="1" applyFill="1" applyBorder="1" applyAlignment="1" applyProtection="1">
      <alignment horizontal="right"/>
    </xf>
    <xf numFmtId="6" fontId="28" fillId="57" borderId="79" xfId="54" applyNumberFormat="1" applyFont="1" applyFill="1" applyBorder="1" applyAlignment="1" applyProtection="1">
      <alignment horizontal="right"/>
    </xf>
    <xf numFmtId="6" fontId="0" fillId="57" borderId="271" xfId="0" applyNumberFormat="1" applyFill="1" applyBorder="1"/>
    <xf numFmtId="38" fontId="0" fillId="57" borderId="271" xfId="0" applyNumberFormat="1" applyFill="1" applyBorder="1"/>
    <xf numFmtId="38" fontId="126" fillId="57" borderId="254" xfId="53" applyNumberFormat="1" applyFont="1" applyFill="1" applyBorder="1" applyAlignment="1" applyProtection="1">
      <alignment horizontal="right"/>
    </xf>
    <xf numFmtId="166" fontId="9" fillId="57" borderId="270" xfId="53" applyNumberFormat="1" applyFont="1" applyFill="1" applyBorder="1" applyAlignment="1" applyProtection="1">
      <alignment horizontal="right"/>
    </xf>
    <xf numFmtId="38" fontId="9" fillId="57" borderId="39" xfId="53" applyNumberFormat="1" applyFont="1" applyFill="1" applyBorder="1" applyAlignment="1" applyProtection="1">
      <alignment horizontal="right"/>
    </xf>
    <xf numFmtId="38" fontId="28" fillId="57" borderId="254" xfId="54" applyNumberFormat="1" applyFont="1" applyFill="1" applyBorder="1" applyAlignment="1" applyProtection="1">
      <alignment horizontal="right"/>
    </xf>
    <xf numFmtId="171" fontId="28" fillId="57" borderId="79" xfId="54" applyNumberFormat="1" applyFont="1" applyFill="1" applyBorder="1" applyAlignment="1" applyProtection="1">
      <alignment horizontal="right"/>
    </xf>
    <xf numFmtId="6" fontId="28" fillId="57" borderId="254" xfId="54" applyNumberFormat="1" applyFont="1" applyFill="1" applyBorder="1" applyAlignment="1" applyProtection="1">
      <alignment horizontal="right"/>
    </xf>
    <xf numFmtId="6" fontId="102" fillId="0" borderId="255" xfId="0" applyNumberFormat="1" applyFont="1" applyFill="1" applyBorder="1" applyAlignment="1">
      <alignment horizontal="center" wrapText="1"/>
    </xf>
    <xf numFmtId="0" fontId="100" fillId="0" borderId="257" xfId="0" applyFont="1" applyBorder="1"/>
    <xf numFmtId="38" fontId="79" fillId="0" borderId="146" xfId="0" applyNumberFormat="1" applyFont="1" applyFill="1" applyBorder="1" applyAlignment="1">
      <alignment horizontal="center" wrapText="1"/>
    </xf>
    <xf numFmtId="38" fontId="79" fillId="0" borderId="145" xfId="0" applyNumberFormat="1" applyFont="1" applyFill="1" applyBorder="1" applyAlignment="1">
      <alignment horizontal="center" wrapText="1"/>
    </xf>
    <xf numFmtId="38" fontId="79" fillId="0" borderId="147" xfId="0" applyNumberFormat="1" applyFont="1" applyFill="1" applyBorder="1" applyAlignment="1">
      <alignment horizontal="center" wrapText="1"/>
    </xf>
    <xf numFmtId="38" fontId="102" fillId="0" borderId="255" xfId="0" applyNumberFormat="1" applyFont="1" applyFill="1" applyBorder="1" applyAlignment="1">
      <alignment horizontal="center" wrapText="1"/>
    </xf>
    <xf numFmtId="38" fontId="100" fillId="0" borderId="257" xfId="0" applyNumberFormat="1" applyFont="1" applyBorder="1"/>
    <xf numFmtId="0" fontId="11" fillId="0" borderId="0" xfId="0" applyFont="1" applyAlignment="1">
      <alignment horizontal="center"/>
    </xf>
    <xf numFmtId="0" fontId="64" fillId="0" borderId="0" xfId="0" applyFont="1" applyFill="1" applyAlignment="1">
      <alignment horizontal="left" vertical="top" wrapText="1"/>
    </xf>
    <xf numFmtId="49" fontId="28" fillId="42" borderId="10" xfId="53" applyNumberFormat="1" applyFont="1" applyFill="1" applyBorder="1" applyAlignment="1">
      <alignment horizontal="center" vertical="center" wrapText="1"/>
    </xf>
    <xf numFmtId="49" fontId="28" fillId="42" borderId="13" xfId="53" applyNumberFormat="1" applyFont="1" applyFill="1" applyBorder="1" applyAlignment="1">
      <alignment horizontal="center" vertical="center" wrapText="1"/>
    </xf>
    <xf numFmtId="6" fontId="11" fillId="43" borderId="117" xfId="30" applyNumberFormat="1" applyFont="1" applyFill="1" applyBorder="1" applyAlignment="1" applyProtection="1">
      <alignment horizontal="right"/>
    </xf>
    <xf numFmtId="6" fontId="11" fillId="43" borderId="121" xfId="30" applyNumberFormat="1" applyFont="1" applyFill="1" applyBorder="1" applyAlignment="1" applyProtection="1">
      <alignment horizontal="right"/>
    </xf>
    <xf numFmtId="6" fontId="11" fillId="43" borderId="124" xfId="30" applyNumberFormat="1" applyFont="1" applyFill="1" applyBorder="1" applyAlignment="1" applyProtection="1">
      <alignment horizontal="right"/>
    </xf>
    <xf numFmtId="6" fontId="11" fillId="43" borderId="121" xfId="0" applyNumberFormat="1" applyFont="1" applyFill="1" applyBorder="1" applyAlignment="1" applyProtection="1">
      <alignment horizontal="right"/>
    </xf>
    <xf numFmtId="6" fontId="11" fillId="43" borderId="124" xfId="0" applyNumberFormat="1" applyFont="1" applyFill="1" applyBorder="1" applyAlignment="1" applyProtection="1">
      <alignment horizontal="right"/>
    </xf>
    <xf numFmtId="6" fontId="11" fillId="43" borderId="117" xfId="0" applyNumberFormat="1" applyFont="1" applyFill="1" applyBorder="1" applyAlignment="1" applyProtection="1">
      <alignment horizontal="right"/>
    </xf>
    <xf numFmtId="6" fontId="11" fillId="43" borderId="128" xfId="0" applyNumberFormat="1" applyFont="1" applyFill="1" applyBorder="1" applyAlignment="1" applyProtection="1">
      <alignment horizontal="right"/>
    </xf>
    <xf numFmtId="6" fontId="28" fillId="43" borderId="80" xfId="30" applyNumberFormat="1" applyFont="1" applyFill="1" applyBorder="1" applyAlignment="1" applyProtection="1">
      <alignment horizontal="right"/>
    </xf>
    <xf numFmtId="0" fontId="69" fillId="45" borderId="0" xfId="0" applyFont="1" applyFill="1" applyBorder="1" applyAlignment="1" applyProtection="1">
      <alignment vertical="center" wrapText="1"/>
    </xf>
    <xf numFmtId="6" fontId="28" fillId="27" borderId="266" xfId="0" applyNumberFormat="1" applyFont="1" applyFill="1" applyBorder="1"/>
    <xf numFmtId="49" fontId="69" fillId="0" borderId="14" xfId="53" applyNumberFormat="1" applyFont="1" applyFill="1" applyBorder="1" applyAlignment="1">
      <alignment vertical="center" wrapText="1"/>
    </xf>
    <xf numFmtId="38" fontId="9" fillId="43" borderId="117" xfId="54" applyNumberFormat="1" applyFont="1" applyFill="1" applyBorder="1" applyAlignment="1" applyProtection="1">
      <alignment horizontal="right"/>
    </xf>
    <xf numFmtId="38" fontId="9" fillId="43" borderId="121" xfId="54" applyNumberFormat="1" applyFont="1" applyFill="1" applyBorder="1" applyAlignment="1" applyProtection="1">
      <alignment horizontal="right"/>
    </xf>
    <xf numFmtId="38" fontId="9" fillId="43" borderId="124" xfId="54" applyNumberFormat="1" applyFont="1" applyFill="1" applyBorder="1" applyAlignment="1" applyProtection="1">
      <alignment horizontal="right"/>
    </xf>
    <xf numFmtId="38" fontId="9" fillId="43" borderId="121" xfId="53" applyNumberFormat="1" applyFont="1" applyFill="1" applyBorder="1" applyAlignment="1" applyProtection="1">
      <alignment horizontal="right"/>
    </xf>
    <xf numFmtId="38" fontId="9" fillId="43" borderId="124" xfId="53" applyNumberFormat="1" applyFont="1" applyFill="1" applyBorder="1" applyAlignment="1" applyProtection="1">
      <alignment horizontal="right"/>
    </xf>
    <xf numFmtId="38" fontId="9" fillId="43" borderId="117" xfId="53" applyNumberFormat="1" applyFont="1" applyFill="1" applyBorder="1" applyAlignment="1" applyProtection="1">
      <alignment horizontal="right"/>
    </xf>
    <xf numFmtId="38" fontId="9" fillId="43" borderId="128" xfId="53" applyNumberFormat="1" applyFont="1" applyFill="1" applyBorder="1" applyAlignment="1" applyProtection="1">
      <alignment horizontal="right"/>
    </xf>
    <xf numFmtId="38" fontId="9" fillId="43" borderId="213" xfId="53" applyNumberFormat="1" applyFont="1" applyFill="1" applyBorder="1" applyAlignment="1" applyProtection="1">
      <alignment horizontal="right"/>
    </xf>
    <xf numFmtId="38" fontId="28" fillId="43" borderId="80" xfId="54" applyNumberFormat="1" applyFont="1" applyFill="1" applyBorder="1" applyAlignment="1" applyProtection="1">
      <alignment horizontal="right"/>
    </xf>
    <xf numFmtId="6" fontId="9" fillId="43" borderId="213" xfId="53" applyNumberFormat="1" applyFont="1" applyFill="1" applyBorder="1" applyAlignment="1" applyProtection="1">
      <alignment horizontal="right"/>
    </xf>
    <xf numFmtId="6" fontId="9" fillId="44" borderId="117" xfId="54" applyNumberFormat="1" applyFont="1" applyFill="1" applyBorder="1" applyAlignment="1" applyProtection="1">
      <alignment horizontal="right"/>
    </xf>
    <xf numFmtId="6" fontId="9" fillId="44" borderId="121" xfId="54" applyNumberFormat="1" applyFont="1" applyFill="1" applyBorder="1" applyAlignment="1" applyProtection="1">
      <alignment horizontal="right"/>
    </xf>
    <xf numFmtId="6" fontId="9" fillId="44" borderId="124" xfId="54" applyNumberFormat="1" applyFont="1" applyFill="1" applyBorder="1" applyAlignment="1" applyProtection="1">
      <alignment horizontal="right"/>
    </xf>
    <xf numFmtId="6" fontId="9" fillId="44" borderId="121" xfId="53" applyNumberFormat="1" applyFont="1" applyFill="1" applyBorder="1" applyAlignment="1" applyProtection="1">
      <alignment horizontal="right"/>
    </xf>
    <xf numFmtId="6" fontId="9" fillId="44" borderId="124" xfId="53" applyNumberFormat="1" applyFont="1" applyFill="1" applyBorder="1" applyAlignment="1" applyProtection="1">
      <alignment horizontal="right"/>
    </xf>
    <xf numFmtId="6" fontId="9" fillId="44" borderId="117" xfId="53" applyNumberFormat="1" applyFont="1" applyFill="1" applyBorder="1" applyAlignment="1" applyProtection="1">
      <alignment horizontal="right"/>
    </xf>
    <xf numFmtId="6" fontId="9" fillId="44" borderId="128" xfId="53" applyNumberFormat="1" applyFont="1" applyFill="1" applyBorder="1" applyAlignment="1" applyProtection="1">
      <alignment horizontal="right"/>
    </xf>
    <xf numFmtId="166" fontId="9" fillId="42" borderId="121" xfId="0" applyNumberFormat="1" applyFont="1" applyFill="1" applyBorder="1" applyAlignment="1" applyProtection="1">
      <alignment horizontal="right"/>
    </xf>
    <xf numFmtId="166" fontId="9" fillId="42" borderId="124" xfId="0" applyNumberFormat="1" applyFont="1" applyFill="1" applyBorder="1" applyAlignment="1" applyProtection="1">
      <alignment horizontal="right"/>
    </xf>
    <xf numFmtId="166" fontId="9" fillId="42" borderId="117" xfId="0" applyNumberFormat="1" applyFont="1" applyFill="1" applyBorder="1" applyAlignment="1" applyProtection="1">
      <alignment horizontal="right"/>
    </xf>
    <xf numFmtId="166" fontId="9" fillId="42" borderId="128" xfId="0" applyNumberFormat="1" applyFont="1" applyFill="1" applyBorder="1" applyAlignment="1" applyProtection="1">
      <alignment horizontal="right"/>
    </xf>
    <xf numFmtId="5" fontId="9" fillId="0" borderId="0" xfId="0" applyNumberFormat="1" applyFont="1"/>
    <xf numFmtId="6" fontId="9" fillId="0" borderId="0" xfId="0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right" vertical="top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vertical="top" wrapText="1"/>
    </xf>
    <xf numFmtId="17" fontId="9" fillId="0" borderId="0" xfId="0" quotePrefix="1" applyNumberFormat="1" applyFont="1" applyBorder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14" xfId="0" applyFont="1" applyBorder="1"/>
    <xf numFmtId="6" fontId="9" fillId="0" borderId="14" xfId="0" applyNumberFormat="1" applyFont="1" applyBorder="1"/>
    <xf numFmtId="166" fontId="0" fillId="0" borderId="0" xfId="0" applyNumberFormat="1"/>
    <xf numFmtId="6" fontId="79" fillId="0" borderId="0" xfId="0" applyNumberFormat="1" applyFont="1" applyBorder="1"/>
    <xf numFmtId="6" fontId="102" fillId="0" borderId="0" xfId="0" applyNumberFormat="1" applyFont="1" applyBorder="1"/>
    <xf numFmtId="40" fontId="11" fillId="43" borderId="116" xfId="0" applyNumberFormat="1" applyFont="1" applyFill="1" applyBorder="1" applyAlignment="1" applyProtection="1">
      <alignment horizontal="right"/>
    </xf>
    <xf numFmtId="40" fontId="11" fillId="43" borderId="120" xfId="0" applyNumberFormat="1" applyFont="1" applyFill="1" applyBorder="1" applyAlignment="1" applyProtection="1">
      <alignment horizontal="right"/>
    </xf>
    <xf numFmtId="40" fontId="11" fillId="43" borderId="123" xfId="0" applyNumberFormat="1" applyFont="1" applyFill="1" applyBorder="1" applyAlignment="1" applyProtection="1">
      <alignment horizontal="right"/>
    </xf>
    <xf numFmtId="40" fontId="11" fillId="43" borderId="127" xfId="0" applyNumberFormat="1" applyFont="1" applyFill="1" applyBorder="1" applyAlignment="1" applyProtection="1">
      <alignment horizontal="right"/>
    </xf>
    <xf numFmtId="40" fontId="28" fillId="43" borderId="79" xfId="30" applyNumberFormat="1" applyFont="1" applyFill="1" applyBorder="1" applyAlignment="1" applyProtection="1">
      <alignment horizontal="right"/>
    </xf>
    <xf numFmtId="6" fontId="102" fillId="0" borderId="0" xfId="0" applyNumberFormat="1" applyFont="1" applyBorder="1" applyAlignment="1">
      <alignment wrapText="1"/>
    </xf>
    <xf numFmtId="0" fontId="111" fillId="0" borderId="0" xfId="0" applyFont="1" applyBorder="1" applyAlignment="1">
      <alignment wrapText="1"/>
    </xf>
    <xf numFmtId="6" fontId="100" fillId="41" borderId="0" xfId="0" applyNumberFormat="1" applyFont="1" applyFill="1" applyBorder="1"/>
    <xf numFmtId="6" fontId="100" fillId="0" borderId="0" xfId="0" applyNumberFormat="1" applyFont="1" applyBorder="1" applyAlignment="1">
      <alignment wrapText="1"/>
    </xf>
    <xf numFmtId="0" fontId="25" fillId="0" borderId="0" xfId="0" applyFont="1" applyBorder="1" applyAlignment="1">
      <alignment wrapText="1"/>
    </xf>
    <xf numFmtId="6" fontId="25" fillId="0" borderId="0" xfId="0" applyNumberFormat="1" applyFont="1" applyBorder="1" applyAlignment="1">
      <alignment wrapText="1"/>
    </xf>
    <xf numFmtId="6" fontId="100" fillId="41" borderId="0" xfId="0" applyNumberFormat="1" applyFont="1" applyFill="1" applyBorder="1" applyAlignment="1">
      <alignment horizontal="left" wrapText="1"/>
    </xf>
    <xf numFmtId="0" fontId="79" fillId="0" borderId="0" xfId="0" applyFont="1" applyFill="1" applyBorder="1"/>
    <xf numFmtId="0" fontId="102" fillId="0" borderId="0" xfId="0" applyFont="1" applyFill="1" applyBorder="1" applyAlignment="1">
      <alignment horizontal="center"/>
    </xf>
    <xf numFmtId="0" fontId="79" fillId="0" borderId="10" xfId="0" applyFont="1" applyFill="1" applyBorder="1"/>
    <xf numFmtId="0" fontId="102" fillId="0" borderId="33" xfId="0" quotePrefix="1" applyFont="1" applyFill="1" applyBorder="1" applyAlignment="1">
      <alignment horizontal="right" wrapText="1"/>
    </xf>
    <xf numFmtId="38" fontId="102" fillId="0" borderId="73" xfId="0" applyNumberFormat="1" applyFont="1" applyFill="1" applyBorder="1" applyAlignment="1">
      <alignment horizontal="center"/>
    </xf>
    <xf numFmtId="6" fontId="102" fillId="0" borderId="73" xfId="0" applyNumberFormat="1" applyFont="1" applyFill="1" applyBorder="1" applyAlignment="1">
      <alignment horizontal="center"/>
    </xf>
    <xf numFmtId="0" fontId="100" fillId="0" borderId="73" xfId="0" applyFont="1" applyFill="1" applyBorder="1"/>
    <xf numFmtId="6" fontId="100" fillId="0" borderId="73" xfId="0" applyNumberFormat="1" applyFont="1" applyFill="1" applyBorder="1"/>
    <xf numFmtId="0" fontId="79" fillId="0" borderId="73" xfId="0" applyFont="1" applyFill="1" applyBorder="1"/>
    <xf numFmtId="0" fontId="79" fillId="0" borderId="0" xfId="0" applyFont="1" applyFill="1" applyBorder="1" applyAlignment="1">
      <alignment horizontal="right" wrapText="1"/>
    </xf>
    <xf numFmtId="38" fontId="79" fillId="0" borderId="0" xfId="0" applyNumberFormat="1" applyFont="1" applyFill="1" applyBorder="1" applyAlignment="1">
      <alignment horizontal="center"/>
    </xf>
    <xf numFmtId="6" fontId="79" fillId="0" borderId="0" xfId="0" applyNumberFormat="1" applyFont="1" applyFill="1" applyBorder="1" applyAlignment="1">
      <alignment horizontal="center"/>
    </xf>
    <xf numFmtId="6" fontId="79" fillId="0" borderId="0" xfId="0" applyNumberFormat="1" applyFont="1" applyFill="1" applyBorder="1" applyAlignment="1">
      <alignment horizontal="center" wrapText="1"/>
    </xf>
    <xf numFmtId="0" fontId="102" fillId="0" borderId="0" xfId="0" quotePrefix="1" applyFont="1" applyFill="1" applyBorder="1" applyAlignment="1">
      <alignment horizontal="right" wrapText="1"/>
    </xf>
    <xf numFmtId="38" fontId="102" fillId="0" borderId="0" xfId="0" applyNumberFormat="1" applyFont="1" applyFill="1" applyBorder="1" applyAlignment="1">
      <alignment horizontal="center"/>
    </xf>
    <xf numFmtId="6" fontId="102" fillId="0" borderId="0" xfId="0" applyNumberFormat="1" applyFont="1" applyFill="1" applyBorder="1" applyAlignment="1">
      <alignment horizontal="center"/>
    </xf>
    <xf numFmtId="0" fontId="100" fillId="0" borderId="0" xfId="0" applyFont="1" applyFill="1" applyBorder="1"/>
    <xf numFmtId="6" fontId="100" fillId="0" borderId="0" xfId="0" applyNumberFormat="1" applyFont="1" applyFill="1" applyBorder="1"/>
    <xf numFmtId="0" fontId="102" fillId="0" borderId="0" xfId="0" applyFont="1" applyFill="1" applyBorder="1" applyAlignment="1">
      <alignment horizontal="right" wrapText="1"/>
    </xf>
    <xf numFmtId="6" fontId="102" fillId="0" borderId="0" xfId="0" applyNumberFormat="1" applyFont="1" applyFill="1" applyBorder="1" applyAlignment="1">
      <alignment horizontal="center" wrapText="1"/>
    </xf>
    <xf numFmtId="6" fontId="79" fillId="0" borderId="0" xfId="0" applyNumberFormat="1" applyFont="1" applyFill="1" applyBorder="1" applyAlignment="1">
      <alignment horizontal="left"/>
    </xf>
    <xf numFmtId="4" fontId="146" fillId="0" borderId="0" xfId="0" applyNumberFormat="1" applyFont="1" applyBorder="1" applyAlignment="1">
      <alignment horizontal="center" wrapText="1"/>
    </xf>
    <xf numFmtId="4" fontId="146" fillId="0" borderId="0" xfId="0" applyNumberFormat="1" applyFont="1" applyBorder="1" applyAlignment="1">
      <alignment horizontal="center" vertical="center" wrapText="1"/>
    </xf>
    <xf numFmtId="4" fontId="146" fillId="0" borderId="0" xfId="0" applyNumberFormat="1" applyFont="1" applyBorder="1" applyAlignment="1">
      <alignment horizontal="center"/>
    </xf>
    <xf numFmtId="0" fontId="147" fillId="0" borderId="0" xfId="0" applyFont="1"/>
    <xf numFmtId="6" fontId="104" fillId="39" borderId="13" xfId="0" applyNumberFormat="1" applyFont="1" applyFill="1" applyBorder="1"/>
    <xf numFmtId="6" fontId="104" fillId="27" borderId="26" xfId="0" applyNumberFormat="1" applyFont="1" applyFill="1" applyBorder="1"/>
    <xf numFmtId="0" fontId="104" fillId="0" borderId="26" xfId="0" applyFont="1" applyBorder="1" applyAlignment="1">
      <alignment horizontal="left" wrapText="1"/>
    </xf>
    <xf numFmtId="3" fontId="100" fillId="0" borderId="13" xfId="0" applyNumberFormat="1" applyFont="1" applyFill="1" applyBorder="1"/>
    <xf numFmtId="6" fontId="100" fillId="0" borderId="13" xfId="0" applyNumberFormat="1" applyFont="1" applyBorder="1"/>
    <xf numFmtId="6" fontId="100" fillId="27" borderId="13" xfId="0" applyNumberFormat="1" applyFont="1" applyFill="1" applyBorder="1"/>
    <xf numFmtId="6" fontId="100" fillId="0" borderId="13" xfId="0" applyNumberFormat="1" applyFont="1" applyBorder="1" applyAlignment="1">
      <alignment horizontal="center" wrapText="1"/>
    </xf>
    <xf numFmtId="6" fontId="100" fillId="27" borderId="13" xfId="0" applyNumberFormat="1" applyFont="1" applyFill="1" applyBorder="1" applyAlignment="1">
      <alignment horizontal="center"/>
    </xf>
    <xf numFmtId="0" fontId="148" fillId="28" borderId="36" xfId="0" applyFont="1" applyFill="1" applyBorder="1" applyAlignment="1">
      <alignment wrapText="1"/>
    </xf>
    <xf numFmtId="0" fontId="148" fillId="28" borderId="50" xfId="0" applyFont="1" applyFill="1" applyBorder="1" applyAlignment="1">
      <alignment wrapText="1"/>
    </xf>
    <xf numFmtId="3" fontId="100" fillId="41" borderId="13" xfId="0" applyNumberFormat="1" applyFont="1" applyFill="1" applyBorder="1"/>
    <xf numFmtId="6" fontId="100" fillId="41" borderId="13" xfId="0" applyNumberFormat="1" applyFont="1" applyFill="1" applyBorder="1"/>
    <xf numFmtId="38" fontId="100" fillId="41" borderId="26" xfId="0" applyNumberFormat="1" applyFont="1" applyFill="1" applyBorder="1" applyAlignment="1">
      <alignment wrapText="1"/>
    </xf>
    <xf numFmtId="6" fontId="100" fillId="0" borderId="26" xfId="0" applyNumberFormat="1" applyFont="1" applyBorder="1"/>
    <xf numFmtId="6" fontId="100" fillId="41" borderId="26" xfId="0" applyNumberFormat="1" applyFont="1" applyFill="1" applyBorder="1"/>
    <xf numFmtId="6" fontId="100" fillId="27" borderId="26" xfId="0" applyNumberFormat="1" applyFont="1" applyFill="1" applyBorder="1"/>
    <xf numFmtId="38" fontId="100" fillId="49" borderId="26" xfId="0" applyNumberFormat="1" applyFont="1" applyFill="1" applyBorder="1" applyAlignment="1">
      <alignment wrapText="1"/>
    </xf>
    <xf numFmtId="3" fontId="100" fillId="49" borderId="13" xfId="0" applyNumberFormat="1" applyFont="1" applyFill="1" applyBorder="1"/>
    <xf numFmtId="38" fontId="100" fillId="54" borderId="26" xfId="0" applyNumberFormat="1" applyFont="1" applyFill="1" applyBorder="1" applyAlignment="1">
      <alignment wrapText="1"/>
    </xf>
    <xf numFmtId="6" fontId="100" fillId="0" borderId="26" xfId="0" applyNumberFormat="1" applyFont="1" applyFill="1" applyBorder="1"/>
    <xf numFmtId="6" fontId="100" fillId="0" borderId="13" xfId="0" applyNumberFormat="1" applyFont="1" applyFill="1" applyBorder="1"/>
    <xf numFmtId="38" fontId="100" fillId="0" borderId="26" xfId="0" applyNumberFormat="1" applyFont="1" applyFill="1" applyBorder="1" applyAlignment="1">
      <alignment wrapText="1"/>
    </xf>
    <xf numFmtId="3" fontId="100" fillId="41" borderId="26" xfId="0" applyNumberFormat="1" applyFont="1" applyFill="1" applyBorder="1"/>
    <xf numFmtId="3" fontId="104" fillId="0" borderId="13" xfId="0" applyNumberFormat="1" applyFont="1" applyFill="1" applyBorder="1"/>
    <xf numFmtId="6" fontId="104" fillId="0" borderId="13" xfId="0" applyNumberFormat="1" applyFont="1" applyBorder="1"/>
    <xf numFmtId="6" fontId="104" fillId="0" borderId="13" xfId="0" applyNumberFormat="1" applyFont="1" applyFill="1" applyBorder="1"/>
    <xf numFmtId="6" fontId="104" fillId="27" borderId="13" xfId="0" applyNumberFormat="1" applyFont="1" applyFill="1" applyBorder="1"/>
    <xf numFmtId="6" fontId="104" fillId="0" borderId="26" xfId="0" applyNumberFormat="1" applyFont="1" applyBorder="1"/>
    <xf numFmtId="0" fontId="9" fillId="52" borderId="276" xfId="53" applyFont="1" applyFill="1" applyBorder="1"/>
    <xf numFmtId="172" fontId="9" fillId="52" borderId="277" xfId="53" applyNumberFormat="1" applyFont="1" applyFill="1" applyBorder="1" applyAlignment="1">
      <alignment horizontal="center"/>
    </xf>
    <xf numFmtId="166" fontId="28" fillId="52" borderId="225" xfId="54" applyNumberFormat="1" applyFont="1" applyFill="1" applyBorder="1" applyAlignment="1" applyProtection="1">
      <alignment horizontal="right"/>
    </xf>
    <xf numFmtId="0" fontId="9" fillId="52" borderId="277" xfId="53" applyFont="1" applyFill="1" applyBorder="1" applyAlignment="1">
      <alignment horizontal="center"/>
    </xf>
    <xf numFmtId="166" fontId="9" fillId="52" borderId="265" xfId="53" applyNumberFormat="1" applyFont="1" applyFill="1" applyBorder="1" applyAlignment="1">
      <alignment horizontal="center"/>
    </xf>
    <xf numFmtId="0" fontId="9" fillId="52" borderId="35" xfId="53" applyFont="1" applyFill="1" applyBorder="1"/>
    <xf numFmtId="0" fontId="9" fillId="52" borderId="14" xfId="53" applyFont="1" applyFill="1" applyBorder="1" applyAlignment="1">
      <alignment horizontal="center"/>
    </xf>
    <xf numFmtId="0" fontId="9" fillId="52" borderId="77" xfId="53" applyFont="1" applyFill="1" applyBorder="1" applyAlignment="1">
      <alignment horizontal="center"/>
    </xf>
    <xf numFmtId="6" fontId="9" fillId="52" borderId="0" xfId="53" applyNumberFormat="1" applyFont="1" applyFill="1" applyAlignment="1">
      <alignment horizontal="center"/>
    </xf>
    <xf numFmtId="166" fontId="9" fillId="52" borderId="0" xfId="53" applyNumberFormat="1" applyFont="1" applyFill="1" applyAlignment="1">
      <alignment horizontal="center"/>
    </xf>
    <xf numFmtId="0" fontId="9" fillId="52" borderId="0" xfId="53" applyFont="1" applyFill="1" applyAlignment="1">
      <alignment horizontal="center"/>
    </xf>
    <xf numFmtId="0" fontId="28" fillId="35" borderId="255" xfId="0" applyFont="1" applyFill="1" applyBorder="1" applyAlignment="1">
      <alignment horizontal="center" vertical="center" wrapText="1"/>
    </xf>
    <xf numFmtId="0" fontId="69" fillId="31" borderId="256" xfId="0" applyFont="1" applyFill="1" applyBorder="1" applyAlignment="1">
      <alignment horizontal="center" vertical="center" wrapText="1"/>
    </xf>
    <xf numFmtId="0" fontId="28" fillId="29" borderId="255" xfId="0" applyFont="1" applyFill="1" applyBorder="1" applyAlignment="1">
      <alignment horizontal="center" vertical="center" wrapText="1"/>
    </xf>
    <xf numFmtId="170" fontId="28" fillId="39" borderId="256" xfId="28" applyNumberFormat="1" applyFont="1" applyFill="1" applyBorder="1" applyAlignment="1">
      <alignment horizontal="center" vertical="center"/>
    </xf>
    <xf numFmtId="10" fontId="28" fillId="31" borderId="256" xfId="0" applyNumberFormat="1" applyFont="1" applyFill="1" applyBorder="1" applyAlignment="1">
      <alignment horizontal="center" vertical="center" wrapText="1"/>
    </xf>
    <xf numFmtId="165" fontId="104" fillId="39" borderId="13" xfId="28" applyNumberFormat="1" applyFont="1" applyFill="1" applyBorder="1"/>
    <xf numFmtId="0" fontId="9" fillId="69" borderId="0" xfId="53" applyFont="1" applyFill="1"/>
    <xf numFmtId="0" fontId="55" fillId="69" borderId="0" xfId="53" applyFont="1" applyFill="1"/>
    <xf numFmtId="0" fontId="55" fillId="69" borderId="0" xfId="53" applyFont="1" applyFill="1" applyAlignment="1">
      <alignment horizontal="center"/>
    </xf>
    <xf numFmtId="0" fontId="73" fillId="0" borderId="0" xfId="53" applyFont="1" applyBorder="1" applyAlignment="1">
      <alignment wrapText="1"/>
    </xf>
    <xf numFmtId="0" fontId="73" fillId="0" borderId="0" xfId="53" quotePrefix="1" applyFont="1" applyBorder="1" applyAlignment="1">
      <alignment wrapText="1"/>
    </xf>
    <xf numFmtId="0" fontId="55" fillId="0" borderId="0" xfId="53" applyFont="1" applyBorder="1" applyAlignment="1"/>
    <xf numFmtId="0" fontId="55" fillId="0" borderId="0" xfId="53" applyFont="1" applyBorder="1" applyAlignment="1">
      <alignment horizontal="center"/>
    </xf>
    <xf numFmtId="0" fontId="55" fillId="41" borderId="0" xfId="53" applyFont="1" applyFill="1" applyBorder="1" applyAlignment="1">
      <alignment horizontal="left"/>
    </xf>
    <xf numFmtId="0" fontId="149" fillId="0" borderId="0" xfId="53" applyFont="1" applyFill="1" applyBorder="1" applyAlignment="1">
      <alignment horizontal="center"/>
    </xf>
    <xf numFmtId="0" fontId="121" fillId="0" borderId="0" xfId="53" applyFont="1" applyBorder="1" applyAlignment="1">
      <alignment horizontal="center"/>
    </xf>
    <xf numFmtId="0" fontId="121" fillId="0" borderId="0" xfId="53" applyFont="1" applyFill="1" applyBorder="1" applyAlignment="1">
      <alignment horizontal="center"/>
    </xf>
    <xf numFmtId="0" fontId="28" fillId="52" borderId="255" xfId="53" applyFont="1" applyFill="1" applyBorder="1" applyAlignment="1">
      <alignment horizontal="center" vertical="center" wrapText="1"/>
    </xf>
    <xf numFmtId="0" fontId="28" fillId="52" borderId="272" xfId="53" applyFont="1" applyFill="1" applyBorder="1" applyAlignment="1">
      <alignment horizontal="center" vertical="center" wrapText="1"/>
    </xf>
    <xf numFmtId="0" fontId="28" fillId="52" borderId="13" xfId="53" applyFont="1" applyFill="1" applyBorder="1" applyAlignment="1">
      <alignment horizontal="center" vertical="center" wrapText="1"/>
    </xf>
    <xf numFmtId="0" fontId="9" fillId="26" borderId="13" xfId="53" applyFont="1" applyFill="1" applyBorder="1" applyAlignment="1">
      <alignment horizontal="center" vertical="center"/>
    </xf>
    <xf numFmtId="0" fontId="9" fillId="26" borderId="256" xfId="53" applyFont="1" applyFill="1" applyBorder="1" applyAlignment="1">
      <alignment horizontal="center" vertical="center" wrapText="1"/>
    </xf>
    <xf numFmtId="0" fontId="51" fillId="25" borderId="256" xfId="53" quotePrefix="1" applyFont="1" applyFill="1" applyBorder="1" applyAlignment="1">
      <alignment horizontal="left" wrapText="1"/>
    </xf>
    <xf numFmtId="38" fontId="121" fillId="41" borderId="256" xfId="53" applyNumberFormat="1" applyFont="1" applyFill="1" applyBorder="1" applyAlignment="1">
      <alignment horizontal="right"/>
    </xf>
    <xf numFmtId="6" fontId="121" fillId="41" borderId="256" xfId="53" applyNumberFormat="1" applyFont="1" applyFill="1" applyBorder="1" applyAlignment="1">
      <alignment horizontal="right"/>
    </xf>
    <xf numFmtId="6" fontId="121" fillId="0" borderId="256" xfId="53" applyNumberFormat="1" applyFont="1" applyBorder="1" applyAlignment="1">
      <alignment horizontal="right"/>
    </xf>
    <xf numFmtId="6" fontId="121" fillId="0" borderId="256" xfId="53" applyNumberFormat="1" applyFont="1" applyBorder="1" applyAlignment="1">
      <alignment horizontal="right" wrapText="1"/>
    </xf>
    <xf numFmtId="6" fontId="121" fillId="0" borderId="256" xfId="53" applyNumberFormat="1" applyFont="1" applyFill="1" applyBorder="1" applyAlignment="1">
      <alignment horizontal="right"/>
    </xf>
    <xf numFmtId="0" fontId="51" fillId="25" borderId="256" xfId="53" applyFont="1" applyFill="1" applyBorder="1" applyAlignment="1">
      <alignment wrapText="1"/>
    </xf>
    <xf numFmtId="0" fontId="51" fillId="43" borderId="256" xfId="53" applyFont="1" applyFill="1" applyBorder="1" applyAlignment="1">
      <alignment wrapText="1"/>
    </xf>
    <xf numFmtId="38" fontId="121" fillId="0" borderId="256" xfId="53" applyNumberFormat="1" applyFont="1" applyFill="1" applyBorder="1" applyAlignment="1">
      <alignment horizontal="right"/>
    </xf>
    <xf numFmtId="38" fontId="76" fillId="0" borderId="256" xfId="53" applyNumberFormat="1" applyFont="1" applyBorder="1" applyAlignment="1">
      <alignment horizontal="right"/>
    </xf>
    <xf numFmtId="6" fontId="76" fillId="0" borderId="256" xfId="53" applyNumberFormat="1" applyFont="1" applyBorder="1" applyAlignment="1">
      <alignment horizontal="right"/>
    </xf>
    <xf numFmtId="6" fontId="76" fillId="0" borderId="256" xfId="53" applyNumberFormat="1" applyFont="1" applyFill="1" applyBorder="1" applyAlignment="1">
      <alignment horizontal="right"/>
    </xf>
    <xf numFmtId="0" fontId="112" fillId="0" borderId="0" xfId="53" quotePrefix="1" applyFont="1" applyFill="1" applyBorder="1" applyAlignment="1">
      <alignment horizontal="left" wrapText="1"/>
    </xf>
    <xf numFmtId="6" fontId="76" fillId="0" borderId="0" xfId="53" applyNumberFormat="1" applyFont="1" applyBorder="1" applyAlignment="1">
      <alignment horizontal="right"/>
    </xf>
    <xf numFmtId="38" fontId="76" fillId="0" borderId="0" xfId="53" applyNumberFormat="1" applyFont="1" applyBorder="1" applyAlignment="1">
      <alignment horizontal="right"/>
    </xf>
    <xf numFmtId="6" fontId="121" fillId="0" borderId="0" xfId="53" applyNumberFormat="1" applyFont="1" applyBorder="1" applyAlignment="1">
      <alignment horizontal="right"/>
    </xf>
    <xf numFmtId="0" fontId="51" fillId="25" borderId="256" xfId="53" applyFont="1" applyFill="1" applyBorder="1" applyAlignment="1">
      <alignment horizontal="left" wrapText="1"/>
    </xf>
    <xf numFmtId="0" fontId="51" fillId="25" borderId="256" xfId="53" applyFont="1" applyFill="1" applyBorder="1" applyAlignment="1">
      <alignment horizontal="right" wrapText="1"/>
    </xf>
    <xf numFmtId="6" fontId="13" fillId="0" borderId="0" xfId="53" applyNumberFormat="1" applyFont="1" applyBorder="1" applyAlignment="1">
      <alignment horizontal="right"/>
    </xf>
    <xf numFmtId="38" fontId="13" fillId="0" borderId="0" xfId="53" applyNumberFormat="1" applyFont="1" applyBorder="1" applyAlignment="1">
      <alignment horizontal="right"/>
    </xf>
    <xf numFmtId="6" fontId="63" fillId="0" borderId="0" xfId="53" applyNumberFormat="1" applyFont="1" applyFill="1" applyBorder="1" applyAlignment="1">
      <alignment horizontal="center"/>
    </xf>
    <xf numFmtId="6" fontId="9" fillId="0" borderId="0" xfId="53" applyNumberFormat="1" applyFont="1" applyBorder="1" applyAlignment="1"/>
    <xf numFmtId="6" fontId="9" fillId="0" borderId="0" xfId="53" applyNumberFormat="1" applyFont="1" applyFill="1" applyBorder="1" applyAlignment="1">
      <alignment horizontal="center"/>
    </xf>
    <xf numFmtId="0" fontId="13" fillId="0" borderId="0" xfId="53" applyFont="1" applyFill="1" applyBorder="1" applyAlignment="1">
      <alignment horizontal="left"/>
    </xf>
    <xf numFmtId="0" fontId="13" fillId="0" borderId="0" xfId="53" applyFont="1" applyBorder="1"/>
    <xf numFmtId="6" fontId="13" fillId="0" borderId="0" xfId="53" applyNumberFormat="1" applyFont="1" applyFill="1" applyBorder="1" applyAlignment="1">
      <alignment horizontal="right"/>
    </xf>
    <xf numFmtId="38" fontId="13" fillId="0" borderId="0" xfId="53" applyNumberFormat="1" applyFont="1" applyFill="1" applyBorder="1" applyAlignment="1">
      <alignment horizontal="right"/>
    </xf>
    <xf numFmtId="0" fontId="9" fillId="0" borderId="0" xfId="53" applyFont="1" applyFill="1" applyBorder="1"/>
    <xf numFmtId="0" fontId="9" fillId="0" borderId="0" xfId="53" applyFont="1" applyBorder="1"/>
    <xf numFmtId="6" fontId="9" fillId="0" borderId="0" xfId="53" applyNumberFormat="1" applyFont="1" applyBorder="1"/>
    <xf numFmtId="5" fontId="16" fillId="41" borderId="199" xfId="0" applyNumberFormat="1" applyFont="1" applyFill="1" applyBorder="1" applyProtection="1"/>
    <xf numFmtId="0" fontId="9" fillId="0" borderId="256" xfId="0" applyFont="1" applyBorder="1"/>
    <xf numFmtId="6" fontId="11" fillId="0" borderId="272" xfId="0" applyNumberFormat="1" applyFont="1" applyBorder="1"/>
    <xf numFmtId="0" fontId="11" fillId="0" borderId="272" xfId="0" applyFont="1" applyBorder="1"/>
    <xf numFmtId="8" fontId="11" fillId="0" borderId="13" xfId="0" applyNumberFormat="1" applyFont="1" applyBorder="1"/>
    <xf numFmtId="0" fontId="103" fillId="0" borderId="12" xfId="0" applyFont="1" applyBorder="1" applyAlignment="1">
      <alignment horizontal="right" wrapText="1"/>
    </xf>
    <xf numFmtId="3" fontId="103" fillId="0" borderId="12" xfId="0" applyNumberFormat="1" applyFont="1" applyFill="1" applyBorder="1"/>
    <xf numFmtId="8" fontId="103" fillId="0" borderId="12" xfId="0" applyNumberFormat="1" applyFont="1" applyBorder="1"/>
    <xf numFmtId="166" fontId="103" fillId="0" borderId="12" xfId="0" applyNumberFormat="1" applyFont="1" applyBorder="1"/>
    <xf numFmtId="166" fontId="103" fillId="27" borderId="12" xfId="0" applyNumberFormat="1" applyFont="1" applyFill="1" applyBorder="1"/>
    <xf numFmtId="6" fontId="103" fillId="27" borderId="12" xfId="0" applyNumberFormat="1" applyFont="1" applyFill="1" applyBorder="1"/>
    <xf numFmtId="6" fontId="103" fillId="0" borderId="12" xfId="0" applyNumberFormat="1" applyFont="1" applyBorder="1"/>
    <xf numFmtId="166" fontId="103" fillId="41" borderId="12" xfId="0" applyNumberFormat="1" applyFont="1" applyFill="1" applyBorder="1"/>
    <xf numFmtId="0" fontId="127" fillId="0" borderId="0" xfId="0" applyFont="1" applyBorder="1"/>
    <xf numFmtId="0" fontId="127" fillId="0" borderId="0" xfId="0" applyFont="1"/>
    <xf numFmtId="0" fontId="9" fillId="0" borderId="259" xfId="0" applyFont="1" applyBorder="1"/>
    <xf numFmtId="166" fontId="11" fillId="0" borderId="260" xfId="0" applyNumberFormat="1" applyFont="1" applyBorder="1"/>
    <xf numFmtId="0" fontId="9" fillId="0" borderId="0" xfId="0" applyFont="1" applyFill="1" applyBorder="1" applyAlignment="1" applyProtection="1">
      <alignment horizontal="left" wrapText="1"/>
    </xf>
    <xf numFmtId="0" fontId="0" fillId="0" borderId="0" xfId="0" applyBorder="1" applyAlignment="1">
      <alignment horizontal="left" vertical="top" wrapText="1"/>
    </xf>
    <xf numFmtId="38" fontId="11" fillId="0" borderId="272" xfId="0" applyNumberFormat="1" applyFont="1" applyFill="1" applyBorder="1" applyProtection="1"/>
    <xf numFmtId="38" fontId="11" fillId="0" borderId="261" xfId="0" applyNumberFormat="1" applyFont="1" applyFill="1" applyBorder="1" applyProtection="1"/>
    <xf numFmtId="8" fontId="63" fillId="56" borderId="13" xfId="0" applyNumberFormat="1" applyFont="1" applyFill="1" applyBorder="1" applyAlignment="1">
      <alignment horizontal="right"/>
    </xf>
    <xf numFmtId="8" fontId="63" fillId="27" borderId="13" xfId="0" applyNumberFormat="1" applyFont="1" applyFill="1" applyBorder="1" applyAlignment="1">
      <alignment horizontal="right"/>
    </xf>
    <xf numFmtId="166" fontId="11" fillId="41" borderId="0" xfId="0" applyNumberFormat="1" applyFont="1" applyFill="1" applyBorder="1" applyAlignment="1">
      <alignment horizontal="center"/>
    </xf>
    <xf numFmtId="0" fontId="9" fillId="41" borderId="0" xfId="0" applyFont="1" applyFill="1" applyBorder="1" applyAlignment="1">
      <alignment horizontal="center"/>
    </xf>
    <xf numFmtId="0" fontId="9" fillId="41" borderId="0" xfId="0" applyFont="1" applyFill="1" applyBorder="1" applyAlignment="1">
      <alignment horizontal="left"/>
    </xf>
    <xf numFmtId="0" fontId="151" fillId="0" borderId="0" xfId="0" applyFont="1" applyBorder="1"/>
    <xf numFmtId="49" fontId="69" fillId="27" borderId="0" xfId="53" applyNumberFormat="1" applyFont="1" applyFill="1" applyBorder="1" applyAlignment="1">
      <alignment horizontal="center" vertical="center" wrapText="1"/>
    </xf>
    <xf numFmtId="17" fontId="9" fillId="0" borderId="0" xfId="0" applyNumberFormat="1" applyFont="1"/>
    <xf numFmtId="0" fontId="79" fillId="0" borderId="278" xfId="0" applyFont="1" applyBorder="1"/>
    <xf numFmtId="0" fontId="79" fillId="0" borderId="277" xfId="0" applyFont="1" applyFill="1" applyBorder="1"/>
    <xf numFmtId="1" fontId="112" fillId="26" borderId="280" xfId="53" applyNumberFormat="1" applyFont="1" applyFill="1" applyBorder="1" applyAlignment="1" applyProtection="1">
      <alignment horizontal="center"/>
    </xf>
    <xf numFmtId="0" fontId="76" fillId="0" borderId="0" xfId="53" applyFont="1" applyFill="1" applyBorder="1" applyAlignment="1"/>
    <xf numFmtId="5" fontId="0" fillId="0" borderId="0" xfId="0" applyNumberFormat="1" applyBorder="1"/>
    <xf numFmtId="6" fontId="0" fillId="0" borderId="0" xfId="0" applyNumberFormat="1" applyBorder="1"/>
    <xf numFmtId="1" fontId="22" fillId="26" borderId="0" xfId="0" quotePrefix="1" applyNumberFormat="1" applyFont="1" applyFill="1" applyBorder="1" applyAlignment="1">
      <alignment horizontal="center"/>
    </xf>
    <xf numFmtId="0" fontId="64" fillId="0" borderId="0" xfId="0" applyFont="1" applyFill="1" applyAlignment="1">
      <alignment horizontal="left" vertical="top" wrapText="1"/>
    </xf>
    <xf numFmtId="0" fontId="22" fillId="0" borderId="0" xfId="0" applyFont="1" applyBorder="1" applyAlignment="1">
      <alignment horizontal="right"/>
    </xf>
    <xf numFmtId="6" fontId="22" fillId="0" borderId="0" xfId="0" applyNumberFormat="1" applyFont="1" applyBorder="1" applyAlignment="1">
      <alignment horizontal="right"/>
    </xf>
    <xf numFmtId="5" fontId="22" fillId="0" borderId="0" xfId="0" applyNumberFormat="1" applyFont="1" applyBorder="1" applyAlignment="1">
      <alignment horizontal="right"/>
    </xf>
    <xf numFmtId="0" fontId="28" fillId="25" borderId="279" xfId="0" applyFont="1" applyFill="1" applyBorder="1" applyAlignment="1">
      <alignment horizontal="center" vertical="center" wrapText="1"/>
    </xf>
    <xf numFmtId="0" fontId="0" fillId="26" borderId="280" xfId="0" applyFill="1" applyBorder="1"/>
    <xf numFmtId="1" fontId="22" fillId="26" borderId="280" xfId="0" quotePrefix="1" applyNumberFormat="1" applyFont="1" applyFill="1" applyBorder="1" applyAlignment="1">
      <alignment horizontal="center"/>
    </xf>
    <xf numFmtId="0" fontId="13" fillId="0" borderId="272" xfId="0" applyFont="1" applyBorder="1" applyAlignment="1">
      <alignment horizontal="left" wrapText="1"/>
    </xf>
    <xf numFmtId="0" fontId="0" fillId="0" borderId="0" xfId="0" applyBorder="1" applyAlignment="1">
      <alignment vertical="top" wrapText="1"/>
    </xf>
    <xf numFmtId="6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6" fontId="0" fillId="0" borderId="0" xfId="0" applyNumberFormat="1" applyBorder="1" applyAlignment="1">
      <alignment horizontal="center" vertical="top" wrapText="1"/>
    </xf>
    <xf numFmtId="0" fontId="136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7" fontId="12" fillId="0" borderId="0" xfId="32" applyNumberFormat="1" applyFont="1" applyBorder="1"/>
    <xf numFmtId="10" fontId="12" fillId="0" borderId="0" xfId="0" applyNumberFormat="1" applyFont="1" applyBorder="1"/>
    <xf numFmtId="166" fontId="13" fillId="27" borderId="0" xfId="0" applyNumberFormat="1" applyFont="1" applyFill="1" applyBorder="1"/>
    <xf numFmtId="166" fontId="11" fillId="0" borderId="0" xfId="0" applyNumberFormat="1" applyFont="1" applyBorder="1"/>
    <xf numFmtId="166" fontId="13" fillId="0" borderId="0" xfId="0" applyNumberFormat="1" applyFont="1" applyBorder="1"/>
    <xf numFmtId="5" fontId="11" fillId="0" borderId="0" xfId="0" applyNumberFormat="1" applyFont="1" applyFill="1" applyBorder="1"/>
    <xf numFmtId="6" fontId="9" fillId="0" borderId="0" xfId="53" applyNumberFormat="1" applyFont="1" applyFill="1" applyBorder="1" applyAlignment="1">
      <alignment horizontal="right"/>
    </xf>
    <xf numFmtId="0" fontId="37" fillId="0" borderId="0" xfId="0" applyFont="1" applyBorder="1" applyAlignment="1">
      <alignment horizontal="right"/>
    </xf>
    <xf numFmtId="5" fontId="0" fillId="0" borderId="0" xfId="0" applyNumberFormat="1" applyBorder="1" applyAlignment="1">
      <alignment vertical="center"/>
    </xf>
    <xf numFmtId="6" fontId="138" fillId="0" borderId="0" xfId="0" applyNumberFormat="1" applyFont="1" applyBorder="1" applyAlignment="1">
      <alignment horizontal="right"/>
    </xf>
    <xf numFmtId="6" fontId="138" fillId="0" borderId="0" xfId="0" applyNumberFormat="1" applyFont="1" applyBorder="1"/>
    <xf numFmtId="0" fontId="105" fillId="0" borderId="0" xfId="0" applyFont="1" applyBorder="1" applyAlignment="1">
      <alignment wrapText="1"/>
    </xf>
    <xf numFmtId="165" fontId="0" fillId="0" borderId="0" xfId="0" applyNumberFormat="1" applyBorder="1"/>
    <xf numFmtId="5" fontId="11" fillId="27" borderId="272" xfId="0" applyNumberFormat="1" applyFont="1" applyFill="1" applyBorder="1" applyProtection="1"/>
    <xf numFmtId="6" fontId="11" fillId="27" borderId="272" xfId="0" applyNumberFormat="1" applyFont="1" applyFill="1" applyBorder="1" applyProtection="1"/>
    <xf numFmtId="5" fontId="11" fillId="27" borderId="283" xfId="0" applyNumberFormat="1" applyFont="1" applyFill="1" applyBorder="1" applyProtection="1"/>
    <xf numFmtId="6" fontId="28" fillId="27" borderId="284" xfId="28" applyNumberFormat="1" applyFont="1" applyFill="1" applyBorder="1" applyProtection="1"/>
    <xf numFmtId="38" fontId="11" fillId="27" borderId="272" xfId="0" applyNumberFormat="1" applyFont="1" applyFill="1" applyBorder="1" applyProtection="1"/>
    <xf numFmtId="38" fontId="11" fillId="27" borderId="69" xfId="0" applyNumberFormat="1" applyFont="1" applyFill="1" applyBorder="1" applyProtection="1"/>
    <xf numFmtId="38" fontId="11" fillId="27" borderId="283" xfId="0" applyNumberFormat="1" applyFont="1" applyFill="1" applyBorder="1" applyProtection="1"/>
    <xf numFmtId="0" fontId="14" fillId="41" borderId="21" xfId="0" quotePrefix="1" applyFont="1" applyFill="1" applyBorder="1" applyAlignment="1">
      <alignment horizontal="center"/>
    </xf>
    <xf numFmtId="0" fontId="14" fillId="41" borderId="195" xfId="0" applyFont="1" applyFill="1" applyBorder="1" applyAlignment="1">
      <alignment horizontal="left"/>
    </xf>
    <xf numFmtId="5" fontId="16" fillId="41" borderId="200" xfId="0" applyNumberFormat="1" applyFont="1" applyFill="1" applyBorder="1" applyAlignment="1" applyProtection="1"/>
    <xf numFmtId="5" fontId="16" fillId="41" borderId="189" xfId="0" applyNumberFormat="1" applyFont="1" applyFill="1" applyBorder="1" applyAlignment="1" applyProtection="1"/>
    <xf numFmtId="10" fontId="16" fillId="41" borderId="94" xfId="0" applyNumberFormat="1" applyFont="1" applyFill="1" applyBorder="1" applyProtection="1"/>
    <xf numFmtId="0" fontId="14" fillId="41" borderId="273" xfId="0" quotePrefix="1" applyFont="1" applyFill="1" applyBorder="1" applyAlignment="1">
      <alignment horizontal="center"/>
    </xf>
    <xf numFmtId="5" fontId="16" fillId="41" borderId="274" xfId="0" applyNumberFormat="1" applyFont="1" applyFill="1" applyBorder="1" applyAlignment="1" applyProtection="1"/>
    <xf numFmtId="5" fontId="16" fillId="41" borderId="275" xfId="0" applyNumberFormat="1" applyFont="1" applyFill="1" applyBorder="1" applyAlignment="1" applyProtection="1"/>
    <xf numFmtId="0" fontId="14" fillId="0" borderId="143" xfId="0" applyFont="1" applyFill="1" applyBorder="1" applyAlignment="1">
      <alignment horizontal="left" vertical="top" wrapText="1"/>
    </xf>
    <xf numFmtId="0" fontId="14" fillId="0" borderId="144" xfId="0" applyFont="1" applyFill="1" applyBorder="1" applyAlignment="1">
      <alignment horizontal="left" vertical="top" wrapText="1"/>
    </xf>
    <xf numFmtId="0" fontId="24" fillId="0" borderId="137" xfId="0" quotePrefix="1" applyFont="1" applyFill="1" applyBorder="1" applyAlignment="1">
      <alignment horizontal="left" vertical="center" wrapText="1"/>
    </xf>
    <xf numFmtId="0" fontId="24" fillId="0" borderId="138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/>
    </xf>
    <xf numFmtId="0" fontId="21" fillId="27" borderId="60" xfId="0" applyFont="1" applyFill="1" applyBorder="1" applyAlignment="1">
      <alignment horizontal="left" vertical="center" wrapText="1"/>
    </xf>
    <xf numFmtId="0" fontId="0" fillId="0" borderId="141" xfId="0" applyBorder="1" applyAlignment="1">
      <alignment horizontal="left" vertical="center" wrapText="1"/>
    </xf>
    <xf numFmtId="0" fontId="21" fillId="27" borderId="142" xfId="0" applyFont="1" applyFill="1" applyBorder="1" applyAlignment="1">
      <alignment horizontal="left" vertical="center" wrapText="1"/>
    </xf>
    <xf numFmtId="0" fontId="21" fillId="27" borderId="112" xfId="0" applyFont="1" applyFill="1" applyBorder="1" applyAlignment="1">
      <alignment horizontal="left" vertical="center" wrapText="1"/>
    </xf>
    <xf numFmtId="0" fontId="64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17" fillId="0" borderId="17" xfId="0" quotePrefix="1" applyFont="1" applyBorder="1" applyAlignment="1">
      <alignment horizontal="center" wrapText="1"/>
    </xf>
    <xf numFmtId="0" fontId="17" fillId="0" borderId="17" xfId="0" applyFont="1" applyBorder="1" applyAlignment="1">
      <alignment horizontal="center" wrapText="1"/>
    </xf>
    <xf numFmtId="0" fontId="59" fillId="27" borderId="136" xfId="0" applyFont="1" applyFill="1" applyBorder="1" applyAlignment="1">
      <alignment horizontal="center" vertical="center" wrapText="1"/>
    </xf>
    <xf numFmtId="0" fontId="25" fillId="27" borderId="49" xfId="0" applyFont="1" applyFill="1" applyBorder="1" applyAlignment="1">
      <alignment horizontal="center" vertical="center" wrapText="1"/>
    </xf>
    <xf numFmtId="0" fontId="25" fillId="27" borderId="23" xfId="0" applyFont="1" applyFill="1" applyBorder="1" applyAlignment="1">
      <alignment horizontal="center" vertical="center" wrapText="1"/>
    </xf>
    <xf numFmtId="0" fontId="24" fillId="27" borderId="136" xfId="0" quotePrefix="1" applyFont="1" applyFill="1" applyBorder="1" applyAlignment="1">
      <alignment horizontal="center" vertical="center" wrapText="1"/>
    </xf>
    <xf numFmtId="0" fontId="24" fillId="27" borderId="49" xfId="0" applyFont="1" applyFill="1" applyBorder="1" applyAlignment="1">
      <alignment horizontal="center" vertical="center" wrapText="1"/>
    </xf>
    <xf numFmtId="0" fontId="24" fillId="27" borderId="23" xfId="0" applyFont="1" applyFill="1" applyBorder="1" applyAlignment="1">
      <alignment horizontal="center" vertical="center" wrapText="1"/>
    </xf>
    <xf numFmtId="0" fontId="24" fillId="0" borderId="139" xfId="0" applyFont="1" applyFill="1" applyBorder="1" applyAlignment="1">
      <alignment horizontal="center" vertical="center" wrapText="1"/>
    </xf>
    <xf numFmtId="0" fontId="24" fillId="0" borderId="140" xfId="0" applyFont="1" applyFill="1" applyBorder="1" applyAlignment="1">
      <alignment horizontal="center" vertical="center"/>
    </xf>
    <xf numFmtId="0" fontId="24" fillId="0" borderId="107" xfId="0" applyFont="1" applyFill="1" applyBorder="1" applyAlignment="1">
      <alignment horizontal="center" vertical="center"/>
    </xf>
    <xf numFmtId="0" fontId="59" fillId="27" borderId="148" xfId="0" applyFont="1" applyFill="1" applyBorder="1" applyAlignment="1">
      <alignment horizontal="center" vertical="center" wrapText="1"/>
    </xf>
    <xf numFmtId="0" fontId="59" fillId="27" borderId="24" xfId="0" applyFont="1" applyFill="1" applyBorder="1" applyAlignment="1">
      <alignment horizontal="center" vertical="center" wrapText="1"/>
    </xf>
    <xf numFmtId="0" fontId="59" fillId="27" borderId="149" xfId="0" applyFont="1" applyFill="1" applyBorder="1" applyAlignment="1">
      <alignment horizontal="center" vertical="center" wrapText="1"/>
    </xf>
    <xf numFmtId="0" fontId="59" fillId="27" borderId="25" xfId="0" applyFont="1" applyFill="1" applyBorder="1" applyAlignment="1">
      <alignment horizontal="center" vertical="center" wrapText="1"/>
    </xf>
    <xf numFmtId="0" fontId="59" fillId="27" borderId="150" xfId="0" applyFont="1" applyFill="1" applyBorder="1" applyAlignment="1">
      <alignment horizontal="center" vertical="center" wrapText="1"/>
    </xf>
    <xf numFmtId="0" fontId="59" fillId="27" borderId="151" xfId="0" applyFont="1" applyFill="1" applyBorder="1" applyAlignment="1">
      <alignment horizontal="center" vertical="center" wrapText="1"/>
    </xf>
    <xf numFmtId="0" fontId="76" fillId="39" borderId="259" xfId="0" applyFont="1" applyFill="1" applyBorder="1" applyAlignment="1">
      <alignment horizontal="center"/>
    </xf>
    <xf numFmtId="0" fontId="76" fillId="39" borderId="257" xfId="0" applyFont="1" applyFill="1" applyBorder="1" applyAlignment="1">
      <alignment horizontal="center"/>
    </xf>
    <xf numFmtId="0" fontId="76" fillId="39" borderId="260" xfId="0" applyFont="1" applyFill="1" applyBorder="1" applyAlignment="1">
      <alignment horizontal="center"/>
    </xf>
    <xf numFmtId="0" fontId="0" fillId="0" borderId="0" xfId="0" applyBorder="1" applyAlignment="1">
      <alignment horizontal="left" vertical="top" wrapText="1"/>
    </xf>
    <xf numFmtId="0" fontId="0" fillId="0" borderId="8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244" xfId="0" applyBorder="1" applyAlignment="1">
      <alignment horizontal="center" wrapText="1"/>
    </xf>
    <xf numFmtId="0" fontId="0" fillId="0" borderId="245" xfId="0" applyBorder="1" applyAlignment="1">
      <alignment horizontal="center" wrapText="1"/>
    </xf>
    <xf numFmtId="0" fontId="0" fillId="0" borderId="246" xfId="0" applyBorder="1" applyAlignment="1">
      <alignment horizontal="center" wrapText="1"/>
    </xf>
    <xf numFmtId="0" fontId="28" fillId="35" borderId="10" xfId="0" applyFont="1" applyFill="1" applyBorder="1" applyAlignment="1">
      <alignment horizontal="center" vertical="center" wrapText="1"/>
    </xf>
    <xf numFmtId="0" fontId="28" fillId="35" borderId="11" xfId="0" applyFont="1" applyFill="1" applyBorder="1" applyAlignment="1">
      <alignment horizontal="center" vertical="center" wrapText="1"/>
    </xf>
    <xf numFmtId="0" fontId="28" fillId="35" borderId="13" xfId="0" applyFont="1" applyFill="1" applyBorder="1" applyAlignment="1">
      <alignment horizontal="center" vertical="center" wrapText="1"/>
    </xf>
    <xf numFmtId="0" fontId="28" fillId="31" borderId="26" xfId="0" applyFont="1" applyFill="1" applyBorder="1" applyAlignment="1">
      <alignment horizontal="center" vertical="center" wrapText="1"/>
    </xf>
    <xf numFmtId="0" fontId="28" fillId="57" borderId="255" xfId="0" applyFont="1" applyFill="1" applyBorder="1" applyAlignment="1">
      <alignment horizontal="center" vertical="center" wrapText="1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3" xfId="0" applyFont="1" applyFill="1" applyBorder="1" applyAlignment="1">
      <alignment horizontal="center" vertical="center" wrapText="1"/>
    </xf>
    <xf numFmtId="0" fontId="28" fillId="27" borderId="255" xfId="0" applyFont="1" applyFill="1" applyBorder="1" applyAlignment="1">
      <alignment horizontal="center" vertical="center" wrapText="1"/>
    </xf>
    <xf numFmtId="0" fontId="28" fillId="27" borderId="11" xfId="0" applyFont="1" applyFill="1" applyBorder="1" applyAlignment="1">
      <alignment horizontal="center" vertical="center" wrapText="1"/>
    </xf>
    <xf numFmtId="0" fontId="28" fillId="27" borderId="13" xfId="0" applyFont="1" applyFill="1" applyBorder="1" applyAlignment="1">
      <alignment horizontal="center" vertical="center" wrapText="1"/>
    </xf>
    <xf numFmtId="0" fontId="28" fillId="64" borderId="255" xfId="0" applyFont="1" applyFill="1" applyBorder="1" applyAlignment="1">
      <alignment horizontal="center" vertical="center" wrapText="1"/>
    </xf>
    <xf numFmtId="0" fontId="28" fillId="64" borderId="11" xfId="0" applyFont="1" applyFill="1" applyBorder="1" applyAlignment="1">
      <alignment horizontal="center" vertical="center" wrapText="1"/>
    </xf>
    <xf numFmtId="0" fontId="28" fillId="64" borderId="13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28" fillId="27" borderId="26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 applyProtection="1">
      <alignment horizontal="center" vertical="center"/>
    </xf>
    <xf numFmtId="0" fontId="28" fillId="25" borderId="11" xfId="0" applyFont="1" applyFill="1" applyBorder="1" applyAlignment="1" applyProtection="1">
      <alignment horizontal="center" vertical="center"/>
    </xf>
    <xf numFmtId="0" fontId="28" fillId="25" borderId="13" xfId="0" applyFont="1" applyFill="1" applyBorder="1" applyAlignment="1" applyProtection="1">
      <alignment horizontal="center" vertical="center"/>
    </xf>
    <xf numFmtId="0" fontId="13" fillId="25" borderId="26" xfId="0" applyFont="1" applyFill="1" applyBorder="1" applyAlignment="1">
      <alignment horizontal="center" vertical="center" wrapText="1"/>
    </xf>
    <xf numFmtId="0" fontId="28" fillId="27" borderId="10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 applyProtection="1">
      <alignment horizontal="center" vertical="center" wrapText="1"/>
    </xf>
    <xf numFmtId="0" fontId="76" fillId="25" borderId="36" xfId="0" applyFont="1" applyFill="1" applyBorder="1" applyAlignment="1">
      <alignment horizontal="center"/>
    </xf>
    <xf numFmtId="0" fontId="76" fillId="25" borderId="50" xfId="0" applyFont="1" applyFill="1" applyBorder="1" applyAlignment="1">
      <alignment horizontal="center"/>
    </xf>
    <xf numFmtId="0" fontId="76" fillId="25" borderId="42" xfId="0" applyFont="1" applyFill="1" applyBorder="1" applyAlignment="1">
      <alignment horizontal="center"/>
    </xf>
    <xf numFmtId="16" fontId="28" fillId="57" borderId="255" xfId="0" applyNumberFormat="1" applyFont="1" applyFill="1" applyBorder="1" applyAlignment="1">
      <alignment horizontal="center" vertical="center" wrapText="1"/>
    </xf>
    <xf numFmtId="0" fontId="28" fillId="39" borderId="255" xfId="0" applyFont="1" applyFill="1" applyBorder="1" applyAlignment="1">
      <alignment horizontal="center" vertical="center" wrapText="1"/>
    </xf>
    <xf numFmtId="0" fontId="28" fillId="39" borderId="11" xfId="0" applyFont="1" applyFill="1" applyBorder="1" applyAlignment="1">
      <alignment horizontal="center" vertical="center" wrapText="1"/>
    </xf>
    <xf numFmtId="0" fontId="28" fillId="39" borderId="13" xfId="0" applyFont="1" applyFill="1" applyBorder="1" applyAlignment="1">
      <alignment horizontal="center" vertical="center" wrapText="1"/>
    </xf>
    <xf numFmtId="0" fontId="28" fillId="74" borderId="255" xfId="0" applyFont="1" applyFill="1" applyBorder="1" applyAlignment="1">
      <alignment horizontal="center" vertical="center" wrapText="1"/>
    </xf>
    <xf numFmtId="0" fontId="28" fillId="74" borderId="11" xfId="0" applyFont="1" applyFill="1" applyBorder="1" applyAlignment="1">
      <alignment horizontal="center" vertical="center" wrapText="1"/>
    </xf>
    <xf numFmtId="0" fontId="28" fillId="74" borderId="1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28" fillId="43" borderId="10" xfId="0" applyFont="1" applyFill="1" applyBorder="1" applyAlignment="1">
      <alignment horizontal="center" vertical="center" wrapText="1"/>
    </xf>
    <xf numFmtId="0" fontId="28" fillId="43" borderId="11" xfId="0" applyFont="1" applyFill="1" applyBorder="1" applyAlignment="1">
      <alignment horizontal="center" vertical="center" wrapText="1"/>
    </xf>
    <xf numFmtId="0" fontId="28" fillId="43" borderId="13" xfId="0" applyFont="1" applyFill="1" applyBorder="1" applyAlignment="1">
      <alignment horizontal="center" vertical="center" wrapText="1"/>
    </xf>
    <xf numFmtId="0" fontId="28" fillId="53" borderId="10" xfId="0" applyFont="1" applyFill="1" applyBorder="1" applyAlignment="1">
      <alignment horizontal="center" vertical="center" wrapText="1"/>
    </xf>
    <xf numFmtId="0" fontId="28" fillId="53" borderId="11" xfId="0" applyFont="1" applyFill="1" applyBorder="1" applyAlignment="1">
      <alignment horizontal="center" vertical="center" wrapText="1"/>
    </xf>
    <xf numFmtId="0" fontId="28" fillId="53" borderId="13" xfId="0" applyFont="1" applyFill="1" applyBorder="1" applyAlignment="1">
      <alignment horizontal="center" vertical="center" wrapText="1"/>
    </xf>
    <xf numFmtId="0" fontId="28" fillId="61" borderId="10" xfId="0" applyFont="1" applyFill="1" applyBorder="1" applyAlignment="1">
      <alignment horizontal="center" vertical="center" wrapText="1"/>
    </xf>
    <xf numFmtId="0" fontId="28" fillId="61" borderId="11" xfId="0" applyFont="1" applyFill="1" applyBorder="1" applyAlignment="1">
      <alignment horizontal="center" vertical="center" wrapText="1"/>
    </xf>
    <xf numFmtId="0" fontId="28" fillId="61" borderId="13" xfId="0" applyFont="1" applyFill="1" applyBorder="1" applyAlignment="1">
      <alignment horizontal="center" vertical="center" wrapText="1"/>
    </xf>
    <xf numFmtId="0" fontId="121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11" fillId="0" borderId="0" xfId="0" applyFont="1" applyFill="1" applyBorder="1" applyAlignment="1">
      <alignment horizontal="left" wrapText="1"/>
    </xf>
    <xf numFmtId="0" fontId="12" fillId="31" borderId="36" xfId="0" applyFont="1" applyFill="1" applyBorder="1" applyAlignment="1">
      <alignment horizontal="center"/>
    </xf>
    <xf numFmtId="0" fontId="12" fillId="31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0" fontId="50" fillId="0" borderId="0" xfId="0" applyFont="1" applyAlignment="1">
      <alignment horizontal="left"/>
    </xf>
    <xf numFmtId="0" fontId="44" fillId="31" borderId="84" xfId="0" applyFont="1" applyFill="1" applyBorder="1" applyAlignment="1">
      <alignment horizontal="center"/>
    </xf>
    <xf numFmtId="0" fontId="44" fillId="31" borderId="37" xfId="0" applyFont="1" applyFill="1" applyBorder="1" applyAlignment="1">
      <alignment horizontal="center"/>
    </xf>
    <xf numFmtId="0" fontId="44" fillId="31" borderId="74" xfId="0" applyFont="1" applyFill="1" applyBorder="1" applyAlignment="1">
      <alignment horizontal="center"/>
    </xf>
    <xf numFmtId="7" fontId="60" fillId="0" borderId="0" xfId="32" applyNumberFormat="1" applyFont="1" applyAlignment="1">
      <alignment horizontal="center" wrapText="1"/>
    </xf>
    <xf numFmtId="0" fontId="34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vertical="center" wrapText="1"/>
    </xf>
    <xf numFmtId="0" fontId="44" fillId="36" borderId="84" xfId="0" applyFont="1" applyFill="1" applyBorder="1" applyAlignment="1">
      <alignment horizontal="center"/>
    </xf>
    <xf numFmtId="0" fontId="44" fillId="36" borderId="37" xfId="0" applyFont="1" applyFill="1" applyBorder="1" applyAlignment="1">
      <alignment horizontal="center"/>
    </xf>
    <xf numFmtId="0" fontId="44" fillId="36" borderId="74" xfId="0" applyFont="1" applyFill="1" applyBorder="1" applyAlignment="1">
      <alignment horizontal="center"/>
    </xf>
    <xf numFmtId="6" fontId="98" fillId="0" borderId="135" xfId="0" applyNumberFormat="1" applyFont="1" applyFill="1" applyBorder="1" applyAlignment="1" applyProtection="1">
      <alignment horizontal="center" vertical="top" wrapText="1"/>
    </xf>
    <xf numFmtId="6" fontId="98" fillId="0" borderId="0" xfId="0" applyNumberFormat="1" applyFont="1" applyFill="1" applyBorder="1" applyAlignment="1" applyProtection="1">
      <alignment horizontal="center" vertical="top" wrapText="1"/>
    </xf>
    <xf numFmtId="0" fontId="69" fillId="27" borderId="36" xfId="0" applyFont="1" applyFill="1" applyBorder="1" applyAlignment="1">
      <alignment horizontal="center" vertical="center" wrapText="1"/>
    </xf>
    <xf numFmtId="0" fontId="69" fillId="27" borderId="42" xfId="0" applyFont="1" applyFill="1" applyBorder="1" applyAlignment="1">
      <alignment horizontal="center" vertical="center" wrapText="1"/>
    </xf>
    <xf numFmtId="0" fontId="28" fillId="25" borderId="26" xfId="0" applyFont="1" applyFill="1" applyBorder="1" applyAlignment="1" applyProtection="1">
      <alignment horizontal="center" vertical="center" wrapText="1"/>
    </xf>
    <xf numFmtId="0" fontId="28" fillId="25" borderId="26" xfId="0" applyFont="1" applyFill="1" applyBorder="1" applyAlignment="1" applyProtection="1">
      <alignment horizontal="center" vertical="center"/>
    </xf>
    <xf numFmtId="0" fontId="28" fillId="25" borderId="36" xfId="0" applyFont="1" applyFill="1" applyBorder="1" applyAlignment="1" applyProtection="1">
      <alignment horizontal="center" vertical="center" wrapText="1"/>
    </xf>
    <xf numFmtId="0" fontId="49" fillId="25" borderId="10" xfId="0" applyFont="1" applyFill="1" applyBorder="1" applyAlignment="1">
      <alignment horizontal="center" vertical="center" wrapText="1"/>
    </xf>
    <xf numFmtId="0" fontId="49" fillId="25" borderId="13" xfId="0" applyFont="1" applyFill="1" applyBorder="1" applyAlignment="1">
      <alignment horizontal="center" vertical="center" wrapText="1"/>
    </xf>
    <xf numFmtId="0" fontId="28" fillId="25" borderId="13" xfId="0" quotePrefix="1" applyFont="1" applyFill="1" applyBorder="1" applyAlignment="1">
      <alignment horizontal="center" vertical="center" wrapText="1"/>
    </xf>
    <xf numFmtId="0" fontId="28" fillId="57" borderId="10" xfId="0" applyFont="1" applyFill="1" applyBorder="1" applyAlignment="1">
      <alignment horizontal="center" vertical="center" wrapText="1"/>
    </xf>
    <xf numFmtId="0" fontId="28" fillId="57" borderId="13" xfId="0" applyFont="1" applyFill="1" applyBorder="1" applyAlignment="1">
      <alignment horizontal="center" vertical="center" wrapText="1"/>
    </xf>
    <xf numFmtId="0" fontId="69" fillId="27" borderId="10" xfId="0" applyFont="1" applyFill="1" applyBorder="1" applyAlignment="1">
      <alignment horizontal="center" vertical="center" wrapText="1"/>
    </xf>
    <xf numFmtId="0" fontId="69" fillId="62" borderId="36" xfId="0" applyFont="1" applyFill="1" applyBorder="1" applyAlignment="1" applyProtection="1">
      <alignment horizontal="center" vertical="center" wrapText="1"/>
    </xf>
    <xf numFmtId="0" fontId="69" fillId="62" borderId="50" xfId="0" applyFont="1" applyFill="1" applyBorder="1" applyAlignment="1" applyProtection="1">
      <alignment horizontal="center" vertical="center" wrapText="1"/>
    </xf>
    <xf numFmtId="0" fontId="69" fillId="62" borderId="42" xfId="0" applyFont="1" applyFill="1" applyBorder="1" applyAlignment="1" applyProtection="1">
      <alignment horizontal="center" vertical="center" wrapText="1"/>
    </xf>
    <xf numFmtId="0" fontId="69" fillId="37" borderId="36" xfId="0" applyFont="1" applyFill="1" applyBorder="1" applyAlignment="1" applyProtection="1">
      <alignment horizontal="center" vertical="center" wrapText="1"/>
    </xf>
    <xf numFmtId="0" fontId="69" fillId="37" borderId="42" xfId="0" quotePrefix="1" applyFont="1" applyFill="1" applyBorder="1" applyAlignment="1" applyProtection="1">
      <alignment horizontal="center" vertical="center" wrapText="1"/>
    </xf>
    <xf numFmtId="0" fontId="70" fillId="27" borderId="42" xfId="0" applyFont="1" applyFill="1" applyBorder="1" applyAlignment="1">
      <alignment horizontal="center" vertical="center" wrapText="1"/>
    </xf>
    <xf numFmtId="0" fontId="28" fillId="25" borderId="10" xfId="0" quotePrefix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28" fillId="29" borderId="10" xfId="0" quotePrefix="1" applyFont="1" applyFill="1" applyBorder="1" applyAlignment="1">
      <alignment horizontal="center" vertical="center" wrapText="1"/>
    </xf>
    <xf numFmtId="0" fontId="28" fillId="29" borderId="13" xfId="0" quotePrefix="1" applyFont="1" applyFill="1" applyBorder="1" applyAlignment="1">
      <alignment horizontal="center" vertical="center" wrapText="1"/>
    </xf>
    <xf numFmtId="0" fontId="28" fillId="27" borderId="10" xfId="0" quotePrefix="1" applyFont="1" applyFill="1" applyBorder="1" applyAlignment="1">
      <alignment horizontal="center" vertical="center" wrapText="1"/>
    </xf>
    <xf numFmtId="0" fontId="28" fillId="27" borderId="13" xfId="0" quotePrefix="1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left" vertical="top" wrapText="1"/>
    </xf>
    <xf numFmtId="0" fontId="69" fillId="72" borderId="281" xfId="0" applyFont="1" applyFill="1" applyBorder="1" applyAlignment="1" applyProtection="1">
      <alignment horizontal="center" vertical="center" wrapText="1"/>
    </xf>
    <xf numFmtId="0" fontId="69" fillId="72" borderId="278" xfId="0" applyFont="1" applyFill="1" applyBorder="1" applyAlignment="1" applyProtection="1">
      <alignment horizontal="center" vertical="center" wrapText="1"/>
    </xf>
    <xf numFmtId="0" fontId="69" fillId="72" borderId="282" xfId="0" applyFont="1" applyFill="1" applyBorder="1" applyAlignment="1" applyProtection="1">
      <alignment horizontal="center" vertical="center" wrapText="1"/>
    </xf>
    <xf numFmtId="0" fontId="28" fillId="25" borderId="279" xfId="0" applyFont="1" applyFill="1" applyBorder="1" applyAlignment="1">
      <alignment horizontal="center" vertical="center" wrapText="1"/>
    </xf>
    <xf numFmtId="0" fontId="28" fillId="27" borderId="279" xfId="0" applyFont="1" applyFill="1" applyBorder="1" applyAlignment="1">
      <alignment horizontal="center" vertical="center" wrapText="1"/>
    </xf>
    <xf numFmtId="0" fontId="28" fillId="58" borderId="279" xfId="0" applyFont="1" applyFill="1" applyBorder="1" applyAlignment="1">
      <alignment horizontal="center" vertical="center" wrapText="1"/>
    </xf>
    <xf numFmtId="0" fontId="28" fillId="58" borderId="13" xfId="0" applyFont="1" applyFill="1" applyBorder="1" applyAlignment="1">
      <alignment horizontal="center" vertical="center" wrapText="1"/>
    </xf>
    <xf numFmtId="0" fontId="69" fillId="45" borderId="14" xfId="0" applyFont="1" applyFill="1" applyBorder="1" applyAlignment="1" applyProtection="1">
      <alignment horizontal="center" vertical="center" wrapText="1"/>
    </xf>
    <xf numFmtId="0" fontId="28" fillId="29" borderId="279" xfId="0" applyFont="1" applyFill="1" applyBorder="1" applyAlignment="1">
      <alignment horizontal="center" vertical="center" wrapText="1"/>
    </xf>
    <xf numFmtId="0" fontId="28" fillId="29" borderId="13" xfId="0" applyFont="1" applyFill="1" applyBorder="1" applyAlignment="1">
      <alignment horizontal="center" vertical="center" wrapText="1"/>
    </xf>
    <xf numFmtId="0" fontId="28" fillId="27" borderId="272" xfId="0" applyFont="1" applyFill="1" applyBorder="1" applyAlignment="1">
      <alignment horizontal="center" vertical="center" wrapText="1"/>
    </xf>
    <xf numFmtId="0" fontId="28" fillId="29" borderId="272" xfId="0" applyFont="1" applyFill="1" applyBorder="1" applyAlignment="1">
      <alignment horizontal="center" vertical="center" wrapText="1"/>
    </xf>
    <xf numFmtId="0" fontId="28" fillId="58" borderId="10" xfId="0" applyFont="1" applyFill="1" applyBorder="1" applyAlignment="1">
      <alignment horizontal="center" vertical="center" wrapText="1"/>
    </xf>
    <xf numFmtId="0" fontId="28" fillId="29" borderId="10" xfId="0" applyFont="1" applyFill="1" applyBorder="1" applyAlignment="1">
      <alignment horizontal="center" vertical="center" wrapText="1"/>
    </xf>
    <xf numFmtId="0" fontId="69" fillId="72" borderId="36" xfId="0" applyFont="1" applyFill="1" applyBorder="1" applyAlignment="1" applyProtection="1">
      <alignment horizontal="center" vertical="center" wrapText="1"/>
    </xf>
    <xf numFmtId="0" fontId="69" fillId="72" borderId="50" xfId="0" applyFont="1" applyFill="1" applyBorder="1" applyAlignment="1" applyProtection="1">
      <alignment horizontal="center" vertical="center" wrapText="1"/>
    </xf>
    <xf numFmtId="0" fontId="69" fillId="72" borderId="42" xfId="0" applyFont="1" applyFill="1" applyBorder="1" applyAlignment="1" applyProtection="1">
      <alignment horizontal="center" vertical="center" wrapText="1"/>
    </xf>
    <xf numFmtId="49" fontId="69" fillId="27" borderId="259" xfId="53" applyNumberFormat="1" applyFont="1" applyFill="1" applyBorder="1" applyAlignment="1">
      <alignment horizontal="center" vertical="center" wrapText="1"/>
    </xf>
    <xf numFmtId="49" fontId="69" fillId="27" borderId="257" xfId="53" applyNumberFormat="1" applyFont="1" applyFill="1" applyBorder="1" applyAlignment="1">
      <alignment horizontal="center" vertical="center" wrapText="1"/>
    </xf>
    <xf numFmtId="49" fontId="69" fillId="27" borderId="260" xfId="53" applyNumberFormat="1" applyFont="1" applyFill="1" applyBorder="1" applyAlignment="1">
      <alignment horizontal="center" vertical="center" wrapText="1"/>
    </xf>
    <xf numFmtId="0" fontId="28" fillId="59" borderId="259" xfId="0" applyFont="1" applyFill="1" applyBorder="1" applyAlignment="1">
      <alignment horizontal="center" vertical="center" wrapText="1"/>
    </xf>
    <xf numFmtId="0" fontId="28" fillId="59" borderId="257" xfId="0" applyFont="1" applyFill="1" applyBorder="1" applyAlignment="1">
      <alignment horizontal="center" vertical="center" wrapText="1"/>
    </xf>
    <xf numFmtId="0" fontId="28" fillId="59" borderId="260" xfId="0" applyFont="1" applyFill="1" applyBorder="1" applyAlignment="1">
      <alignment horizontal="center" vertical="center" wrapText="1"/>
    </xf>
    <xf numFmtId="0" fontId="28" fillId="25" borderId="33" xfId="53" applyFont="1" applyFill="1" applyBorder="1" applyAlignment="1" applyProtection="1">
      <alignment horizontal="center" vertical="center" wrapText="1"/>
    </xf>
    <xf numFmtId="0" fontId="28" fillId="25" borderId="43" xfId="53" applyFont="1" applyFill="1" applyBorder="1" applyAlignment="1" applyProtection="1">
      <alignment horizontal="center" vertical="center" wrapText="1"/>
    </xf>
    <xf numFmtId="0" fontId="28" fillId="25" borderId="34" xfId="53" applyFont="1" applyFill="1" applyBorder="1" applyAlignment="1" applyProtection="1">
      <alignment horizontal="center" vertical="center" wrapText="1"/>
    </xf>
    <xf numFmtId="0" fontId="28" fillId="25" borderId="44" xfId="53" applyFont="1" applyFill="1" applyBorder="1" applyAlignment="1" applyProtection="1">
      <alignment horizontal="center" vertical="center" wrapText="1"/>
    </xf>
    <xf numFmtId="0" fontId="28" fillId="25" borderId="35" xfId="53" applyFont="1" applyFill="1" applyBorder="1" applyAlignment="1" applyProtection="1">
      <alignment horizontal="center" vertical="center" wrapText="1"/>
    </xf>
    <xf numFmtId="0" fontId="28" fillId="25" borderId="77" xfId="53" applyFont="1" applyFill="1" applyBorder="1" applyAlignment="1" applyProtection="1">
      <alignment horizontal="center" vertical="center" wrapText="1"/>
    </xf>
    <xf numFmtId="49" fontId="28" fillId="42" borderId="10" xfId="53" applyNumberFormat="1" applyFont="1" applyFill="1" applyBorder="1" applyAlignment="1">
      <alignment horizontal="center" vertical="center" wrapText="1"/>
    </xf>
    <xf numFmtId="49" fontId="28" fillId="42" borderId="13" xfId="53" applyNumberFormat="1" applyFont="1" applyFill="1" applyBorder="1" applyAlignment="1">
      <alignment horizontal="center" vertical="center" wrapText="1"/>
    </xf>
    <xf numFmtId="49" fontId="28" fillId="42" borderId="26" xfId="53" applyNumberFormat="1" applyFont="1" applyFill="1" applyBorder="1" applyAlignment="1">
      <alignment horizontal="center" vertical="center" wrapText="1"/>
    </xf>
    <xf numFmtId="49" fontId="28" fillId="44" borderId="10" xfId="53" applyNumberFormat="1" applyFont="1" applyFill="1" applyBorder="1" applyAlignment="1">
      <alignment horizontal="center" vertical="center" wrapText="1"/>
    </xf>
    <xf numFmtId="49" fontId="28" fillId="44" borderId="11" xfId="53" applyNumberFormat="1" applyFont="1" applyFill="1" applyBorder="1" applyAlignment="1">
      <alignment horizontal="center" vertical="center" wrapText="1"/>
    </xf>
    <xf numFmtId="49" fontId="28" fillId="44" borderId="13" xfId="53" applyNumberFormat="1" applyFont="1" applyFill="1" applyBorder="1" applyAlignment="1">
      <alignment horizontal="center" vertical="center" wrapText="1"/>
    </xf>
    <xf numFmtId="49" fontId="28" fillId="43" borderId="10" xfId="53" applyNumberFormat="1" applyFont="1" applyFill="1" applyBorder="1" applyAlignment="1">
      <alignment horizontal="center" vertical="center" wrapText="1"/>
    </xf>
    <xf numFmtId="49" fontId="28" fillId="43" borderId="13" xfId="53" applyNumberFormat="1" applyFont="1" applyFill="1" applyBorder="1" applyAlignment="1">
      <alignment horizontal="center" vertical="center" wrapText="1"/>
    </xf>
    <xf numFmtId="49" fontId="28" fillId="43" borderId="11" xfId="53" applyNumberFormat="1" applyFont="1" applyFill="1" applyBorder="1" applyAlignment="1">
      <alignment horizontal="center" vertical="center" wrapText="1"/>
    </xf>
    <xf numFmtId="49" fontId="69" fillId="27" borderId="36" xfId="53" applyNumberFormat="1" applyFont="1" applyFill="1" applyBorder="1" applyAlignment="1">
      <alignment horizontal="center" vertical="center" wrapText="1"/>
    </xf>
    <xf numFmtId="49" fontId="69" fillId="27" borderId="50" xfId="53" applyNumberFormat="1" applyFont="1" applyFill="1" applyBorder="1" applyAlignment="1">
      <alignment horizontal="center" vertical="center" wrapText="1"/>
    </xf>
    <xf numFmtId="0" fontId="28" fillId="59" borderId="255" xfId="0" applyFont="1" applyFill="1" applyBorder="1" applyAlignment="1">
      <alignment horizontal="center" vertical="center" wrapText="1"/>
    </xf>
    <xf numFmtId="0" fontId="0" fillId="59" borderId="13" xfId="0" applyFill="1" applyBorder="1"/>
    <xf numFmtId="49" fontId="28" fillId="42" borderId="255" xfId="53" applyNumberFormat="1" applyFont="1" applyFill="1" applyBorder="1" applyAlignment="1">
      <alignment horizontal="center" vertical="center" wrapText="1"/>
    </xf>
    <xf numFmtId="0" fontId="0" fillId="0" borderId="13" xfId="0" applyBorder="1"/>
    <xf numFmtId="49" fontId="69" fillId="55" borderId="36" xfId="53" applyNumberFormat="1" applyFont="1" applyFill="1" applyBorder="1" applyAlignment="1">
      <alignment horizontal="center" vertical="center" wrapText="1"/>
    </xf>
    <xf numFmtId="49" fontId="69" fillId="55" borderId="50" xfId="53" applyNumberFormat="1" applyFont="1" applyFill="1" applyBorder="1" applyAlignment="1">
      <alignment horizontal="center" vertical="center" wrapText="1"/>
    </xf>
    <xf numFmtId="49" fontId="69" fillId="55" borderId="42" xfId="53" applyNumberFormat="1" applyFont="1" applyFill="1" applyBorder="1" applyAlignment="1">
      <alignment horizontal="center" vertical="center" wrapText="1"/>
    </xf>
    <xf numFmtId="49" fontId="28" fillId="43" borderId="10" xfId="53" applyNumberFormat="1" applyFont="1" applyFill="1" applyBorder="1" applyAlignment="1">
      <alignment horizontal="center" wrapText="1"/>
    </xf>
    <xf numFmtId="49" fontId="28" fillId="43" borderId="13" xfId="53" applyNumberFormat="1" applyFont="1" applyFill="1" applyBorder="1" applyAlignment="1">
      <alignment horizontal="center" wrapText="1"/>
    </xf>
    <xf numFmtId="49" fontId="28" fillId="64" borderId="10" xfId="53" applyNumberFormat="1" applyFont="1" applyFill="1" applyBorder="1" applyAlignment="1">
      <alignment horizontal="center" vertical="center" wrapText="1"/>
    </xf>
    <xf numFmtId="49" fontId="28" fillId="64" borderId="13" xfId="53" applyNumberFormat="1" applyFont="1" applyFill="1" applyBorder="1" applyAlignment="1">
      <alignment horizontal="center" vertical="center" wrapText="1"/>
    </xf>
    <xf numFmtId="49" fontId="28" fillId="64" borderId="26" xfId="53" applyNumberFormat="1" applyFont="1" applyFill="1" applyBorder="1" applyAlignment="1">
      <alignment horizontal="center" vertical="center" wrapText="1"/>
    </xf>
    <xf numFmtId="49" fontId="28" fillId="43" borderId="11" xfId="53" applyNumberFormat="1" applyFont="1" applyFill="1" applyBorder="1" applyAlignment="1">
      <alignment horizontal="center" wrapText="1"/>
    </xf>
    <xf numFmtId="0" fontId="28" fillId="59" borderId="13" xfId="0" applyFont="1" applyFill="1" applyBorder="1" applyAlignment="1">
      <alignment horizontal="center" vertical="center" wrapText="1"/>
    </xf>
    <xf numFmtId="0" fontId="69" fillId="40" borderId="259" xfId="0" applyFont="1" applyFill="1" applyBorder="1" applyAlignment="1">
      <alignment horizontal="center" vertical="center" wrapText="1"/>
    </xf>
    <xf numFmtId="0" fontId="69" fillId="40" borderId="257" xfId="0" applyFont="1" applyFill="1" applyBorder="1" applyAlignment="1">
      <alignment horizontal="center" vertical="center" wrapText="1"/>
    </xf>
    <xf numFmtId="0" fontId="69" fillId="40" borderId="260" xfId="0" applyFont="1" applyFill="1" applyBorder="1" applyAlignment="1">
      <alignment horizontal="center" vertical="center" wrapText="1"/>
    </xf>
    <xf numFmtId="0" fontId="69" fillId="31" borderId="259" xfId="0" applyFont="1" applyFill="1" applyBorder="1" applyAlignment="1">
      <alignment horizontal="center" vertical="center" wrapText="1"/>
    </xf>
    <xf numFmtId="0" fontId="38" fillId="31" borderId="257" xfId="0" quotePrefix="1" applyFont="1" applyFill="1" applyBorder="1" applyAlignment="1">
      <alignment horizontal="center" vertical="center" wrapText="1"/>
    </xf>
    <xf numFmtId="0" fontId="38" fillId="31" borderId="260" xfId="0" quotePrefix="1" applyFont="1" applyFill="1" applyBorder="1" applyAlignment="1">
      <alignment horizontal="center" vertical="center" wrapText="1"/>
    </xf>
    <xf numFmtId="0" fontId="28" fillId="56" borderId="255" xfId="0" applyFont="1" applyFill="1" applyBorder="1" applyAlignment="1">
      <alignment horizontal="center" vertical="center" wrapText="1"/>
    </xf>
    <xf numFmtId="0" fontId="28" fillId="56" borderId="13" xfId="0" applyFont="1" applyFill="1" applyBorder="1" applyAlignment="1">
      <alignment horizontal="center" vertical="center" wrapText="1"/>
    </xf>
    <xf numFmtId="0" fontId="28" fillId="55" borderId="255" xfId="0" applyFont="1" applyFill="1" applyBorder="1" applyAlignment="1">
      <alignment horizontal="center" vertical="center" wrapText="1"/>
    </xf>
    <xf numFmtId="0" fontId="28" fillId="55" borderId="13" xfId="0" applyFont="1" applyFill="1" applyBorder="1" applyAlignment="1">
      <alignment horizontal="center" vertical="center" wrapText="1"/>
    </xf>
    <xf numFmtId="0" fontId="28" fillId="35" borderId="256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/>
    </xf>
    <xf numFmtId="17" fontId="28" fillId="25" borderId="0" xfId="0" applyNumberFormat="1" applyFont="1" applyFill="1" applyBorder="1" applyAlignment="1">
      <alignment horizontal="center" vertical="center" wrapText="1"/>
    </xf>
    <xf numFmtId="0" fontId="28" fillId="73" borderId="255" xfId="0" applyFont="1" applyFill="1" applyBorder="1" applyAlignment="1">
      <alignment horizontal="center" vertical="center" wrapText="1"/>
    </xf>
    <xf numFmtId="0" fontId="28" fillId="73" borderId="13" xfId="0" applyFont="1" applyFill="1" applyBorder="1" applyAlignment="1">
      <alignment horizontal="center" vertical="center" wrapText="1"/>
    </xf>
    <xf numFmtId="0" fontId="28" fillId="28" borderId="0" xfId="0" applyFont="1" applyFill="1" applyBorder="1" applyAlignment="1">
      <alignment horizontal="center" vertical="center" wrapText="1"/>
    </xf>
    <xf numFmtId="0" fontId="129" fillId="25" borderId="10" xfId="0" applyFont="1" applyFill="1" applyBorder="1" applyAlignment="1">
      <alignment horizontal="center" vertical="center" wrapText="1"/>
    </xf>
    <xf numFmtId="0" fontId="129" fillId="25" borderId="13" xfId="0" applyFont="1" applyFill="1" applyBorder="1" applyAlignment="1">
      <alignment horizontal="center" vertical="center" wrapText="1"/>
    </xf>
    <xf numFmtId="0" fontId="129" fillId="27" borderId="10" xfId="0" applyFont="1" applyFill="1" applyBorder="1" applyAlignment="1">
      <alignment horizontal="center" vertical="center" wrapText="1"/>
    </xf>
    <xf numFmtId="0" fontId="129" fillId="27" borderId="13" xfId="0" applyFont="1" applyFill="1" applyBorder="1" applyAlignment="1">
      <alignment horizontal="center" vertical="center" wrapText="1"/>
    </xf>
    <xf numFmtId="0" fontId="133" fillId="0" borderId="0" xfId="0" applyFont="1" applyAlignment="1">
      <alignment horizontal="left" wrapText="1"/>
    </xf>
    <xf numFmtId="0" fontId="133" fillId="0" borderId="0" xfId="0" applyFont="1" applyAlignment="1">
      <alignment horizontal="left"/>
    </xf>
    <xf numFmtId="0" fontId="135" fillId="50" borderId="36" xfId="0" applyFont="1" applyFill="1" applyBorder="1" applyAlignment="1">
      <alignment horizontal="center" vertical="center" wrapText="1"/>
    </xf>
    <xf numFmtId="0" fontId="135" fillId="50" borderId="50" xfId="0" applyFont="1" applyFill="1" applyBorder="1" applyAlignment="1">
      <alignment horizontal="center" vertical="center" wrapText="1"/>
    </xf>
    <xf numFmtId="0" fontId="135" fillId="50" borderId="42" xfId="0" applyFont="1" applyFill="1" applyBorder="1" applyAlignment="1">
      <alignment horizontal="center" vertical="center" wrapText="1"/>
    </xf>
    <xf numFmtId="0" fontId="104" fillId="0" borderId="0" xfId="0" applyFont="1" applyBorder="1" applyAlignment="1">
      <alignment horizontal="left" wrapText="1"/>
    </xf>
    <xf numFmtId="0" fontId="28" fillId="39" borderId="259" xfId="0" applyFont="1" applyFill="1" applyBorder="1" applyAlignment="1">
      <alignment horizontal="center" vertical="center" wrapText="1"/>
    </xf>
    <xf numFmtId="0" fontId="28" fillId="39" borderId="257" xfId="0" applyFont="1" applyFill="1" applyBorder="1" applyAlignment="1">
      <alignment horizontal="center" vertical="center" wrapText="1"/>
    </xf>
    <xf numFmtId="0" fontId="28" fillId="39" borderId="260" xfId="0" applyFont="1" applyFill="1" applyBorder="1" applyAlignment="1">
      <alignment horizontal="center" vertical="center" wrapText="1"/>
    </xf>
    <xf numFmtId="0" fontId="134" fillId="0" borderId="0" xfId="0" applyFont="1" applyBorder="1" applyAlignment="1">
      <alignment horizontal="left" wrapText="1"/>
    </xf>
    <xf numFmtId="0" fontId="129" fillId="29" borderId="10" xfId="0" applyFont="1" applyFill="1" applyBorder="1" applyAlignment="1">
      <alignment horizontal="center" vertical="center" wrapText="1"/>
    </xf>
    <xf numFmtId="0" fontId="129" fillId="29" borderId="13" xfId="0" applyFont="1" applyFill="1" applyBorder="1" applyAlignment="1">
      <alignment horizontal="center" vertical="center" wrapText="1"/>
    </xf>
    <xf numFmtId="0" fontId="100" fillId="41" borderId="10" xfId="0" applyFont="1" applyFill="1" applyBorder="1" applyAlignment="1">
      <alignment horizontal="center" vertical="center" wrapText="1"/>
    </xf>
    <xf numFmtId="0" fontId="100" fillId="41" borderId="13" xfId="0" applyFont="1" applyFill="1" applyBorder="1" applyAlignment="1">
      <alignment horizontal="center" vertical="center" wrapText="1"/>
    </xf>
    <xf numFmtId="0" fontId="129" fillId="37" borderId="35" xfId="0" applyFont="1" applyFill="1" applyBorder="1" applyAlignment="1" applyProtection="1">
      <alignment horizontal="center" vertical="center" wrapText="1"/>
    </xf>
    <xf numFmtId="0" fontId="129" fillId="37" borderId="77" xfId="0" quotePrefix="1" applyFont="1" applyFill="1" applyBorder="1" applyAlignment="1" applyProtection="1">
      <alignment horizontal="center" vertical="center" wrapText="1"/>
    </xf>
    <xf numFmtId="0" fontId="9" fillId="39" borderId="0" xfId="0" applyFont="1" applyFill="1" applyAlignment="1">
      <alignment horizontal="center"/>
    </xf>
    <xf numFmtId="0" fontId="28" fillId="70" borderId="255" xfId="0" applyFont="1" applyFill="1" applyBorder="1" applyAlignment="1">
      <alignment horizontal="center" vertical="center" wrapText="1"/>
    </xf>
    <xf numFmtId="0" fontId="28" fillId="70" borderId="13" xfId="0" applyFont="1" applyFill="1" applyBorder="1" applyAlignment="1">
      <alignment horizontal="center" vertical="center" wrapText="1"/>
    </xf>
    <xf numFmtId="0" fontId="9" fillId="40" borderId="0" xfId="0" applyFont="1" applyFill="1" applyAlignment="1">
      <alignment horizontal="center"/>
    </xf>
    <xf numFmtId="0" fontId="28" fillId="28" borderId="10" xfId="0" applyFont="1" applyFill="1" applyBorder="1" applyAlignment="1">
      <alignment horizontal="center" vertical="center" wrapText="1"/>
    </xf>
    <xf numFmtId="0" fontId="28" fillId="28" borderId="13" xfId="0" applyFont="1" applyFill="1" applyBorder="1" applyAlignment="1">
      <alignment horizontal="center" vertical="center" wrapText="1"/>
    </xf>
    <xf numFmtId="0" fontId="28" fillId="56" borderId="10" xfId="0" applyFont="1" applyFill="1" applyBorder="1" applyAlignment="1">
      <alignment horizontal="center" vertical="center" wrapText="1"/>
    </xf>
    <xf numFmtId="0" fontId="20" fillId="52" borderId="0" xfId="0" applyFont="1" applyFill="1" applyAlignment="1">
      <alignment horizontal="center" vertical="center" wrapText="1"/>
    </xf>
    <xf numFmtId="0" fontId="69" fillId="38" borderId="36" xfId="0" applyFont="1" applyFill="1" applyBorder="1" applyAlignment="1" applyProtection="1">
      <alignment horizontal="center" vertical="center" wrapText="1"/>
    </xf>
    <xf numFmtId="0" fontId="69" fillId="38" borderId="42" xfId="0" quotePrefix="1" applyFont="1" applyFill="1" applyBorder="1" applyAlignment="1" applyProtection="1">
      <alignment horizontal="center" vertical="center" wrapText="1"/>
    </xf>
    <xf numFmtId="0" fontId="51" fillId="55" borderId="26" xfId="0" applyFont="1" applyFill="1" applyBorder="1" applyAlignment="1">
      <alignment horizontal="center" vertical="center"/>
    </xf>
    <xf numFmtId="15" fontId="28" fillId="25" borderId="10" xfId="0" applyNumberFormat="1" applyFont="1" applyFill="1" applyBorder="1" applyAlignment="1">
      <alignment horizontal="center" vertical="center" wrapText="1"/>
    </xf>
    <xf numFmtId="15" fontId="28" fillId="25" borderId="13" xfId="0" applyNumberFormat="1" applyFont="1" applyFill="1" applyBorder="1" applyAlignment="1">
      <alignment horizontal="center" vertical="center" wrapText="1"/>
    </xf>
    <xf numFmtId="0" fontId="51" fillId="39" borderId="259" xfId="0" applyFont="1" applyFill="1" applyBorder="1" applyAlignment="1">
      <alignment horizontal="center" vertical="center"/>
    </xf>
    <xf numFmtId="0" fontId="51" fillId="39" borderId="257" xfId="0" applyFont="1" applyFill="1" applyBorder="1" applyAlignment="1">
      <alignment horizontal="center" vertical="center"/>
    </xf>
    <xf numFmtId="0" fontId="51" fillId="39" borderId="260" xfId="0" applyFont="1" applyFill="1" applyBorder="1" applyAlignment="1">
      <alignment horizontal="center" vertical="center"/>
    </xf>
    <xf numFmtId="0" fontId="28" fillId="55" borderId="1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wrapText="1"/>
    </xf>
    <xf numFmtId="0" fontId="28" fillId="59" borderId="10" xfId="0" applyFont="1" applyFill="1" applyBorder="1" applyAlignment="1">
      <alignment horizontal="center" vertical="center" wrapText="1"/>
    </xf>
    <xf numFmtId="0" fontId="28" fillId="35" borderId="26" xfId="0" applyFont="1" applyFill="1" applyBorder="1" applyAlignment="1">
      <alignment horizontal="center" vertical="center" wrapText="1"/>
    </xf>
    <xf numFmtId="0" fontId="69" fillId="71" borderId="259" xfId="0" applyFont="1" applyFill="1" applyBorder="1" applyAlignment="1" applyProtection="1">
      <alignment horizontal="center" vertical="center" wrapText="1"/>
    </xf>
    <xf numFmtId="0" fontId="69" fillId="71" borderId="257" xfId="0" applyFont="1" applyFill="1" applyBorder="1" applyAlignment="1" applyProtection="1">
      <alignment horizontal="center" vertical="center" wrapText="1"/>
    </xf>
    <xf numFmtId="0" fontId="69" fillId="71" borderId="260" xfId="0" applyFont="1" applyFill="1" applyBorder="1" applyAlignment="1" applyProtection="1">
      <alignment horizontal="center" vertical="center" wrapText="1"/>
    </xf>
    <xf numFmtId="0" fontId="9" fillId="60" borderId="0" xfId="0" applyFont="1" applyFill="1" applyAlignment="1">
      <alignment horizontal="center"/>
    </xf>
    <xf numFmtId="0" fontId="28" fillId="35" borderId="255" xfId="53" applyFont="1" applyFill="1" applyBorder="1" applyAlignment="1">
      <alignment horizontal="center" vertical="center" wrapText="1"/>
    </xf>
    <xf numFmtId="0" fontId="28" fillId="35" borderId="272" xfId="53" applyFont="1" applyFill="1" applyBorder="1" applyAlignment="1">
      <alignment horizontal="center" vertical="center" wrapText="1"/>
    </xf>
    <xf numFmtId="0" fontId="28" fillId="35" borderId="13" xfId="53" applyFont="1" applyFill="1" applyBorder="1" applyAlignment="1">
      <alignment horizontal="center" vertical="center" wrapText="1"/>
    </xf>
    <xf numFmtId="6" fontId="28" fillId="25" borderId="255" xfId="53" applyNumberFormat="1" applyFont="1" applyFill="1" applyBorder="1" applyAlignment="1">
      <alignment horizontal="center" vertical="center" wrapText="1"/>
    </xf>
    <xf numFmtId="6" fontId="28" fillId="25" borderId="13" xfId="53" applyNumberFormat="1" applyFont="1" applyFill="1" applyBorder="1" applyAlignment="1">
      <alignment horizontal="center" vertical="center" wrapText="1"/>
    </xf>
    <xf numFmtId="6" fontId="28" fillId="25" borderId="13" xfId="53" quotePrefix="1" applyNumberFormat="1" applyFont="1" applyFill="1" applyBorder="1" applyAlignment="1">
      <alignment horizontal="center" vertical="center" wrapText="1"/>
    </xf>
    <xf numFmtId="0" fontId="28" fillId="27" borderId="255" xfId="53" applyFont="1" applyFill="1" applyBorder="1" applyAlignment="1">
      <alignment horizontal="center" vertical="center" wrapText="1"/>
    </xf>
    <xf numFmtId="0" fontId="28" fillId="27" borderId="272" xfId="53" applyFont="1" applyFill="1" applyBorder="1" applyAlignment="1">
      <alignment horizontal="center" vertical="center" wrapText="1"/>
    </xf>
    <xf numFmtId="0" fontId="28" fillId="27" borderId="13" xfId="53" applyFont="1" applyFill="1" applyBorder="1" applyAlignment="1">
      <alignment horizontal="center" vertical="center" wrapText="1"/>
    </xf>
    <xf numFmtId="0" fontId="13" fillId="27" borderId="255" xfId="53" applyFont="1" applyFill="1" applyBorder="1" applyAlignment="1">
      <alignment horizontal="center" vertical="center" wrapText="1"/>
    </xf>
    <xf numFmtId="0" fontId="13" fillId="27" borderId="272" xfId="53" applyFont="1" applyFill="1" applyBorder="1" applyAlignment="1">
      <alignment horizontal="center" vertical="center" wrapText="1"/>
    </xf>
    <xf numFmtId="0" fontId="13" fillId="27" borderId="13" xfId="53" applyFont="1" applyFill="1" applyBorder="1" applyAlignment="1">
      <alignment horizontal="center" vertical="center" wrapText="1"/>
    </xf>
    <xf numFmtId="0" fontId="55" fillId="0" borderId="0" xfId="53" applyFont="1" applyBorder="1" applyAlignment="1">
      <alignment horizontal="center"/>
    </xf>
    <xf numFmtId="0" fontId="55" fillId="41" borderId="0" xfId="53" applyFont="1" applyFill="1" applyBorder="1" applyAlignment="1">
      <alignment horizontal="left"/>
    </xf>
    <xf numFmtId="0" fontId="101" fillId="25" borderId="255" xfId="53" applyFont="1" applyFill="1" applyBorder="1" applyAlignment="1">
      <alignment horizontal="center" vertical="center"/>
    </xf>
    <xf numFmtId="0" fontId="101" fillId="25" borderId="272" xfId="53" applyFont="1" applyFill="1" applyBorder="1" applyAlignment="1">
      <alignment horizontal="center" vertical="center"/>
    </xf>
    <xf numFmtId="0" fontId="101" fillId="25" borderId="13" xfId="53" applyFont="1" applyFill="1" applyBorder="1" applyAlignment="1">
      <alignment horizontal="center" vertical="center"/>
    </xf>
    <xf numFmtId="0" fontId="28" fillId="25" borderId="255" xfId="53" applyFont="1" applyFill="1" applyBorder="1" applyAlignment="1">
      <alignment horizontal="center" vertical="center" wrapText="1"/>
    </xf>
    <xf numFmtId="0" fontId="28" fillId="25" borderId="272" xfId="53" applyFont="1" applyFill="1" applyBorder="1" applyAlignment="1">
      <alignment horizontal="center" vertical="center" wrapText="1"/>
    </xf>
    <xf numFmtId="0" fontId="28" fillId="25" borderId="13" xfId="53" applyFont="1" applyFill="1" applyBorder="1" applyAlignment="1">
      <alignment horizontal="center" vertical="center" wrapText="1"/>
    </xf>
    <xf numFmtId="6" fontId="28" fillId="35" borderId="255" xfId="53" applyNumberFormat="1" applyFont="1" applyFill="1" applyBorder="1" applyAlignment="1">
      <alignment horizontal="center" vertical="center" wrapText="1"/>
    </xf>
    <xf numFmtId="6" fontId="28" fillId="35" borderId="272" xfId="53" applyNumberFormat="1" applyFont="1" applyFill="1" applyBorder="1" applyAlignment="1">
      <alignment horizontal="center" vertical="center" wrapText="1"/>
    </xf>
    <xf numFmtId="6" fontId="28" fillId="35" borderId="13" xfId="53" applyNumberFormat="1" applyFont="1" applyFill="1" applyBorder="1" applyAlignment="1">
      <alignment horizontal="center" vertical="center" wrapText="1"/>
    </xf>
    <xf numFmtId="0" fontId="122" fillId="31" borderId="257" xfId="53" applyFont="1" applyFill="1" applyBorder="1" applyAlignment="1">
      <alignment horizontal="center" vertical="center" wrapText="1"/>
    </xf>
    <xf numFmtId="0" fontId="122" fillId="31" borderId="257" xfId="53" applyFont="1" applyFill="1" applyBorder="1" applyAlignment="1">
      <alignment horizontal="center" vertical="center"/>
    </xf>
    <xf numFmtId="0" fontId="101" fillId="25" borderId="33" xfId="0" applyFont="1" applyFill="1" applyBorder="1" applyAlignment="1">
      <alignment horizontal="center" vertical="center" wrapText="1"/>
    </xf>
    <xf numFmtId="0" fontId="101" fillId="25" borderId="43" xfId="0" applyFont="1" applyFill="1" applyBorder="1" applyAlignment="1">
      <alignment horizontal="center" vertical="center" wrapText="1"/>
    </xf>
    <xf numFmtId="0" fontId="101" fillId="25" borderId="34" xfId="0" applyFont="1" applyFill="1" applyBorder="1" applyAlignment="1">
      <alignment horizontal="center" vertical="center" wrapText="1"/>
    </xf>
    <xf numFmtId="0" fontId="101" fillId="25" borderId="44" xfId="0" applyFont="1" applyFill="1" applyBorder="1" applyAlignment="1">
      <alignment horizontal="center" vertical="center" wrapText="1"/>
    </xf>
    <xf numFmtId="0" fontId="101" fillId="25" borderId="35" xfId="0" applyFont="1" applyFill="1" applyBorder="1" applyAlignment="1">
      <alignment horizontal="center" vertical="center" wrapText="1"/>
    </xf>
    <xf numFmtId="0" fontId="101" fillId="25" borderId="77" xfId="0" applyFont="1" applyFill="1" applyBorder="1" applyAlignment="1">
      <alignment horizontal="center" vertical="center" wrapText="1"/>
    </xf>
    <xf numFmtId="0" fontId="28" fillId="43" borderId="255" xfId="0" applyFont="1" applyFill="1" applyBorder="1" applyAlignment="1">
      <alignment horizontal="center" vertical="center" wrapText="1"/>
    </xf>
    <xf numFmtId="0" fontId="28" fillId="42" borderId="255" xfId="0" applyFont="1" applyFill="1" applyBorder="1" applyAlignment="1">
      <alignment horizontal="center" vertical="center" wrapText="1"/>
    </xf>
    <xf numFmtId="0" fontId="28" fillId="42" borderId="13" xfId="0" applyFont="1" applyFill="1" applyBorder="1" applyAlignment="1">
      <alignment horizontal="center" vertical="center" wrapText="1"/>
    </xf>
    <xf numFmtId="49" fontId="28" fillId="57" borderId="255" xfId="53" applyNumberFormat="1" applyFont="1" applyFill="1" applyBorder="1" applyAlignment="1">
      <alignment horizontal="center" vertical="center" wrapText="1"/>
    </xf>
    <xf numFmtId="49" fontId="28" fillId="57" borderId="13" xfId="53" applyNumberFormat="1" applyFont="1" applyFill="1" applyBorder="1" applyAlignment="1">
      <alignment horizontal="center" vertical="center" wrapText="1"/>
    </xf>
    <xf numFmtId="49" fontId="69" fillId="55" borderId="257" xfId="53" applyNumberFormat="1" applyFont="1" applyFill="1" applyBorder="1" applyAlignment="1">
      <alignment horizontal="center" vertical="center" wrapText="1"/>
    </xf>
    <xf numFmtId="49" fontId="28" fillId="43" borderId="255" xfId="53" applyNumberFormat="1" applyFont="1" applyFill="1" applyBorder="1" applyAlignment="1">
      <alignment horizontal="center" vertical="center" wrapText="1"/>
    </xf>
    <xf numFmtId="49" fontId="69" fillId="27" borderId="14" xfId="53" applyNumberFormat="1" applyFont="1" applyFill="1" applyBorder="1" applyAlignment="1">
      <alignment horizontal="center" vertical="center" wrapText="1"/>
    </xf>
    <xf numFmtId="0" fontId="101" fillId="43" borderId="33" xfId="0" applyFont="1" applyFill="1" applyBorder="1" applyAlignment="1">
      <alignment horizontal="center" vertical="center" wrapText="1"/>
    </xf>
    <xf numFmtId="0" fontId="101" fillId="43" borderId="43" xfId="0" applyFont="1" applyFill="1" applyBorder="1" applyAlignment="1">
      <alignment horizontal="center" vertical="center" wrapText="1"/>
    </xf>
    <xf numFmtId="0" fontId="101" fillId="43" borderId="34" xfId="0" applyFont="1" applyFill="1" applyBorder="1" applyAlignment="1">
      <alignment horizontal="center" vertical="center" wrapText="1"/>
    </xf>
    <xf numFmtId="0" fontId="101" fillId="43" borderId="44" xfId="0" applyFont="1" applyFill="1" applyBorder="1" applyAlignment="1">
      <alignment horizontal="center" vertical="center" wrapText="1"/>
    </xf>
    <xf numFmtId="0" fontId="101" fillId="43" borderId="35" xfId="0" applyFont="1" applyFill="1" applyBorder="1" applyAlignment="1">
      <alignment horizontal="center" vertical="center" wrapText="1"/>
    </xf>
    <xf numFmtId="0" fontId="101" fillId="43" borderId="77" xfId="0" applyFont="1" applyFill="1" applyBorder="1" applyAlignment="1">
      <alignment horizontal="center" vertical="center" wrapText="1"/>
    </xf>
    <xf numFmtId="49" fontId="69" fillId="27" borderId="34" xfId="53" applyNumberFormat="1" applyFont="1" applyFill="1" applyBorder="1" applyAlignment="1">
      <alignment horizontal="center" vertical="center" wrapText="1"/>
    </xf>
    <xf numFmtId="49" fontId="69" fillId="27" borderId="0" xfId="53" applyNumberFormat="1" applyFont="1" applyFill="1" applyBorder="1" applyAlignment="1">
      <alignment horizontal="center" vertical="center" wrapText="1"/>
    </xf>
    <xf numFmtId="49" fontId="69" fillId="27" borderId="44" xfId="53" applyNumberFormat="1" applyFont="1" applyFill="1" applyBorder="1" applyAlignment="1">
      <alignment horizontal="center" vertical="center" wrapText="1"/>
    </xf>
    <xf numFmtId="49" fontId="28" fillId="43" borderId="43" xfId="53" applyNumberFormat="1" applyFont="1" applyFill="1" applyBorder="1" applyAlignment="1">
      <alignment horizontal="center" vertical="center" wrapText="1"/>
    </xf>
    <xf numFmtId="49" fontId="28" fillId="43" borderId="77" xfId="53" applyNumberFormat="1" applyFont="1" applyFill="1" applyBorder="1" applyAlignment="1">
      <alignment horizontal="center" vertical="center" wrapText="1"/>
    </xf>
    <xf numFmtId="0" fontId="101" fillId="57" borderId="33" xfId="0" applyFont="1" applyFill="1" applyBorder="1" applyAlignment="1">
      <alignment horizontal="center" vertical="center" wrapText="1"/>
    </xf>
    <xf numFmtId="0" fontId="101" fillId="57" borderId="43" xfId="0" applyFont="1" applyFill="1" applyBorder="1" applyAlignment="1">
      <alignment horizontal="center" vertical="center" wrapText="1"/>
    </xf>
    <xf numFmtId="0" fontId="101" fillId="57" borderId="34" xfId="0" applyFont="1" applyFill="1" applyBorder="1" applyAlignment="1">
      <alignment horizontal="center" vertical="center" wrapText="1"/>
    </xf>
    <xf numFmtId="0" fontId="101" fillId="57" borderId="44" xfId="0" applyFont="1" applyFill="1" applyBorder="1" applyAlignment="1">
      <alignment horizontal="center" vertical="center" wrapText="1"/>
    </xf>
    <xf numFmtId="0" fontId="101" fillId="57" borderId="35" xfId="0" applyFont="1" applyFill="1" applyBorder="1" applyAlignment="1">
      <alignment horizontal="center" vertical="center" wrapText="1"/>
    </xf>
    <xf numFmtId="0" fontId="101" fillId="57" borderId="77" xfId="0" applyFont="1" applyFill="1" applyBorder="1" applyAlignment="1">
      <alignment horizontal="center" vertical="center" wrapText="1"/>
    </xf>
    <xf numFmtId="49" fontId="28" fillId="39" borderId="279" xfId="53" applyNumberFormat="1" applyFont="1" applyFill="1" applyBorder="1" applyAlignment="1">
      <alignment horizontal="center" vertical="center" wrapText="1"/>
    </xf>
    <xf numFmtId="49" fontId="28" fillId="39" borderId="13" xfId="53" applyNumberFormat="1" applyFont="1" applyFill="1" applyBorder="1" applyAlignment="1">
      <alignment horizontal="center" vertical="center" wrapText="1"/>
    </xf>
    <xf numFmtId="0" fontId="100" fillId="0" borderId="0" xfId="0" applyFont="1" applyBorder="1" applyAlignment="1">
      <alignment horizontal="center" wrapText="1"/>
    </xf>
    <xf numFmtId="0" fontId="100" fillId="0" borderId="0" xfId="0" applyFont="1" applyBorder="1" applyAlignment="1">
      <alignment horizontal="center"/>
    </xf>
    <xf numFmtId="0" fontId="142" fillId="43" borderId="259" xfId="0" applyFont="1" applyFill="1" applyBorder="1" applyAlignment="1">
      <alignment horizontal="center"/>
    </xf>
    <xf numFmtId="0" fontId="142" fillId="43" borderId="257" xfId="0" applyFont="1" applyFill="1" applyBorder="1" applyAlignment="1">
      <alignment horizontal="center"/>
    </xf>
    <xf numFmtId="0" fontId="142" fillId="43" borderId="260" xfId="0" applyFont="1" applyFill="1" applyBorder="1" applyAlignment="1">
      <alignment horizontal="center"/>
    </xf>
    <xf numFmtId="0" fontId="143" fillId="57" borderId="259" xfId="0" applyFont="1" applyFill="1" applyBorder="1" applyAlignment="1">
      <alignment horizontal="center"/>
    </xf>
    <xf numFmtId="0" fontId="143" fillId="57" borderId="257" xfId="0" applyFont="1" applyFill="1" applyBorder="1" applyAlignment="1">
      <alignment horizontal="center"/>
    </xf>
    <xf numFmtId="0" fontId="143" fillId="57" borderId="260" xfId="0" applyFont="1" applyFill="1" applyBorder="1" applyAlignment="1">
      <alignment horizontal="center"/>
    </xf>
    <xf numFmtId="0" fontId="49" fillId="29" borderId="10" xfId="0" applyFont="1" applyFill="1" applyBorder="1" applyAlignment="1">
      <alignment horizontal="center" vertical="center" wrapText="1"/>
    </xf>
    <xf numFmtId="0" fontId="113" fillId="60" borderId="10" xfId="0" applyFont="1" applyFill="1" applyBorder="1" applyAlignment="1">
      <alignment horizontal="center" vertical="center" wrapText="1"/>
    </xf>
    <xf numFmtId="0" fontId="113" fillId="60" borderId="13" xfId="0" applyFont="1" applyFill="1" applyBorder="1" applyAlignment="1">
      <alignment horizontal="center" vertical="center" wrapText="1"/>
    </xf>
    <xf numFmtId="0" fontId="28" fillId="60" borderId="10" xfId="0" applyFont="1" applyFill="1" applyBorder="1" applyAlignment="1">
      <alignment horizontal="center" vertical="center" wrapText="1"/>
    </xf>
    <xf numFmtId="0" fontId="28" fillId="60" borderId="13" xfId="0" applyFont="1" applyFill="1" applyBorder="1" applyAlignment="1">
      <alignment horizontal="center" vertical="center" wrapText="1"/>
    </xf>
    <xf numFmtId="0" fontId="28" fillId="39" borderId="26" xfId="0" quotePrefix="1" applyFont="1" applyFill="1" applyBorder="1" applyAlignment="1">
      <alignment horizontal="center" vertical="center" wrapText="1"/>
    </xf>
    <xf numFmtId="0" fontId="28" fillId="39" borderId="10" xfId="0" applyFont="1" applyFill="1" applyBorder="1" applyAlignment="1">
      <alignment horizontal="center" vertical="center" wrapText="1"/>
    </xf>
    <xf numFmtId="0" fontId="28" fillId="39" borderId="13" xfId="0" quotePrefix="1" applyFont="1" applyFill="1" applyBorder="1" applyAlignment="1">
      <alignment horizontal="center" vertical="center" wrapText="1"/>
    </xf>
    <xf numFmtId="0" fontId="113" fillId="29" borderId="10" xfId="0" applyFont="1" applyFill="1" applyBorder="1" applyAlignment="1">
      <alignment horizontal="center" vertical="center" wrapText="1"/>
    </xf>
    <xf numFmtId="0" fontId="113" fillId="29" borderId="13" xfId="0" applyFont="1" applyFill="1" applyBorder="1" applyAlignment="1">
      <alignment horizontal="center" vertical="center" wrapText="1"/>
    </xf>
    <xf numFmtId="0" fontId="101" fillId="25" borderId="26" xfId="0" applyFont="1" applyFill="1" applyBorder="1" applyAlignment="1">
      <alignment horizontal="center" vertical="center" wrapText="1"/>
    </xf>
    <xf numFmtId="0" fontId="101" fillId="25" borderId="26" xfId="0" applyFont="1" applyFill="1" applyBorder="1" applyAlignment="1">
      <alignment horizontal="center" vertical="center"/>
    </xf>
    <xf numFmtId="0" fontId="113" fillId="29" borderId="255" xfId="0" applyFont="1" applyFill="1" applyBorder="1" applyAlignment="1">
      <alignment horizontal="center" vertical="center" wrapText="1"/>
    </xf>
    <xf numFmtId="0" fontId="28" fillId="25" borderId="26" xfId="0" applyFont="1" applyFill="1" applyBorder="1" applyAlignment="1">
      <alignment horizontal="center" vertical="center" wrapText="1"/>
    </xf>
    <xf numFmtId="0" fontId="28" fillId="55" borderId="26" xfId="0" applyFont="1" applyFill="1" applyBorder="1" applyAlignment="1">
      <alignment horizontal="center" vertical="center" wrapText="1"/>
    </xf>
    <xf numFmtId="0" fontId="28" fillId="51" borderId="10" xfId="0" applyFont="1" applyFill="1" applyBorder="1" applyAlignment="1">
      <alignment horizontal="center" vertical="center" wrapText="1"/>
    </xf>
    <xf numFmtId="0" fontId="28" fillId="51" borderId="13" xfId="0" applyFont="1" applyFill="1" applyBorder="1" applyAlignment="1">
      <alignment horizontal="center" vertical="center" wrapText="1"/>
    </xf>
    <xf numFmtId="0" fontId="28" fillId="39" borderId="10" xfId="0" quotePrefix="1" applyFont="1" applyFill="1" applyBorder="1" applyAlignment="1">
      <alignment horizontal="center" vertical="center" wrapText="1"/>
    </xf>
    <xf numFmtId="0" fontId="111" fillId="0" borderId="0" xfId="0" applyFont="1" applyBorder="1" applyAlignment="1">
      <alignment horizontal="left" wrapText="1"/>
    </xf>
    <xf numFmtId="6" fontId="102" fillId="0" borderId="0" xfId="0" applyNumberFormat="1" applyFont="1" applyBorder="1" applyAlignment="1">
      <alignment horizontal="left" wrapText="1"/>
    </xf>
    <xf numFmtId="49" fontId="28" fillId="44" borderId="10" xfId="0" applyNumberFormat="1" applyFont="1" applyFill="1" applyBorder="1" applyAlignment="1">
      <alignment horizontal="center" vertical="center" wrapText="1"/>
    </xf>
    <xf numFmtId="49" fontId="28" fillId="44" borderId="11" xfId="0" applyNumberFormat="1" applyFont="1" applyFill="1" applyBorder="1" applyAlignment="1">
      <alignment horizontal="center" vertical="center" wrapText="1"/>
    </xf>
    <xf numFmtId="49" fontId="28" fillId="44" borderId="13" xfId="0" applyNumberFormat="1" applyFont="1" applyFill="1" applyBorder="1" applyAlignment="1">
      <alignment horizontal="center" vertical="center" wrapText="1"/>
    </xf>
    <xf numFmtId="166" fontId="11" fillId="41" borderId="0" xfId="30" applyNumberFormat="1" applyFont="1" applyFill="1" applyBorder="1" applyAlignment="1" applyProtection="1">
      <alignment horizontal="left" vertical="top" wrapText="1"/>
    </xf>
    <xf numFmtId="49" fontId="28" fillId="43" borderId="43" xfId="0" applyNumberFormat="1" applyFont="1" applyFill="1" applyBorder="1" applyAlignment="1">
      <alignment horizontal="center" vertical="center" wrapText="1"/>
    </xf>
    <xf numFmtId="49" fontId="28" fillId="43" borderId="77" xfId="0" applyNumberFormat="1" applyFont="1" applyFill="1" applyBorder="1" applyAlignment="1">
      <alignment horizontal="center" vertical="center" wrapText="1"/>
    </xf>
    <xf numFmtId="49" fontId="28" fillId="43" borderId="10" xfId="0" applyNumberFormat="1" applyFont="1" applyFill="1" applyBorder="1" applyAlignment="1">
      <alignment horizontal="center" vertical="center" wrapText="1"/>
    </xf>
    <xf numFmtId="49" fontId="28" fillId="43" borderId="13" xfId="0" applyNumberFormat="1" applyFont="1" applyFill="1" applyBorder="1" applyAlignment="1">
      <alignment horizontal="center" vertical="center" wrapText="1"/>
    </xf>
    <xf numFmtId="166" fontId="11" fillId="41" borderId="0" xfId="30" applyNumberFormat="1" applyFont="1" applyFill="1" applyBorder="1" applyAlignment="1" applyProtection="1">
      <alignment horizontal="left" wrapText="1"/>
    </xf>
    <xf numFmtId="0" fontId="28" fillId="25" borderId="33" xfId="0" applyFont="1" applyFill="1" applyBorder="1" applyAlignment="1" applyProtection="1">
      <alignment horizontal="center" vertical="center" wrapText="1"/>
    </xf>
    <xf numFmtId="0" fontId="28" fillId="25" borderId="43" xfId="0" applyFont="1" applyFill="1" applyBorder="1" applyAlignment="1" applyProtection="1">
      <alignment horizontal="center" vertical="center" wrapText="1"/>
    </xf>
    <xf numFmtId="0" fontId="28" fillId="25" borderId="34" xfId="0" applyFont="1" applyFill="1" applyBorder="1" applyAlignment="1" applyProtection="1">
      <alignment horizontal="center" vertical="center" wrapText="1"/>
    </xf>
    <xf numFmtId="0" fontId="28" fillId="25" borderId="44" xfId="0" applyFont="1" applyFill="1" applyBorder="1" applyAlignment="1" applyProtection="1">
      <alignment horizontal="center" vertical="center" wrapText="1"/>
    </xf>
    <xf numFmtId="0" fontId="28" fillId="25" borderId="35" xfId="0" applyFont="1" applyFill="1" applyBorder="1" applyAlignment="1" applyProtection="1">
      <alignment horizontal="center" vertical="center" wrapText="1"/>
    </xf>
    <xf numFmtId="0" fontId="28" fillId="25" borderId="77" xfId="0" applyFont="1" applyFill="1" applyBorder="1" applyAlignment="1" applyProtection="1">
      <alignment horizontal="center" vertical="center" wrapText="1"/>
    </xf>
    <xf numFmtId="49" fontId="28" fillId="42" borderId="10" xfId="0" applyNumberFormat="1" applyFont="1" applyFill="1" applyBorder="1" applyAlignment="1">
      <alignment horizontal="center" vertical="center" wrapText="1"/>
    </xf>
    <xf numFmtId="49" fontId="28" fillId="42" borderId="13" xfId="0" applyNumberFormat="1" applyFont="1" applyFill="1" applyBorder="1" applyAlignment="1">
      <alignment horizontal="center" vertical="center" wrapText="1"/>
    </xf>
    <xf numFmtId="49" fontId="28" fillId="42" borderId="26" xfId="0" applyNumberFormat="1" applyFont="1" applyFill="1" applyBorder="1" applyAlignment="1">
      <alignment horizontal="center" vertical="center" wrapText="1"/>
    </xf>
    <xf numFmtId="49" fontId="69" fillId="27" borderId="34" xfId="0" applyNumberFormat="1" applyFont="1" applyFill="1" applyBorder="1" applyAlignment="1">
      <alignment horizontal="center" vertical="center" wrapText="1"/>
    </xf>
    <xf numFmtId="49" fontId="69" fillId="27" borderId="0" xfId="0" applyNumberFormat="1" applyFont="1" applyFill="1" applyBorder="1" applyAlignment="1">
      <alignment horizontal="center" vertical="center" wrapText="1"/>
    </xf>
    <xf numFmtId="49" fontId="69" fillId="27" borderId="44" xfId="0" applyNumberFormat="1" applyFont="1" applyFill="1" applyBorder="1" applyAlignment="1">
      <alignment horizontal="center" vertical="center" wrapText="1"/>
    </xf>
    <xf numFmtId="49" fontId="69" fillId="55" borderId="36" xfId="0" applyNumberFormat="1" applyFont="1" applyFill="1" applyBorder="1" applyAlignment="1">
      <alignment horizontal="center" vertical="center" wrapText="1"/>
    </xf>
    <xf numFmtId="49" fontId="69" fillId="55" borderId="50" xfId="0" applyNumberFormat="1" applyFont="1" applyFill="1" applyBorder="1" applyAlignment="1">
      <alignment horizontal="center" vertical="center" wrapText="1"/>
    </xf>
    <xf numFmtId="49" fontId="69" fillId="55" borderId="42" xfId="0" applyNumberFormat="1" applyFont="1" applyFill="1" applyBorder="1" applyAlignment="1">
      <alignment horizontal="center" vertical="center" wrapText="1"/>
    </xf>
    <xf numFmtId="0" fontId="28" fillId="25" borderId="11" xfId="0" applyFont="1" applyFill="1" applyBorder="1" applyAlignment="1">
      <alignment horizontal="center" vertical="center"/>
    </xf>
    <xf numFmtId="0" fontId="28" fillId="25" borderId="13" xfId="0" applyFont="1" applyFill="1" applyBorder="1" applyAlignment="1">
      <alignment horizontal="center" vertical="center"/>
    </xf>
    <xf numFmtId="0" fontId="50" fillId="27" borderId="36" xfId="0" applyFont="1" applyFill="1" applyBorder="1" applyAlignment="1">
      <alignment horizontal="center" vertical="center" wrapText="1"/>
    </xf>
    <xf numFmtId="0" fontId="50" fillId="27" borderId="50" xfId="0" applyFont="1" applyFill="1" applyBorder="1" applyAlignment="1">
      <alignment horizontal="center" vertical="center" wrapText="1"/>
    </xf>
    <xf numFmtId="0" fontId="50" fillId="27" borderId="42" xfId="0" applyFont="1" applyFill="1" applyBorder="1" applyAlignment="1">
      <alignment horizontal="center" vertical="center" wrapText="1"/>
    </xf>
    <xf numFmtId="0" fontId="45" fillId="27" borderId="10" xfId="0" applyFont="1" applyFill="1" applyBorder="1" applyAlignment="1">
      <alignment horizontal="center" vertical="center" wrapText="1"/>
    </xf>
    <xf numFmtId="0" fontId="67" fillId="27" borderId="11" xfId="0" applyFont="1" applyFill="1" applyBorder="1" applyAlignment="1">
      <alignment vertical="center"/>
    </xf>
    <xf numFmtId="0" fontId="67" fillId="27" borderId="13" xfId="0" applyFont="1" applyFill="1" applyBorder="1" applyAlignment="1">
      <alignment vertical="center"/>
    </xf>
    <xf numFmtId="0" fontId="45" fillId="27" borderId="10" xfId="0" quotePrefix="1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2" fillId="25" borderId="11" xfId="0" applyFont="1" applyFill="1" applyBorder="1" applyAlignment="1">
      <alignment horizontal="center" vertical="center" wrapText="1"/>
    </xf>
    <xf numFmtId="0" fontId="22" fillId="25" borderId="13" xfId="0" applyFont="1" applyFill="1" applyBorder="1" applyAlignment="1">
      <alignment horizontal="center" vertical="center"/>
    </xf>
    <xf numFmtId="0" fontId="45" fillId="25" borderId="26" xfId="0" applyFont="1" applyFill="1" applyBorder="1" applyAlignment="1">
      <alignment horizontal="center" vertical="center" wrapText="1"/>
    </xf>
    <xf numFmtId="0" fontId="45" fillId="25" borderId="26" xfId="0" applyFont="1" applyFill="1" applyBorder="1" applyAlignment="1">
      <alignment horizontal="center" wrapText="1"/>
    </xf>
    <xf numFmtId="0" fontId="23" fillId="25" borderId="10" xfId="0" applyFont="1" applyFill="1" applyBorder="1" applyAlignment="1">
      <alignment horizontal="center" wrapText="1"/>
    </xf>
    <xf numFmtId="0" fontId="23" fillId="25" borderId="11" xfId="0" applyFont="1" applyFill="1" applyBorder="1" applyAlignment="1">
      <alignment horizontal="center" wrapText="1"/>
    </xf>
    <xf numFmtId="0" fontId="37" fillId="25" borderId="13" xfId="0" applyFont="1" applyFill="1" applyBorder="1" applyAlignment="1">
      <alignment horizontal="center" wrapText="1"/>
    </xf>
    <xf numFmtId="0" fontId="50" fillId="27" borderId="36" xfId="0" applyFont="1" applyFill="1" applyBorder="1" applyAlignment="1">
      <alignment horizontal="center" vertical="center"/>
    </xf>
    <xf numFmtId="0" fontId="50" fillId="27" borderId="50" xfId="0" applyFont="1" applyFill="1" applyBorder="1" applyAlignment="1">
      <alignment horizontal="center" vertical="center"/>
    </xf>
    <xf numFmtId="0" fontId="28" fillId="25" borderId="26" xfId="0" applyFont="1" applyFill="1" applyBorder="1" applyAlignment="1">
      <alignment horizontal="center" wrapText="1"/>
    </xf>
    <xf numFmtId="0" fontId="38" fillId="0" borderId="36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50" fillId="27" borderId="42" xfId="0" applyFont="1" applyFill="1" applyBorder="1" applyAlignment="1">
      <alignment horizontal="center" vertical="center"/>
    </xf>
    <xf numFmtId="0" fontId="71" fillId="27" borderId="36" xfId="0" quotePrefix="1" applyFont="1" applyFill="1" applyBorder="1" applyAlignment="1">
      <alignment horizontal="center" vertical="center"/>
    </xf>
    <xf numFmtId="0" fontId="71" fillId="27" borderId="50" xfId="0" quotePrefix="1" applyFont="1" applyFill="1" applyBorder="1" applyAlignment="1">
      <alignment horizontal="center" vertical="center"/>
    </xf>
    <xf numFmtId="0" fontId="63" fillId="0" borderId="50" xfId="0" applyFont="1" applyBorder="1" applyAlignment="1">
      <alignment horizontal="center" vertical="center"/>
    </xf>
    <xf numFmtId="0" fontId="63" fillId="0" borderId="42" xfId="0" applyFont="1" applyBorder="1" applyAlignment="1">
      <alignment horizontal="center" vertical="center"/>
    </xf>
  </cellXfs>
  <cellStyles count="7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74"/>
    <cellStyle name="Comma 3" xfId="30"/>
    <cellStyle name="Comma 3 2" xfId="54"/>
    <cellStyle name="Comma 4" xfId="31"/>
    <cellStyle name="Comma 5" xfId="57"/>
    <cellStyle name="Comma 5 2" xfId="67"/>
    <cellStyle name="Comma 6" xfId="63"/>
    <cellStyle name="Comma 7" xfId="76"/>
    <cellStyle name="Currency" xfId="32" builtinId="4"/>
    <cellStyle name="Currency 2" xfId="33"/>
    <cellStyle name="Currency 2 2" xfId="73"/>
    <cellStyle name="Currency 3" xfId="34"/>
    <cellStyle name="Currency 3 2" xfId="56"/>
    <cellStyle name="Explanatory Text" xfId="35" builtinId="53" customBuiltin="1"/>
    <cellStyle name="Good" xfId="36" builtinId="26" customBuiltin="1"/>
    <cellStyle name="Heading 1" xfId="37" builtinId="16" customBuiltin="1"/>
    <cellStyle name="Heading 2" xfId="38" builtinId="17" customBuiltin="1"/>
    <cellStyle name="Heading 3" xfId="39" builtinId="18" customBuiltin="1"/>
    <cellStyle name="Heading 4" xfId="40" builtinId="19" customBuiltin="1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Normal 10" xfId="70"/>
    <cellStyle name="Normal 11" xfId="71"/>
    <cellStyle name="Normal 12" xfId="77"/>
    <cellStyle name="Normal 2" xfId="44"/>
    <cellStyle name="Normal 2 2" xfId="66"/>
    <cellStyle name="Normal 2 3" xfId="69"/>
    <cellStyle name="Normal 2 4" xfId="72"/>
    <cellStyle name="Normal 3" xfId="53"/>
    <cellStyle name="Normal 4" xfId="60"/>
    <cellStyle name="Normal 5" xfId="61"/>
    <cellStyle name="Normal 6" xfId="62"/>
    <cellStyle name="Normal 7" xfId="68"/>
    <cellStyle name="Normal 8" xfId="58"/>
    <cellStyle name="Normal 9" xfId="59"/>
    <cellStyle name="Normal_Sheet1" xfId="45"/>
    <cellStyle name="Normal_Sheet1 3" xfId="65"/>
    <cellStyle name="Normal_Sheet2" xfId="64"/>
    <cellStyle name="Note" xfId="46" builtinId="10" customBuiltin="1"/>
    <cellStyle name="Output" xfId="47" builtinId="21" customBuiltin="1"/>
    <cellStyle name="Percent" xfId="48" builtinId="5"/>
    <cellStyle name="Percent 2" xfId="49"/>
    <cellStyle name="Percent 2 2" xfId="55"/>
    <cellStyle name="Percent 3" xfId="75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mruColors>
      <color rgb="FFFFFF99"/>
      <color rgb="FFCC99FF"/>
      <color rgb="FFB7DEE8"/>
      <color rgb="FF000066"/>
      <color rgb="FFCCFFCC"/>
      <color rgb="FF0033CC"/>
      <color rgb="FFFF99CC"/>
      <color rgb="FFFFFFCC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March%202013_Mid-Year%20Adjustment_INCLUDES%20OCTOBER%20FINAL-Option%20A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1-2012/Budget%20Letters/July/FY2011-12%20MFP%20Budget%20Letter_July%202011_T2A%20Revi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Y2012-13%20MFP%20BUDGET%20LETTER%20-%20APRIL%202013-Updates%20for%20Midyear%20adjs%20for%20Option%20A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March%202013_Mid-Year%20Adjustment_INCLUDES%20OCTOBER%20FINAL-Option%20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Payments%20from%20Appropriation%20Control/February%202013_FY2012-13%20MFP%20Payment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Y2012-13%20FINAL%20CHARTER%20PER%20PUPIL%20AMOUNTS%20-%20FINAL%20-%20Option%20A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APRIL%202013_RSD%20ORLEANS%20ALLOCATION%20-%20OPTION%20A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Prior%20Year%20Adjusted%20Budget%20Letters/FY2011-12%20Adjusted%20BL_CAFR,%20Base%20and%20October%20midyear/Summary%20of%20Audit%20Adjustments%20for%2012-13%20MFP_state%20and%20loc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Summary%20of%20Audit%20Adjs%20for%2013-14%20MFP_state%20and%20local_Morris%20Jeff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Morris%20Jeff%20Adjustments%20to%20Paua%204.2.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April%202013_only%20change%20is%20preaudit%20to%20Morris%20Jeff/March%202013_Mid-Year%20Adjustment_INCLUDES%20OCTOBER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_being%20developed/Prior%20Year%20Adjusted%20Budget%20Letters/FY2011-12%20Adjusted%20BL_CAFR,%20Base%20and%20October%20midyear/Summary%20of%20Audit%20Adjustments%20for%2012-13%20MFP_state%20and%20loc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April%202013_only%20change%20is%20preaudit%20to%20Morris%20Jeff/March%202013_Mid-Year%20Adjustmen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July%202012/Attachment%202_FY2012-13%20MFP%20Budget%20Letter_July%202012_Emai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March%202013_Mid%20year%20adj%20and%203rd%20Qtr%20Scholarship%20Removed/FY2012-13%20MFP%20BUDGET%20LETTER%20-%20MARCH%20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_being%20developed/Prior%20Year%20Adjusted%20Budget%20Letters/FY2011-12%20Adjusted%20BL_CAFR,%20Base%20and%20October%20midyear/October%20Midyear%20Adjustment_FY2011-1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_being%20developed/Student%20Data/OJJ/004908AdmForOjj_11-12%20ADM_Final%20for%2012-13%20MF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April%202013_only%20change%20is%20preaudit%20to%20Morris%20Jeff/March%202013_Mid-Year%20Adjustment_SEE%20FINAL%20WITH%20OCTOBER%20MIDY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Payments%20from%20Appropriation%20Control/April%202013_MFP%20Payments-for%20Paul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April%202013_only%20change%20is%20preaudit%20to%20Morris%20Jeff/FY2012-13%20MFP%20BUDGET%20LETTER%20-%20APRIL%20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Local%20Transfer%20July-April_per%20AppCtr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APRIL%202013_RSD%20ORLEANS%20ALLOCATION%20-%20OPTION%20A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Student%20Data/Feb%201,%202012%20MFP%20At-Risk%20Counts%20using%20Updated%20Address%20Data_Option%20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tudent%20Data/Career%20and%20Tech%20Ed_10-1-11_corrected_addresses_Option%20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tudent%20Data/Feb%202012%20SER%20Data_MFP%202012%20w%20AddressFixes_Option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10.1.12 MFP Funded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RSD-NO by Site"/>
      <sheetName val="10.1.12 RSD operated by Site"/>
      <sheetName val="2-1-13 ALL"/>
    </sheetNames>
    <sheetDataSet>
      <sheetData sheetId="0" refreshError="1">
        <row r="5">
          <cell r="C5">
            <v>1586712.1140740663</v>
          </cell>
          <cell r="D5">
            <v>-140800.39237517311</v>
          </cell>
        </row>
        <row r="6">
          <cell r="C6">
            <v>594308.60374626273</v>
          </cell>
          <cell r="D6">
            <v>-83902.391117119449</v>
          </cell>
        </row>
        <row r="7">
          <cell r="C7">
            <v>1970174.2630424399</v>
          </cell>
          <cell r="D7">
            <v>106162.27231932947</v>
          </cell>
        </row>
        <row r="8">
          <cell r="C8">
            <v>-293177.75739200093</v>
          </cell>
          <cell r="D8">
            <v>86620.701047636627</v>
          </cell>
        </row>
        <row r="9">
          <cell r="C9">
            <v>244530.87765161513</v>
          </cell>
          <cell r="D9">
            <v>-144001.51683928448</v>
          </cell>
        </row>
        <row r="10">
          <cell r="C10">
            <v>-42669.690867568803</v>
          </cell>
          <cell r="D10">
            <v>15239.175309845999</v>
          </cell>
        </row>
        <row r="11">
          <cell r="C11">
            <v>34611.820739404866</v>
          </cell>
          <cell r="D11">
            <v>-35765.548097385028</v>
          </cell>
        </row>
        <row r="12">
          <cell r="C12">
            <v>2433277.5272959084</v>
          </cell>
          <cell r="D12">
            <v>-279659.59793086571</v>
          </cell>
        </row>
        <row r="13">
          <cell r="C13">
            <v>-1403894.8068161297</v>
          </cell>
          <cell r="D13">
            <v>-767361.85677225725</v>
          </cell>
        </row>
        <row r="14">
          <cell r="C14">
            <v>-1015212.9645042566</v>
          </cell>
          <cell r="D14">
            <v>-275980.22336038045</v>
          </cell>
        </row>
        <row r="15">
          <cell r="C15">
            <v>-156690.34046954667</v>
          </cell>
          <cell r="D15">
            <v>-29845.77913705651</v>
          </cell>
        </row>
        <row r="16">
          <cell r="C16">
            <v>8613.8920408163249</v>
          </cell>
          <cell r="D16">
            <v>-20099.081428571426</v>
          </cell>
        </row>
        <row r="17">
          <cell r="C17">
            <v>-151644.70489838053</v>
          </cell>
          <cell r="D17">
            <v>58589.999619828835</v>
          </cell>
        </row>
        <row r="18">
          <cell r="C18">
            <v>-403559.70057168539</v>
          </cell>
          <cell r="D18">
            <v>-70317.220554157306</v>
          </cell>
        </row>
        <row r="19">
          <cell r="C19">
            <v>107900.2600672556</v>
          </cell>
          <cell r="D19">
            <v>-56947.359479940453</v>
          </cell>
        </row>
        <row r="20">
          <cell r="C20">
            <v>390699.37503237941</v>
          </cell>
          <cell r="D20">
            <v>-15364.582164194697</v>
          </cell>
        </row>
        <row r="21">
          <cell r="C21">
            <v>1082878.1439350629</v>
          </cell>
          <cell r="D21">
            <v>-419720.21082754375</v>
          </cell>
        </row>
        <row r="22">
          <cell r="C22">
            <v>-252998.97104665378</v>
          </cell>
          <cell r="D22">
            <v>56591.875102540973</v>
          </cell>
        </row>
        <row r="23">
          <cell r="C23">
            <v>-177108.76419442726</v>
          </cell>
          <cell r="D23">
            <v>21375.195678637774</v>
          </cell>
        </row>
        <row r="24">
          <cell r="C24">
            <v>729965.96952227363</v>
          </cell>
          <cell r="D24">
            <v>-120655.53215244191</v>
          </cell>
        </row>
        <row r="25">
          <cell r="C25">
            <v>210286.8851551078</v>
          </cell>
          <cell r="D25">
            <v>-54164.803752073225</v>
          </cell>
        </row>
        <row r="26">
          <cell r="C26">
            <v>-46962.672760488247</v>
          </cell>
          <cell r="D26">
            <v>-191205.16766770216</v>
          </cell>
        </row>
        <row r="27">
          <cell r="C27">
            <v>1174287.6340075699</v>
          </cell>
          <cell r="D27">
            <v>-203984.23689333373</v>
          </cell>
        </row>
        <row r="28">
          <cell r="C28">
            <v>126315.37441288301</v>
          </cell>
          <cell r="D28">
            <v>7017.5208007157235</v>
          </cell>
        </row>
        <row r="29">
          <cell r="C29">
            <v>-54364.688522054988</v>
          </cell>
          <cell r="D29">
            <v>13591.172130513747</v>
          </cell>
        </row>
        <row r="30">
          <cell r="C30">
            <v>710225.22769626963</v>
          </cell>
          <cell r="D30">
            <v>-327338.44293263822</v>
          </cell>
        </row>
        <row r="31">
          <cell r="C31">
            <v>120961.02607148253</v>
          </cell>
          <cell r="D31">
            <v>-63663.697932359224</v>
          </cell>
        </row>
        <row r="32">
          <cell r="C32">
            <v>1270111.1554218084</v>
          </cell>
          <cell r="D32">
            <v>72521.778936121773</v>
          </cell>
        </row>
        <row r="33">
          <cell r="C33">
            <v>1441484.9757405869</v>
          </cell>
          <cell r="D33">
            <v>-365081.97914998524</v>
          </cell>
        </row>
        <row r="34">
          <cell r="C34">
            <v>411892.39953201642</v>
          </cell>
          <cell r="D34">
            <v>-82378.479906403285</v>
          </cell>
        </row>
        <row r="35">
          <cell r="C35">
            <v>-139052.78846065042</v>
          </cell>
          <cell r="D35">
            <v>-74321.317970347634</v>
          </cell>
        </row>
        <row r="36">
          <cell r="C36">
            <v>3561051.8962859279</v>
          </cell>
          <cell r="D36">
            <v>-707373.63644389401</v>
          </cell>
        </row>
        <row r="37">
          <cell r="C37">
            <v>-471834.2611475499</v>
          </cell>
          <cell r="D37">
            <v>9073.7357912990374</v>
          </cell>
        </row>
        <row r="38">
          <cell r="C38">
            <v>-208270.87831475545</v>
          </cell>
          <cell r="D38">
            <v>-97626.974210041619</v>
          </cell>
        </row>
        <row r="39">
          <cell r="C39">
            <v>53868.280115701455</v>
          </cell>
          <cell r="D39">
            <v>26934.140057850727</v>
          </cell>
        </row>
        <row r="40">
          <cell r="C40">
            <v>-7722814.9245312158</v>
          </cell>
          <cell r="D40">
            <v>-93824.695357425677</v>
          </cell>
        </row>
        <row r="41">
          <cell r="C41">
            <v>2015781.1780120246</v>
          </cell>
          <cell r="D41">
            <v>46092.557424055442</v>
          </cell>
        </row>
        <row r="42">
          <cell r="C42">
            <v>171976.31295557332</v>
          </cell>
          <cell r="D42">
            <v>-21887.894376163877</v>
          </cell>
        </row>
        <row r="43">
          <cell r="C43">
            <v>156528.67592562636</v>
          </cell>
          <cell r="D43">
            <v>-38014.107010509259</v>
          </cell>
        </row>
        <row r="44">
          <cell r="C44">
            <v>442208.72374567698</v>
          </cell>
          <cell r="D44">
            <v>-271482.5709071561</v>
          </cell>
        </row>
        <row r="45">
          <cell r="C45">
            <v>-27491.95668091168</v>
          </cell>
          <cell r="D45">
            <v>23743.053497150999</v>
          </cell>
        </row>
        <row r="46">
          <cell r="C46">
            <v>-69523.965123311791</v>
          </cell>
          <cell r="D46">
            <v>52142.973842483836</v>
          </cell>
        </row>
        <row r="47">
          <cell r="C47">
            <v>358285.28739107837</v>
          </cell>
          <cell r="D47">
            <v>-37063.995247352934</v>
          </cell>
        </row>
        <row r="48">
          <cell r="C48">
            <v>2058062.1697764685</v>
          </cell>
          <cell r="D48">
            <v>201020.02588514343</v>
          </cell>
        </row>
        <row r="49">
          <cell r="C49">
            <v>200506.05335599702</v>
          </cell>
          <cell r="D49">
            <v>-17504.496721555297</v>
          </cell>
        </row>
        <row r="50">
          <cell r="C50">
            <v>-195350.18537341795</v>
          </cell>
          <cell r="D50">
            <v>52093.382766244787</v>
          </cell>
        </row>
        <row r="51">
          <cell r="C51">
            <v>-61808.60703471228</v>
          </cell>
          <cell r="D51">
            <v>-6180.8607034712277</v>
          </cell>
        </row>
        <row r="52">
          <cell r="C52">
            <v>-2312020.2890956593</v>
          </cell>
          <cell r="D52">
            <v>5149.2656772731834</v>
          </cell>
        </row>
        <row r="53">
          <cell r="C53">
            <v>-355978.40430221363</v>
          </cell>
          <cell r="D53">
            <v>-210350.87526948989</v>
          </cell>
        </row>
        <row r="54">
          <cell r="C54">
            <v>262788.71487409616</v>
          </cell>
          <cell r="D54">
            <v>-405608.66861001798</v>
          </cell>
        </row>
        <row r="55">
          <cell r="C55">
            <v>327244.76429894014</v>
          </cell>
          <cell r="D55">
            <v>-271864.88110988872</v>
          </cell>
        </row>
        <row r="56">
          <cell r="C56">
            <v>3384984.7864712779</v>
          </cell>
          <cell r="D56">
            <v>-274155.79262329359</v>
          </cell>
        </row>
        <row r="57">
          <cell r="C57">
            <v>1345064.8837490717</v>
          </cell>
          <cell r="D57">
            <v>-381559.2221247367</v>
          </cell>
        </row>
        <row r="58">
          <cell r="C58">
            <v>-125320.05604892704</v>
          </cell>
          <cell r="D58">
            <v>-6962.2253360515024</v>
          </cell>
        </row>
        <row r="59">
          <cell r="C59">
            <v>671147.29776285414</v>
          </cell>
          <cell r="D59">
            <v>-220449.84233086449</v>
          </cell>
        </row>
        <row r="60">
          <cell r="C60">
            <v>-899162.31064171693</v>
          </cell>
          <cell r="D60">
            <v>2845.4503501320155</v>
          </cell>
        </row>
        <row r="61">
          <cell r="C61">
            <v>1246832.9778759726</v>
          </cell>
          <cell r="D61">
            <v>-162967.79586345699</v>
          </cell>
        </row>
        <row r="62">
          <cell r="C62">
            <v>-1570007.7293182514</v>
          </cell>
          <cell r="D62">
            <v>-440809.86246243212</v>
          </cell>
        </row>
        <row r="63">
          <cell r="C63">
            <v>246109.13294674523</v>
          </cell>
          <cell r="D63">
            <v>87896.118909551864</v>
          </cell>
        </row>
        <row r="64">
          <cell r="C64">
            <v>195509.62894454028</v>
          </cell>
          <cell r="D64">
            <v>-57023.641775490913</v>
          </cell>
        </row>
        <row r="65">
          <cell r="C65">
            <v>214622.94817582134</v>
          </cell>
          <cell r="D65">
            <v>54631.295899299977</v>
          </cell>
        </row>
        <row r="66">
          <cell r="C66">
            <v>36558.649274994284</v>
          </cell>
          <cell r="D66">
            <v>0</v>
          </cell>
        </row>
        <row r="67">
          <cell r="C67">
            <v>-119231.94736030482</v>
          </cell>
          <cell r="D67">
            <v>82943.963381081616</v>
          </cell>
        </row>
        <row r="68">
          <cell r="C68">
            <v>-174990.57979549089</v>
          </cell>
          <cell r="D68">
            <v>3240.5662925090905</v>
          </cell>
        </row>
        <row r="69">
          <cell r="C69">
            <v>-774070.5688540691</v>
          </cell>
          <cell r="D69">
            <v>-43304.647208619252</v>
          </cell>
        </row>
        <row r="70">
          <cell r="C70">
            <v>-216768.69306422165</v>
          </cell>
          <cell r="D70">
            <v>-3496.269242971317</v>
          </cell>
        </row>
        <row r="71">
          <cell r="C71">
            <v>467771.99243615434</v>
          </cell>
          <cell r="D71">
            <v>-132824.1460003895</v>
          </cell>
        </row>
        <row r="72">
          <cell r="C72">
            <v>-433028.80329357099</v>
          </cell>
          <cell r="D72">
            <v>9992.9723836977919</v>
          </cell>
        </row>
        <row r="73">
          <cell r="C73">
            <v>1730957.012288186</v>
          </cell>
          <cell r="D73">
            <v>-65377.872766280409</v>
          </cell>
        </row>
        <row r="80">
          <cell r="C80">
            <v>30277.693638025521</v>
          </cell>
          <cell r="D80">
            <v>-65540.814902418409</v>
          </cell>
        </row>
        <row r="83">
          <cell r="C83">
            <v>35291.208024379142</v>
          </cell>
          <cell r="D83">
            <v>-12604.002865849692</v>
          </cell>
        </row>
        <row r="86">
          <cell r="C86">
            <v>10236.25642296293</v>
          </cell>
          <cell r="D86">
            <v>-71653.794960740503</v>
          </cell>
        </row>
        <row r="87">
          <cell r="C87">
            <v>36469.11387909569</v>
          </cell>
          <cell r="D87">
            <v>-50145.031583756572</v>
          </cell>
        </row>
        <row r="88">
          <cell r="C88">
            <v>994074.21601396566</v>
          </cell>
          <cell r="D88">
            <v>-33414.259361813973</v>
          </cell>
        </row>
        <row r="89">
          <cell r="C89">
            <v>103938.50458218821</v>
          </cell>
          <cell r="D89">
            <v>-6929.2336388125477</v>
          </cell>
        </row>
        <row r="90">
          <cell r="C90">
            <v>234019.99721927289</v>
          </cell>
          <cell r="D90">
            <v>-17334.81460883503</v>
          </cell>
        </row>
        <row r="91">
          <cell r="C91">
            <v>784998.17053817632</v>
          </cell>
          <cell r="D91">
            <v>-140178.24473896006</v>
          </cell>
        </row>
        <row r="92">
          <cell r="C92">
            <v>180650.38132014702</v>
          </cell>
          <cell r="D92">
            <v>176134.12178714335</v>
          </cell>
        </row>
        <row r="93">
          <cell r="C93">
            <v>63202.979173764441</v>
          </cell>
          <cell r="D93">
            <v>18057.994049646983</v>
          </cell>
        </row>
        <row r="116">
          <cell r="C116">
            <v>-3620795.2871017158</v>
          </cell>
          <cell r="D116">
            <v>-84796.142555075319</v>
          </cell>
        </row>
        <row r="117">
          <cell r="C117">
            <v>-169303.49399029557</v>
          </cell>
          <cell r="D117">
            <v>19535.018537341795</v>
          </cell>
        </row>
        <row r="118">
          <cell r="C118">
            <v>-60382.572336177618</v>
          </cell>
          <cell r="D118">
            <v>-17611.583598051806</v>
          </cell>
        </row>
        <row r="119">
          <cell r="C119">
            <v>62958.03162413156</v>
          </cell>
          <cell r="D119">
            <v>-60859.430569993841</v>
          </cell>
        </row>
        <row r="120">
          <cell r="C120">
            <v>-1070286.5376102366</v>
          </cell>
          <cell r="D120">
            <v>-111225.85586929909</v>
          </cell>
        </row>
        <row r="121">
          <cell r="C121">
            <v>-260226.53071307711</v>
          </cell>
          <cell r="D121">
            <v>-14690.207378964031</v>
          </cell>
        </row>
        <row r="122">
          <cell r="C122">
            <v>-29380.414757928062</v>
          </cell>
          <cell r="D122">
            <v>-75549.637948957869</v>
          </cell>
        </row>
        <row r="123">
          <cell r="C123">
            <v>-165473.17169280502</v>
          </cell>
          <cell r="D123">
            <v>-20125.115476151961</v>
          </cell>
        </row>
        <row r="124">
          <cell r="C124">
            <v>-461692.23191029811</v>
          </cell>
          <cell r="D124">
            <v>-54563.627407580687</v>
          </cell>
        </row>
        <row r="125">
          <cell r="C125">
            <v>-201465.701197221</v>
          </cell>
          <cell r="D125">
            <v>-10493.005270688593</v>
          </cell>
        </row>
        <row r="126">
          <cell r="C126">
            <v>-671552.33732406993</v>
          </cell>
          <cell r="D126">
            <v>-2098.6010541377186</v>
          </cell>
        </row>
        <row r="129">
          <cell r="C129">
            <v>256839.06833369713</v>
          </cell>
          <cell r="D129">
            <v>-6315.714795090913</v>
          </cell>
        </row>
        <row r="130">
          <cell r="C130">
            <v>179457.24014513197</v>
          </cell>
          <cell r="D130">
            <v>-14606.984662975858</v>
          </cell>
        </row>
        <row r="131">
          <cell r="C131">
            <v>235786.68568339408</v>
          </cell>
          <cell r="D131">
            <v>2105.2382650303043</v>
          </cell>
        </row>
        <row r="132">
          <cell r="C132">
            <v>54454.24717894596</v>
          </cell>
          <cell r="D132">
            <v>-50265.458934411654</v>
          </cell>
        </row>
        <row r="133">
          <cell r="C133">
            <v>41887.88244534305</v>
          </cell>
          <cell r="D133">
            <v>12566.364733602913</v>
          </cell>
        </row>
        <row r="134">
          <cell r="C134">
            <v>-171740.31802590648</v>
          </cell>
          <cell r="D134">
            <v>8377.5764890686096</v>
          </cell>
        </row>
        <row r="135">
          <cell r="C135">
            <v>-381179.73025262175</v>
          </cell>
          <cell r="D135">
            <v>-25132.729467205827</v>
          </cell>
        </row>
        <row r="136">
          <cell r="C136">
            <v>-113097.28260242623</v>
          </cell>
          <cell r="D136">
            <v>20943.941222671525</v>
          </cell>
        </row>
        <row r="137">
          <cell r="C137">
            <v>209439.41222671524</v>
          </cell>
          <cell r="D137">
            <v>23038.335344938678</v>
          </cell>
        </row>
        <row r="138">
          <cell r="C138">
            <v>117286.07084696053</v>
          </cell>
          <cell r="D138">
            <v>-20943.941222671525</v>
          </cell>
        </row>
        <row r="139">
          <cell r="C139">
            <v>37699.094200808744</v>
          </cell>
          <cell r="D139">
            <v>41887.88244534305</v>
          </cell>
        </row>
        <row r="140">
          <cell r="C140">
            <v>234572.14169392106</v>
          </cell>
          <cell r="D140">
            <v>12566.364733602913</v>
          </cell>
        </row>
        <row r="141">
          <cell r="C141">
            <v>175929.1062704408</v>
          </cell>
          <cell r="D141">
            <v>58643.035423480265</v>
          </cell>
        </row>
        <row r="142">
          <cell r="C142">
            <v>201061.83573764662</v>
          </cell>
          <cell r="D142">
            <v>-2094.3941222671524</v>
          </cell>
        </row>
        <row r="143">
          <cell r="C143">
            <v>205250.62398218093</v>
          </cell>
          <cell r="D143">
            <v>18849.547100404372</v>
          </cell>
        </row>
        <row r="144">
          <cell r="C144">
            <v>142418.80031416635</v>
          </cell>
          <cell r="D144">
            <v>-6283.1823668014567</v>
          </cell>
        </row>
        <row r="145">
          <cell r="C145">
            <v>163362.74153683789</v>
          </cell>
          <cell r="D145">
            <v>4188.7882445343048</v>
          </cell>
        </row>
        <row r="146">
          <cell r="C146">
            <v>322536.69482914149</v>
          </cell>
          <cell r="D146">
            <v>25132.729467205827</v>
          </cell>
        </row>
        <row r="147">
          <cell r="C147">
            <v>113097.28260242623</v>
          </cell>
          <cell r="D147">
            <v>-16755.152978137219</v>
          </cell>
        </row>
        <row r="148">
          <cell r="C148">
            <v>150796.37680323498</v>
          </cell>
          <cell r="D148">
            <v>12566.364733602913</v>
          </cell>
        </row>
        <row r="149">
          <cell r="C149">
            <v>293215.17711740133</v>
          </cell>
          <cell r="D149">
            <v>-12566.364733602913</v>
          </cell>
        </row>
        <row r="150">
          <cell r="C150">
            <v>139821.36466730983</v>
          </cell>
          <cell r="D150">
            <v>24031.797052193877</v>
          </cell>
        </row>
        <row r="151">
          <cell r="C151">
            <v>-142376.11059442273</v>
          </cell>
          <cell r="D151">
            <v>-2093.7663322709227</v>
          </cell>
        </row>
        <row r="152">
          <cell r="C152">
            <v>322353.69161704887</v>
          </cell>
          <cell r="D152">
            <v>-8372.8231588843864</v>
          </cell>
        </row>
        <row r="153">
          <cell r="C153">
            <v>131015.42649490575</v>
          </cell>
          <cell r="D153">
            <v>71847.169368174116</v>
          </cell>
        </row>
        <row r="154">
          <cell r="C154">
            <v>-71209.400157083175</v>
          </cell>
          <cell r="D154">
            <v>4188.7882445343048</v>
          </cell>
        </row>
        <row r="155">
          <cell r="C155">
            <v>-41887.88244534305</v>
          </cell>
          <cell r="D155">
            <v>-20943.941222671525</v>
          </cell>
        </row>
        <row r="156">
          <cell r="C156">
            <v>-580822.2213299385</v>
          </cell>
          <cell r="D156">
            <v>27160.751357155394</v>
          </cell>
        </row>
        <row r="157">
          <cell r="C157">
            <v>-251813.69406013933</v>
          </cell>
          <cell r="D157">
            <v>-12184.533583555129</v>
          </cell>
        </row>
        <row r="158">
          <cell r="C158">
            <v>-284837.6006283327</v>
          </cell>
          <cell r="D158">
            <v>-18849.547100404372</v>
          </cell>
        </row>
        <row r="159">
          <cell r="C159">
            <v>199246.46198743244</v>
          </cell>
          <cell r="D159">
            <v>24905.807748429055</v>
          </cell>
        </row>
        <row r="160">
          <cell r="C160">
            <v>-253785.03595580487</v>
          </cell>
          <cell r="D160">
            <v>-18419.88164195358</v>
          </cell>
        </row>
        <row r="161">
          <cell r="C161">
            <v>-8328.0761251861968</v>
          </cell>
          <cell r="D161">
            <v>20820.190312965493</v>
          </cell>
        </row>
        <row r="162">
          <cell r="C162">
            <v>-376990.94200808741</v>
          </cell>
          <cell r="D162">
            <v>35604.700078541588</v>
          </cell>
        </row>
        <row r="163">
          <cell r="C163">
            <v>92988.338582549171</v>
          </cell>
          <cell r="D163">
            <v>6064.4568640792932</v>
          </cell>
        </row>
        <row r="164">
          <cell r="C164">
            <v>485260.68448585225</v>
          </cell>
          <cell r="D164">
            <v>-29537.606881747528</v>
          </cell>
        </row>
        <row r="165">
          <cell r="C165">
            <v>155254.52284498824</v>
          </cell>
          <cell r="D165">
            <v>12256.936014078019</v>
          </cell>
        </row>
        <row r="166">
          <cell r="C166">
            <v>-314159.11834007286</v>
          </cell>
          <cell r="D166">
            <v>81681.370768418943</v>
          </cell>
        </row>
        <row r="167">
          <cell r="C167">
            <v>140118.64520802989</v>
          </cell>
          <cell r="D167">
            <v>-4121.1366237655848</v>
          </cell>
        </row>
        <row r="168">
          <cell r="C168">
            <v>-28907.739651712796</v>
          </cell>
          <cell r="D168">
            <v>43361.609477569196</v>
          </cell>
        </row>
        <row r="169">
          <cell r="C169">
            <v>109306.94943767825</v>
          </cell>
          <cell r="D169">
            <v>-4204.1134399107023</v>
          </cell>
        </row>
        <row r="170">
          <cell r="C170">
            <v>-124494.28662142689</v>
          </cell>
          <cell r="D170">
            <v>71139.592355101078</v>
          </cell>
        </row>
        <row r="171">
          <cell r="C171">
            <v>181566.44878493794</v>
          </cell>
          <cell r="D171">
            <v>-48417.719675983448</v>
          </cell>
        </row>
        <row r="172">
          <cell r="C172">
            <v>-134863.99164873341</v>
          </cell>
          <cell r="D172">
            <v>30453.159404552709</v>
          </cell>
        </row>
        <row r="173">
          <cell r="C173">
            <v>62767.174816475192</v>
          </cell>
          <cell r="D173">
            <v>-2092.239160549173</v>
          </cell>
        </row>
        <row r="174">
          <cell r="C174">
            <v>555791.53609122778</v>
          </cell>
          <cell r="D174">
            <v>-28606.917298813198</v>
          </cell>
        </row>
        <row r="175">
          <cell r="C175">
            <v>875184.90881987347</v>
          </cell>
          <cell r="D175">
            <v>-6251.3207772848109</v>
          </cell>
        </row>
        <row r="176">
          <cell r="C176">
            <v>80705.71450420437</v>
          </cell>
          <cell r="D176">
            <v>-4035.2857252102185</v>
          </cell>
        </row>
        <row r="177">
          <cell r="C177">
            <v>405854.83581932291</v>
          </cell>
          <cell r="D177">
            <v>0</v>
          </cell>
        </row>
        <row r="178">
          <cell r="C178">
            <v>456577.91865423921</v>
          </cell>
          <cell r="D178">
            <v>-77492.582523884645</v>
          </cell>
        </row>
        <row r="179">
          <cell r="C179">
            <v>917344.62555301271</v>
          </cell>
          <cell r="D179">
            <v>-29321.517711740133</v>
          </cell>
        </row>
        <row r="180">
          <cell r="C180">
            <v>0</v>
          </cell>
          <cell r="D180">
            <v>-14684.618565111234</v>
          </cell>
        </row>
        <row r="181">
          <cell r="C181">
            <v>293024.1086341925</v>
          </cell>
          <cell r="D181">
            <v>-10616.815530224367</v>
          </cell>
        </row>
        <row r="182">
          <cell r="C182">
            <v>209439.41222671524</v>
          </cell>
          <cell r="D182">
            <v>-85870.159012953241</v>
          </cell>
        </row>
        <row r="183">
          <cell r="C183">
            <v>213628.20047124955</v>
          </cell>
          <cell r="D183">
            <v>-8377.5764890686096</v>
          </cell>
        </row>
        <row r="184">
          <cell r="C184">
            <v>138230.01206963207</v>
          </cell>
          <cell r="D184">
            <v>-4188.7882445343048</v>
          </cell>
        </row>
        <row r="185">
          <cell r="C185">
            <v>6020078.0332720336</v>
          </cell>
          <cell r="D185">
            <v>100735.68326559315</v>
          </cell>
        </row>
        <row r="187">
          <cell r="C187">
            <v>193071.2969806701</v>
          </cell>
          <cell r="D187">
            <v>-50366.425299305251</v>
          </cell>
        </row>
        <row r="190">
          <cell r="C190">
            <v>231466.5272886809</v>
          </cell>
          <cell r="D190">
            <v>-40255.048224118415</v>
          </cell>
        </row>
        <row r="201">
          <cell r="C201">
            <v>24030510.265221488</v>
          </cell>
          <cell r="D201">
            <v>-7902040.0942693455</v>
          </cell>
        </row>
      </sheetData>
      <sheetData sheetId="1" refreshError="1"/>
      <sheetData sheetId="2" refreshError="1"/>
      <sheetData sheetId="3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159493.68011446661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-6045.9285166144782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3902.2354213785698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5774.9628695821521</v>
          </cell>
        </row>
        <row r="74">
          <cell r="K74">
            <v>0</v>
          </cell>
        </row>
        <row r="75">
          <cell r="K75">
            <v>-12452.928145958173</v>
          </cell>
        </row>
      </sheetData>
      <sheetData sheetId="4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-12229.081835505618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23974.618700112143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-6145.6743232073923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1012980.3246469975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</sheetData>
      <sheetData sheetId="5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71419.29663984834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364424.5772744845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9572.3821850068307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11190.032351971167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</sheetData>
      <sheetData sheetId="6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245999.7995372554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209439.41222671524</v>
          </cell>
        </row>
        <row r="43">
          <cell r="K43">
            <v>0</v>
          </cell>
        </row>
        <row r="44">
          <cell r="K44">
            <v>9380.5261612130889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9572.3821850068307</v>
          </cell>
        </row>
        <row r="51">
          <cell r="K51">
            <v>-3182.6357675555082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7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178548.24159962084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435633.97743156768</v>
          </cell>
        </row>
        <row r="43">
          <cell r="K43">
            <v>0</v>
          </cell>
        </row>
        <row r="44">
          <cell r="K44">
            <v>9380.5261612130889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9572.3821850068307</v>
          </cell>
        </row>
        <row r="51">
          <cell r="K51">
            <v>3182.6357675555082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5595.0161759855837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8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-5031.8810280148018</v>
          </cell>
        </row>
        <row r="16">
          <cell r="K16">
            <v>704735.21322382858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-25465.479172943691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9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3920.0961587092847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-10787.224372794353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10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542104.01017217583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11" refreshError="1">
        <row r="4">
          <cell r="K4">
            <v>-34117.018152445795</v>
          </cell>
        </row>
        <row r="5">
          <cell r="K5">
            <v>-18878.038001351877</v>
          </cell>
        </row>
        <row r="6">
          <cell r="K6">
            <v>84436.039844676008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27430.5155577228</v>
          </cell>
        </row>
        <row r="10">
          <cell r="K10">
            <v>4153.4184887285837</v>
          </cell>
        </row>
        <row r="11">
          <cell r="K11">
            <v>21512.276763912745</v>
          </cell>
        </row>
        <row r="12">
          <cell r="K12">
            <v>18114.771700853285</v>
          </cell>
        </row>
        <row r="13">
          <cell r="K13">
            <v>-8870.7928937265151</v>
          </cell>
        </row>
        <row r="14">
          <cell r="K14">
            <v>33576.501529188572</v>
          </cell>
        </row>
        <row r="15">
          <cell r="K15">
            <v>0</v>
          </cell>
        </row>
        <row r="16">
          <cell r="K16">
            <v>24814.588074280447</v>
          </cell>
        </row>
        <row r="17">
          <cell r="K17">
            <v>-5503.0868259775289</v>
          </cell>
        </row>
        <row r="18">
          <cell r="K18">
            <v>10790.02600672556</v>
          </cell>
        </row>
        <row r="19">
          <cell r="K19">
            <v>7901.7851130144145</v>
          </cell>
        </row>
        <row r="20">
          <cell r="K20">
            <v>15109.927589791572</v>
          </cell>
        </row>
        <row r="21">
          <cell r="K21">
            <v>0</v>
          </cell>
        </row>
        <row r="22">
          <cell r="K22">
            <v>-5496.4788887925697</v>
          </cell>
        </row>
        <row r="23">
          <cell r="K23">
            <v>-10858.997893719772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14885.33620572976</v>
          </cell>
        </row>
        <row r="27">
          <cell r="K27">
            <v>6315.7687206441506</v>
          </cell>
        </row>
        <row r="28">
          <cell r="K28">
            <v>8154.7032783082486</v>
          </cell>
        </row>
        <row r="29">
          <cell r="K29">
            <v>42851.57798390901</v>
          </cell>
        </row>
        <row r="30">
          <cell r="K30">
            <v>-22918.931255649321</v>
          </cell>
        </row>
        <row r="31">
          <cell r="K31">
            <v>-28224.69234270685</v>
          </cell>
        </row>
        <row r="32">
          <cell r="K32">
            <v>-25437.970160127999</v>
          </cell>
        </row>
        <row r="33">
          <cell r="K33">
            <v>17109.376595945301</v>
          </cell>
        </row>
        <row r="34">
          <cell r="K34">
            <v>12946.294098060558</v>
          </cell>
        </row>
        <row r="35">
          <cell r="K35">
            <v>27206.678324765147</v>
          </cell>
        </row>
        <row r="36">
          <cell r="K36">
            <v>-5444.2414747794228</v>
          </cell>
        </row>
        <row r="37">
          <cell r="K37">
            <v>23430.473810409989</v>
          </cell>
        </row>
        <row r="38">
          <cell r="K38">
            <v>29088.87126247878</v>
          </cell>
        </row>
        <row r="39">
          <cell r="K39">
            <v>-56548.641301213116</v>
          </cell>
        </row>
        <row r="40">
          <cell r="K40">
            <v>105091.03092684642</v>
          </cell>
        </row>
        <row r="41">
          <cell r="K41">
            <v>5628.3156967278537</v>
          </cell>
        </row>
        <row r="42">
          <cell r="K42">
            <v>8050.0461904607837</v>
          </cell>
        </row>
        <row r="43">
          <cell r="K43">
            <v>30226.925420590582</v>
          </cell>
        </row>
        <row r="44">
          <cell r="K44">
            <v>2249.3419102564103</v>
          </cell>
        </row>
        <row r="45">
          <cell r="K45">
            <v>5214.2973842483843</v>
          </cell>
        </row>
        <row r="46">
          <cell r="K46">
            <v>-33357.595722617647</v>
          </cell>
        </row>
        <row r="47">
          <cell r="K47">
            <v>-4307.571983253074</v>
          </cell>
        </row>
        <row r="48">
          <cell r="K48">
            <v>0</v>
          </cell>
        </row>
        <row r="49">
          <cell r="K49">
            <v>17581.516683607613</v>
          </cell>
        </row>
        <row r="50">
          <cell r="K50">
            <v>-3708.5164220827373</v>
          </cell>
        </row>
        <row r="51">
          <cell r="K51">
            <v>78783.764862279713</v>
          </cell>
        </row>
        <row r="52">
          <cell r="K52">
            <v>19417.00387102984</v>
          </cell>
        </row>
        <row r="53">
          <cell r="K53">
            <v>20566.073337972746</v>
          </cell>
        </row>
        <row r="54">
          <cell r="K54">
            <v>-13593.244055494437</v>
          </cell>
        </row>
        <row r="55">
          <cell r="K55">
            <v>100710.29116774052</v>
          </cell>
        </row>
        <row r="56">
          <cell r="K56">
            <v>29646.328049979544</v>
          </cell>
        </row>
        <row r="57">
          <cell r="K57">
            <v>0</v>
          </cell>
        </row>
        <row r="58">
          <cell r="K58">
            <v>-8817.993693234579</v>
          </cell>
        </row>
        <row r="59">
          <cell r="K59">
            <v>25609.053151188142</v>
          </cell>
        </row>
        <row r="60">
          <cell r="K60">
            <v>4656.2227389559139</v>
          </cell>
        </row>
        <row r="61">
          <cell r="K61">
            <v>-5434.642139947794</v>
          </cell>
        </row>
        <row r="62">
          <cell r="K62">
            <v>56956.685053389607</v>
          </cell>
        </row>
        <row r="63">
          <cell r="K63">
            <v>48877.407236135077</v>
          </cell>
        </row>
        <row r="64">
          <cell r="K64">
            <v>-35120.118792407127</v>
          </cell>
        </row>
        <row r="65">
          <cell r="K65">
            <v>16451.392173747427</v>
          </cell>
        </row>
        <row r="66">
          <cell r="K66">
            <v>0</v>
          </cell>
        </row>
        <row r="67">
          <cell r="K67">
            <v>-5833.0193265163634</v>
          </cell>
        </row>
        <row r="68">
          <cell r="K68">
            <v>-24358.864054848327</v>
          </cell>
        </row>
        <row r="69">
          <cell r="K69">
            <v>-18879.853912045117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-22415.27066272471</v>
          </cell>
        </row>
      </sheetData>
      <sheetData sheetId="12" refreshError="1">
        <row r="4">
          <cell r="K4">
            <v>116972.63366552844</v>
          </cell>
        </row>
        <row r="5">
          <cell r="K5">
            <v>31463.396668919795</v>
          </cell>
        </row>
        <row r="6">
          <cell r="K6">
            <v>66660.031456323166</v>
          </cell>
        </row>
        <row r="7">
          <cell r="K7">
            <v>29984.088824181912</v>
          </cell>
        </row>
        <row r="8">
          <cell r="K8">
            <v>97812.351060646062</v>
          </cell>
        </row>
        <row r="9">
          <cell r="K9">
            <v>21944.412446178241</v>
          </cell>
        </row>
        <row r="10">
          <cell r="K10">
            <v>29073.929421100085</v>
          </cell>
        </row>
        <row r="11">
          <cell r="K11">
            <v>210820.31228634491</v>
          </cell>
        </row>
        <row r="12">
          <cell r="K12">
            <v>63401.700952986503</v>
          </cell>
        </row>
        <row r="13">
          <cell r="K13">
            <v>128626.49695903447</v>
          </cell>
        </row>
        <row r="14">
          <cell r="K14">
            <v>6715.3003058377144</v>
          </cell>
        </row>
        <row r="15">
          <cell r="K15">
            <v>-5168.335224489796</v>
          </cell>
        </row>
        <row r="16">
          <cell r="K16">
            <v>-6203.6470185701119</v>
          </cell>
        </row>
        <row r="17">
          <cell r="K17">
            <v>33018.52095586517</v>
          </cell>
        </row>
        <row r="18">
          <cell r="K18">
            <v>-5395.0130033627802</v>
          </cell>
        </row>
        <row r="19">
          <cell r="K19">
            <v>9877.2313912680183</v>
          </cell>
        </row>
        <row r="20">
          <cell r="K20">
            <v>241758.84143666516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48865.490521738975</v>
          </cell>
        </row>
        <row r="24">
          <cell r="K24">
            <v>5735.0968678665758</v>
          </cell>
        </row>
        <row r="25">
          <cell r="K25">
            <v>6038.0579263484897</v>
          </cell>
        </row>
        <row r="26">
          <cell r="K26">
            <v>99235.574704865066</v>
          </cell>
        </row>
        <row r="27">
          <cell r="K27">
            <v>9473.6530809662254</v>
          </cell>
        </row>
        <row r="28">
          <cell r="K28">
            <v>28541.461474078871</v>
          </cell>
        </row>
        <row r="29">
          <cell r="K29">
            <v>239254.64374349196</v>
          </cell>
        </row>
        <row r="30">
          <cell r="K30">
            <v>5729.7328139123301</v>
          </cell>
        </row>
        <row r="31">
          <cell r="K31">
            <v>49393.211599736991</v>
          </cell>
        </row>
        <row r="32">
          <cell r="K32">
            <v>76313.910480384002</v>
          </cell>
        </row>
        <row r="33">
          <cell r="K33">
            <v>-11406.251063963533</v>
          </cell>
        </row>
        <row r="34">
          <cell r="K34">
            <v>17261.725464080744</v>
          </cell>
        </row>
        <row r="35">
          <cell r="K35">
            <v>282949.45457755757</v>
          </cell>
        </row>
        <row r="36">
          <cell r="K36">
            <v>5444.2414747794228</v>
          </cell>
        </row>
        <row r="37">
          <cell r="K37">
            <v>46860.947620819978</v>
          </cell>
        </row>
        <row r="38">
          <cell r="K38">
            <v>72722.178156196955</v>
          </cell>
        </row>
        <row r="39">
          <cell r="K39">
            <v>105557.46376226448</v>
          </cell>
        </row>
        <row r="40">
          <cell r="K40">
            <v>71904.389581526499</v>
          </cell>
        </row>
        <row r="41">
          <cell r="K41">
            <v>11256.631393455707</v>
          </cell>
        </row>
        <row r="42">
          <cell r="K42">
            <v>-4025.0230952303918</v>
          </cell>
        </row>
        <row r="43">
          <cell r="K43">
            <v>-60453.850841181164</v>
          </cell>
        </row>
        <row r="44">
          <cell r="K44">
            <v>-2249.3419102564103</v>
          </cell>
        </row>
        <row r="45">
          <cell r="K45">
            <v>0</v>
          </cell>
        </row>
        <row r="46">
          <cell r="K46">
            <v>16678.797861308823</v>
          </cell>
        </row>
        <row r="47">
          <cell r="K47">
            <v>25845.431899518444</v>
          </cell>
        </row>
        <row r="48">
          <cell r="K48">
            <v>68744.932579198998</v>
          </cell>
        </row>
        <row r="49">
          <cell r="K49">
            <v>82047.077856835531</v>
          </cell>
        </row>
        <row r="50">
          <cell r="K50">
            <v>3708.5164220827373</v>
          </cell>
        </row>
        <row r="51">
          <cell r="K51">
            <v>-4634.3391095458655</v>
          </cell>
        </row>
        <row r="52">
          <cell r="K52">
            <v>29125.505806544759</v>
          </cell>
        </row>
        <row r="53">
          <cell r="K53">
            <v>-77122.775017397798</v>
          </cell>
        </row>
        <row r="54">
          <cell r="K54">
            <v>-9062.1627036629579</v>
          </cell>
        </row>
        <row r="55">
          <cell r="K55">
            <v>347450.5045287048</v>
          </cell>
        </row>
        <row r="56">
          <cell r="K56">
            <v>-4941.0546749965906</v>
          </cell>
        </row>
        <row r="57">
          <cell r="K57">
            <v>18798.008407339057</v>
          </cell>
        </row>
        <row r="58">
          <cell r="K58">
            <v>22044.984233086449</v>
          </cell>
        </row>
        <row r="59">
          <cell r="K59">
            <v>-10243.621260475256</v>
          </cell>
        </row>
        <row r="60">
          <cell r="K60">
            <v>-4656.2227389559139</v>
          </cell>
        </row>
        <row r="61">
          <cell r="K61">
            <v>70650.347819321323</v>
          </cell>
        </row>
        <row r="62">
          <cell r="K62">
            <v>-6328.5205614877341</v>
          </cell>
        </row>
        <row r="63">
          <cell r="K63">
            <v>-68428.370130589115</v>
          </cell>
        </row>
        <row r="64">
          <cell r="K64">
            <v>42144.142550888559</v>
          </cell>
        </row>
        <row r="65">
          <cell r="K65">
            <v>-5483.7973912491425</v>
          </cell>
        </row>
        <row r="66">
          <cell r="K66">
            <v>-27993.587641115046</v>
          </cell>
        </row>
        <row r="67">
          <cell r="K67">
            <v>11666.038653032727</v>
          </cell>
        </row>
        <row r="68">
          <cell r="K68">
            <v>-9743.5456219393309</v>
          </cell>
        </row>
        <row r="69">
          <cell r="K69">
            <v>-6293.2846373483717</v>
          </cell>
        </row>
        <row r="70">
          <cell r="K70">
            <v>-20789.866330495748</v>
          </cell>
        </row>
        <row r="71">
          <cell r="K71">
            <v>-5995.7834302186757</v>
          </cell>
        </row>
        <row r="72">
          <cell r="K72">
            <v>-5603.8176656811775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I7">
            <v>0</v>
          </cell>
        </row>
        <row r="8">
          <cell r="I8">
            <v>0</v>
          </cell>
        </row>
        <row r="9">
          <cell r="I9">
            <v>-191.28459017253454</v>
          </cell>
        </row>
        <row r="10">
          <cell r="I10">
            <v>-532.55356405105613</v>
          </cell>
        </row>
        <row r="11">
          <cell r="I11">
            <v>0</v>
          </cell>
        </row>
        <row r="12">
          <cell r="I12">
            <v>759.54921573911167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550.38696621847282</v>
          </cell>
        </row>
        <row r="16">
          <cell r="I16">
            <v>159.15117599987346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447.69249790624025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715.28764778622667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-481.90041217253497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513.6751375301227</v>
          </cell>
        </row>
        <row r="42">
          <cell r="I42">
            <v>223.22308069873711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-848.514336858756</v>
          </cell>
        </row>
        <row r="47">
          <cell r="I47">
            <v>456.96921741035879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137.12158733577132</v>
          </cell>
        </row>
        <row r="56">
          <cell r="I56">
            <v>-5609.9811240417284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521.82109555229033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-103.15140672141462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-44070.622136892089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-2887.481434791076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28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3057.2704588764045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2397.4618700112142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-6145.6743232073923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2845.4503501320155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8119.6213516161097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</sheetData>
      <sheetData sheetId="29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50265.458934411654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2393.0955462517077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</sheetData>
      <sheetData sheetId="30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7935.4774044275937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4188.7882445343048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-2797.5080879927918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31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-15870.954808855187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-2094.3941222671524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32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-56674.510154363838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33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-29664.867025184471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34" refreshError="1"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-91172.038074411394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25465.479172943691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</sheetData>
      <sheetData sheetId="35" refreshError="1">
        <row r="4">
          <cell r="K4">
            <v>-4873.859736063685</v>
          </cell>
        </row>
        <row r="5">
          <cell r="K5">
            <v>-6292.679333783959</v>
          </cell>
        </row>
        <row r="6">
          <cell r="K6">
            <v>-26664.012582529263</v>
          </cell>
        </row>
        <row r="7">
          <cell r="K7">
            <v>0</v>
          </cell>
        </row>
        <row r="8">
          <cell r="K8">
            <v>-7335.9263295484552</v>
          </cell>
        </row>
        <row r="9">
          <cell r="K9">
            <v>-8229.1546673168414</v>
          </cell>
        </row>
        <row r="10">
          <cell r="K10">
            <v>-3115.0638665464376</v>
          </cell>
        </row>
        <row r="11">
          <cell r="K11">
            <v>-32268.415145869119</v>
          </cell>
        </row>
        <row r="12">
          <cell r="K12">
            <v>-22643.464626066605</v>
          </cell>
        </row>
        <row r="13">
          <cell r="K13">
            <v>-6653.0946702948859</v>
          </cell>
        </row>
        <row r="14">
          <cell r="K14">
            <v>-3357.6501529188572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-2751.5434129887644</v>
          </cell>
        </row>
        <row r="18">
          <cell r="K18">
            <v>-5395.0130033627802</v>
          </cell>
        </row>
        <row r="19">
          <cell r="K19">
            <v>-5926.3388347608106</v>
          </cell>
        </row>
        <row r="20">
          <cell r="K20">
            <v>-22664.891384687358</v>
          </cell>
        </row>
        <row r="21">
          <cell r="K21">
            <v>0</v>
          </cell>
        </row>
        <row r="22">
          <cell r="K22">
            <v>-5496.4788887925697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-2480.8893676216267</v>
          </cell>
        </row>
        <row r="27">
          <cell r="K27">
            <v>-1578.9421801610376</v>
          </cell>
        </row>
        <row r="28">
          <cell r="K28">
            <v>0</v>
          </cell>
        </row>
        <row r="29">
          <cell r="K29">
            <v>-32138.683487931754</v>
          </cell>
        </row>
        <row r="30">
          <cell r="K30">
            <v>-2864.8664069561651</v>
          </cell>
        </row>
        <row r="31">
          <cell r="K31">
            <v>-10584.259628515068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-6473.147049030279</v>
          </cell>
        </row>
        <row r="35">
          <cell r="K35">
            <v>-21765.342659812119</v>
          </cell>
        </row>
        <row r="36">
          <cell r="K36">
            <v>0</v>
          </cell>
        </row>
        <row r="37">
          <cell r="K37">
            <v>-2928.8092263012486</v>
          </cell>
        </row>
        <row r="38">
          <cell r="K38">
            <v>0</v>
          </cell>
        </row>
        <row r="39">
          <cell r="K39">
            <v>-16964.592390363934</v>
          </cell>
        </row>
        <row r="40">
          <cell r="K40">
            <v>-13827.767227216635</v>
          </cell>
        </row>
        <row r="41">
          <cell r="K41">
            <v>-5628.3156967278537</v>
          </cell>
        </row>
        <row r="42">
          <cell r="K42">
            <v>-12075.069285691176</v>
          </cell>
        </row>
        <row r="43">
          <cell r="K43">
            <v>-12594.552258579408</v>
          </cell>
        </row>
        <row r="44">
          <cell r="K44">
            <v>-2249.3419102564103</v>
          </cell>
        </row>
        <row r="45">
          <cell r="K45">
            <v>-13035.743460620961</v>
          </cell>
        </row>
        <row r="46">
          <cell r="K46">
            <v>-8339.3989306544117</v>
          </cell>
        </row>
        <row r="47">
          <cell r="K47">
            <v>-2153.785991626537</v>
          </cell>
        </row>
        <row r="48">
          <cell r="K48">
            <v>0</v>
          </cell>
        </row>
        <row r="49">
          <cell r="K49">
            <v>-2930.252780601269</v>
          </cell>
        </row>
        <row r="50">
          <cell r="K50">
            <v>0</v>
          </cell>
        </row>
        <row r="51">
          <cell r="K51">
            <v>-2317.1695547729328</v>
          </cell>
        </row>
        <row r="52">
          <cell r="K52">
            <v>-16989.878387151111</v>
          </cell>
        </row>
        <row r="53">
          <cell r="K53">
            <v>-2570.7591672465933</v>
          </cell>
        </row>
        <row r="54">
          <cell r="K54">
            <v>-6796.6220277472185</v>
          </cell>
        </row>
        <row r="55">
          <cell r="K55">
            <v>-55390.660142257286</v>
          </cell>
        </row>
        <row r="56">
          <cell r="K56">
            <v>-19764.218699986362</v>
          </cell>
        </row>
        <row r="57">
          <cell r="K57">
            <v>0</v>
          </cell>
        </row>
        <row r="58">
          <cell r="K58">
            <v>-4408.9968466172895</v>
          </cell>
        </row>
        <row r="59">
          <cell r="K59">
            <v>-5121.8106302376282</v>
          </cell>
        </row>
        <row r="60">
          <cell r="K60">
            <v>0</v>
          </cell>
        </row>
        <row r="61">
          <cell r="K61">
            <v>-32607.852839686762</v>
          </cell>
        </row>
        <row r="62">
          <cell r="K62">
            <v>-15821.301403719335</v>
          </cell>
        </row>
        <row r="63">
          <cell r="K63">
            <v>-24438.703618067539</v>
          </cell>
        </row>
        <row r="64">
          <cell r="K64">
            <v>0</v>
          </cell>
        </row>
        <row r="65">
          <cell r="K65">
            <v>-8225.6960868737133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6293.2846373483717</v>
          </cell>
        </row>
        <row r="70">
          <cell r="K70">
            <v>-2598.7332913119685</v>
          </cell>
        </row>
        <row r="71">
          <cell r="K71">
            <v>-2997.8917151093378</v>
          </cell>
        </row>
        <row r="72">
          <cell r="K72">
            <v>2801.9088328405887</v>
          </cell>
        </row>
      </sheetData>
      <sheetData sheetId="36" refreshError="1">
        <row r="4">
          <cell r="K4">
            <v>-38990.87788850948</v>
          </cell>
        </row>
        <row r="5">
          <cell r="K5">
            <v>-15731.698334459898</v>
          </cell>
        </row>
        <row r="6">
          <cell r="K6">
            <v>2222.0010485441053</v>
          </cell>
        </row>
        <row r="7">
          <cell r="K7">
            <v>-20988.862176927338</v>
          </cell>
        </row>
        <row r="8">
          <cell r="K8">
            <v>-24453.087765161516</v>
          </cell>
        </row>
        <row r="9">
          <cell r="K9">
            <v>38402.721780811924</v>
          </cell>
        </row>
        <row r="10">
          <cell r="K10">
            <v>-12460.25546618575</v>
          </cell>
        </row>
        <row r="11">
          <cell r="K11">
            <v>-55931.919586173142</v>
          </cell>
        </row>
        <row r="12">
          <cell r="K12">
            <v>29436.504013886588</v>
          </cell>
        </row>
        <row r="13">
          <cell r="K13">
            <v>0</v>
          </cell>
        </row>
        <row r="14">
          <cell r="K14">
            <v>3357.6501529188572</v>
          </cell>
        </row>
        <row r="15">
          <cell r="K15">
            <v>1292.083806122449</v>
          </cell>
        </row>
        <row r="16">
          <cell r="K16">
            <v>-3101.8235092850559</v>
          </cell>
        </row>
        <row r="17">
          <cell r="K17">
            <v>-5503.0868259775289</v>
          </cell>
        </row>
        <row r="18">
          <cell r="K18">
            <v>5395.0130033627802</v>
          </cell>
        </row>
        <row r="19">
          <cell r="K19">
            <v>0</v>
          </cell>
        </row>
        <row r="20">
          <cell r="K20">
            <v>-52884.746564270506</v>
          </cell>
        </row>
        <row r="21">
          <cell r="K21">
            <v>0</v>
          </cell>
        </row>
        <row r="22">
          <cell r="K22">
            <v>13741.197221981423</v>
          </cell>
        </row>
        <row r="23">
          <cell r="K23">
            <v>-16288.496840579657</v>
          </cell>
        </row>
        <row r="24">
          <cell r="K24">
            <v>0</v>
          </cell>
        </row>
        <row r="25">
          <cell r="K25">
            <v>-12076.115852696979</v>
          </cell>
        </row>
        <row r="26">
          <cell r="K26">
            <v>-32251.561779081145</v>
          </cell>
        </row>
        <row r="27">
          <cell r="K27">
            <v>-4736.8265404831127</v>
          </cell>
        </row>
        <row r="28">
          <cell r="K28">
            <v>-12232.054917462374</v>
          </cell>
        </row>
        <row r="29">
          <cell r="K29">
            <v>-14283.859327969669</v>
          </cell>
        </row>
        <row r="30">
          <cell r="K30">
            <v>8594.5992208684947</v>
          </cell>
        </row>
        <row r="31">
          <cell r="K31">
            <v>15876.389442772603</v>
          </cell>
        </row>
        <row r="32">
          <cell r="K32">
            <v>-31797.462700159998</v>
          </cell>
        </row>
        <row r="33">
          <cell r="K33">
            <v>2851.5627659908832</v>
          </cell>
        </row>
        <row r="34">
          <cell r="K34">
            <v>-2157.715683010093</v>
          </cell>
        </row>
        <row r="35">
          <cell r="K35">
            <v>-32648.01398971818</v>
          </cell>
        </row>
        <row r="36">
          <cell r="K36">
            <v>2722.1207373897114</v>
          </cell>
        </row>
        <row r="37">
          <cell r="K37">
            <v>-8786.4276789037467</v>
          </cell>
        </row>
        <row r="38">
          <cell r="K38">
            <v>-21816.653446859087</v>
          </cell>
        </row>
        <row r="39">
          <cell r="K39">
            <v>1884.9547100404372</v>
          </cell>
        </row>
        <row r="40">
          <cell r="K40">
            <v>-16593.32067265996</v>
          </cell>
        </row>
        <row r="41">
          <cell r="K41">
            <v>2814.1578483639269</v>
          </cell>
        </row>
        <row r="42">
          <cell r="K42">
            <v>0</v>
          </cell>
        </row>
        <row r="43">
          <cell r="K43">
            <v>37783.656775738222</v>
          </cell>
        </row>
        <row r="44">
          <cell r="K44">
            <v>1124.6709551282052</v>
          </cell>
        </row>
        <row r="45">
          <cell r="K45">
            <v>13035.743460620961</v>
          </cell>
        </row>
        <row r="46">
          <cell r="K46">
            <v>-8339.3989306544117</v>
          </cell>
        </row>
        <row r="47">
          <cell r="K47">
            <v>-2153.785991626537</v>
          </cell>
        </row>
        <row r="48">
          <cell r="K48">
            <v>-15754.047049399769</v>
          </cell>
        </row>
        <row r="49">
          <cell r="K49">
            <v>-26372.275025411422</v>
          </cell>
        </row>
        <row r="50">
          <cell r="K50">
            <v>0</v>
          </cell>
        </row>
        <row r="51">
          <cell r="K51">
            <v>37074.712876366924</v>
          </cell>
        </row>
        <row r="52">
          <cell r="K52">
            <v>38834.007742059679</v>
          </cell>
        </row>
        <row r="53">
          <cell r="K53">
            <v>28278.350839712526</v>
          </cell>
        </row>
        <row r="54">
          <cell r="K54">
            <v>-4531.081351831479</v>
          </cell>
        </row>
        <row r="55">
          <cell r="K55">
            <v>-32730.844629515672</v>
          </cell>
        </row>
        <row r="56">
          <cell r="K56">
            <v>83997.929474942037</v>
          </cell>
        </row>
        <row r="57">
          <cell r="K57">
            <v>0</v>
          </cell>
        </row>
        <row r="58">
          <cell r="K58">
            <v>46294.46688948154</v>
          </cell>
        </row>
        <row r="59">
          <cell r="K59">
            <v>10243.621260475256</v>
          </cell>
        </row>
        <row r="60">
          <cell r="K60">
            <v>0</v>
          </cell>
        </row>
        <row r="61">
          <cell r="K61">
            <v>8151.9632099216906</v>
          </cell>
        </row>
        <row r="62">
          <cell r="K62">
            <v>22149.821965207069</v>
          </cell>
        </row>
        <row r="63">
          <cell r="K63">
            <v>58652.888683362093</v>
          </cell>
        </row>
        <row r="64">
          <cell r="K64">
            <v>-5268.0178188610698</v>
          </cell>
        </row>
        <row r="65">
          <cell r="K65">
            <v>0</v>
          </cell>
        </row>
        <row r="66">
          <cell r="K66">
            <v>2332.7989700929206</v>
          </cell>
        </row>
        <row r="67">
          <cell r="K67">
            <v>2916.5096632581817</v>
          </cell>
        </row>
        <row r="68">
          <cell r="K68">
            <v>9743.5456219393309</v>
          </cell>
        </row>
        <row r="69">
          <cell r="K69">
            <v>6293.2846373483717</v>
          </cell>
        </row>
        <row r="70">
          <cell r="K70">
            <v>7796.199873935906</v>
          </cell>
        </row>
        <row r="71">
          <cell r="K71">
            <v>32976.808866202715</v>
          </cell>
        </row>
        <row r="72">
          <cell r="K72">
            <v>5603.8176656811775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 Distributions &amp; Adjust"/>
      <sheetName val="Table 2A EFTs"/>
      <sheetName val="Table 3 Levels 1&amp;2"/>
      <sheetName val="Table 4 Level 3"/>
      <sheetName val="Table 4A Stipends"/>
      <sheetName val="Table 5A1 Labs NOCCA LSMSA"/>
      <sheetName val="Table 5B1_RSD_Orleans"/>
      <sheetName val="Table 5B2_RSD_LA"/>
      <sheetName val="Table 5C1 - Type 2s"/>
      <sheetName val="Table 5C2 - LA Virtual Admy"/>
      <sheetName val="Table 5C3 - LA Connections EBR"/>
      <sheetName val="Table 5D - Legacy Type 2"/>
      <sheetName val="Table 5E_OJJ"/>
      <sheetName val="Table 6 (Local Deduct Calc.)"/>
      <sheetName val="Table 7 Local Revenue"/>
      <sheetName val="Table 8   2-1-10 Membershi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1">
          <cell r="C41">
            <v>3378793</v>
          </cell>
        </row>
      </sheetData>
      <sheetData sheetId="5">
        <row r="8">
          <cell r="C8">
            <v>9154</v>
          </cell>
        </row>
      </sheetData>
      <sheetData sheetId="6">
        <row r="6">
          <cell r="F6">
            <v>0</v>
          </cell>
          <cell r="H6">
            <v>0</v>
          </cell>
        </row>
        <row r="7">
          <cell r="F7">
            <v>0</v>
          </cell>
          <cell r="H7">
            <v>0</v>
          </cell>
        </row>
        <row r="8">
          <cell r="F8">
            <v>0</v>
          </cell>
          <cell r="H8">
            <v>0</v>
          </cell>
        </row>
        <row r="9">
          <cell r="F9">
            <v>0</v>
          </cell>
          <cell r="H9">
            <v>0</v>
          </cell>
        </row>
        <row r="10">
          <cell r="F10">
            <v>0</v>
          </cell>
          <cell r="H10">
            <v>0</v>
          </cell>
        </row>
        <row r="11">
          <cell r="F11">
            <v>0</v>
          </cell>
          <cell r="H11">
            <v>0</v>
          </cell>
        </row>
        <row r="12">
          <cell r="F12">
            <v>0</v>
          </cell>
          <cell r="H12">
            <v>0</v>
          </cell>
        </row>
        <row r="13">
          <cell r="F13">
            <v>0</v>
          </cell>
          <cell r="H13">
            <v>0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0</v>
          </cell>
          <cell r="H19">
            <v>0</v>
          </cell>
        </row>
        <row r="20">
          <cell r="F20">
            <v>-89768</v>
          </cell>
          <cell r="H20">
            <v>-22442</v>
          </cell>
        </row>
        <row r="21">
          <cell r="F21">
            <v>0</v>
          </cell>
          <cell r="H21">
            <v>0</v>
          </cell>
        </row>
        <row r="22">
          <cell r="F22">
            <v>-4805928</v>
          </cell>
          <cell r="H22">
            <v>-1201482</v>
          </cell>
        </row>
        <row r="23">
          <cell r="F23">
            <v>0</v>
          </cell>
          <cell r="H23">
            <v>0</v>
          </cell>
        </row>
        <row r="24">
          <cell r="F24">
            <v>0</v>
          </cell>
          <cell r="H24">
            <v>0</v>
          </cell>
        </row>
        <row r="25">
          <cell r="F25">
            <v>-70248</v>
          </cell>
          <cell r="H25">
            <v>-17562</v>
          </cell>
        </row>
        <row r="26">
          <cell r="F26">
            <v>0</v>
          </cell>
          <cell r="H26">
            <v>0</v>
          </cell>
        </row>
        <row r="27">
          <cell r="F27">
            <v>0</v>
          </cell>
          <cell r="H27">
            <v>0</v>
          </cell>
        </row>
        <row r="28">
          <cell r="F28">
            <v>0</v>
          </cell>
          <cell r="H28">
            <v>0</v>
          </cell>
        </row>
        <row r="29">
          <cell r="F29">
            <v>-306881</v>
          </cell>
          <cell r="H29">
            <v>-76721</v>
          </cell>
        </row>
        <row r="30">
          <cell r="F30">
            <v>0</v>
          </cell>
          <cell r="H30">
            <v>0</v>
          </cell>
        </row>
        <row r="31">
          <cell r="F31">
            <v>-3395697</v>
          </cell>
          <cell r="H31">
            <v>-848925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0</v>
          </cell>
          <cell r="H34">
            <v>0</v>
          </cell>
        </row>
        <row r="35">
          <cell r="F35">
            <v>0</v>
          </cell>
          <cell r="H35">
            <v>0</v>
          </cell>
        </row>
        <row r="36">
          <cell r="F36">
            <v>0</v>
          </cell>
          <cell r="H36">
            <v>0</v>
          </cell>
        </row>
        <row r="37">
          <cell r="F37">
            <v>0</v>
          </cell>
          <cell r="H37">
            <v>0</v>
          </cell>
        </row>
        <row r="38">
          <cell r="F38">
            <v>0</v>
          </cell>
          <cell r="H38">
            <v>0</v>
          </cell>
        </row>
        <row r="39">
          <cell r="F39">
            <v>0</v>
          </cell>
          <cell r="H39">
            <v>0</v>
          </cell>
        </row>
        <row r="40">
          <cell r="F40">
            <v>0</v>
          </cell>
          <cell r="H40">
            <v>0</v>
          </cell>
        </row>
        <row r="41">
          <cell r="F41">
            <v>0</v>
          </cell>
          <cell r="H41">
            <v>0</v>
          </cell>
        </row>
        <row r="42">
          <cell r="F42">
            <v>0</v>
          </cell>
          <cell r="H42">
            <v>0</v>
          </cell>
        </row>
        <row r="43">
          <cell r="F43">
            <v>-1651872</v>
          </cell>
          <cell r="H43">
            <v>-412968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0</v>
          </cell>
          <cell r="H46">
            <v>0</v>
          </cell>
        </row>
        <row r="47">
          <cell r="F47">
            <v>0</v>
          </cell>
          <cell r="H47">
            <v>0</v>
          </cell>
        </row>
        <row r="48">
          <cell r="F48">
            <v>0</v>
          </cell>
          <cell r="H48">
            <v>0</v>
          </cell>
        </row>
        <row r="49">
          <cell r="F49">
            <v>0</v>
          </cell>
          <cell r="H49">
            <v>0</v>
          </cell>
        </row>
        <row r="50">
          <cell r="F50">
            <v>-3410177</v>
          </cell>
          <cell r="H50">
            <v>-537734</v>
          </cell>
        </row>
        <row r="51">
          <cell r="F51">
            <v>0</v>
          </cell>
          <cell r="H51">
            <v>0</v>
          </cell>
        </row>
        <row r="52">
          <cell r="F52">
            <v>-316180</v>
          </cell>
          <cell r="H52">
            <v>-79045</v>
          </cell>
        </row>
        <row r="53">
          <cell r="F53">
            <v>0</v>
          </cell>
          <cell r="H53">
            <v>0</v>
          </cell>
        </row>
        <row r="54">
          <cell r="F54">
            <v>0</v>
          </cell>
          <cell r="H54">
            <v>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0</v>
          </cell>
          <cell r="H67">
            <v>0</v>
          </cell>
        </row>
        <row r="68">
          <cell r="F68">
            <v>-2091280</v>
          </cell>
          <cell r="H68">
            <v>-522820</v>
          </cell>
        </row>
        <row r="69">
          <cell r="F69">
            <v>0</v>
          </cell>
          <cell r="H69">
            <v>0</v>
          </cell>
        </row>
        <row r="70">
          <cell r="F70">
            <v>0</v>
          </cell>
          <cell r="H70">
            <v>0</v>
          </cell>
        </row>
        <row r="71">
          <cell r="F71">
            <v>0</v>
          </cell>
          <cell r="H71">
            <v>0</v>
          </cell>
        </row>
        <row r="72">
          <cell r="F72">
            <v>0</v>
          </cell>
          <cell r="H72">
            <v>0</v>
          </cell>
        </row>
        <row r="73">
          <cell r="F73">
            <v>0</v>
          </cell>
          <cell r="H73">
            <v>0</v>
          </cell>
        </row>
        <row r="74">
          <cell r="F74">
            <v>0</v>
          </cell>
          <cell r="H7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Factors"/>
      <sheetName val="Summary of Simulation "/>
      <sheetName val="Table 1 State Summary "/>
      <sheetName val="Table 2_State with Midyear Adjs"/>
      <sheetName val="Table 2A-1_EFT (Annual)"/>
      <sheetName val="Table 2A-2 EFT (Monthly)"/>
      <sheetName val="Table 3 Levels 1&amp;2"/>
      <sheetName val="Table 4 Level 3"/>
      <sheetName val="Table 4A Stipends"/>
      <sheetName val="Table 5A1 Labs, LSMSA, NOCCA "/>
      <sheetName val="Table 5A2 LSMSA"/>
      <sheetName val="Table 5A3 NOCCA"/>
      <sheetName val="Table 5B1_RSD_Orleans"/>
      <sheetName val="Table 5B2_RSD_LA"/>
      <sheetName val="Table 5C- Legacy Type 2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E_OJJ"/>
      <sheetName val="Table 6 (Local Deduct Calc.)"/>
      <sheetName val="Table 7 Local Revenue"/>
      <sheetName val="Table 8 2.1.12 MFP Funded"/>
      <sheetName val="2-1-12 MFP Funded by sit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7">
          <cell r="AL77">
            <v>4336.5032257801222</v>
          </cell>
          <cell r="AP77">
            <v>5041.6011463398772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2">
          <cell r="G12">
            <v>1359</v>
          </cell>
        </row>
        <row r="13">
          <cell r="G13">
            <v>266</v>
          </cell>
        </row>
      </sheetData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10.1.12 MFP Funded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RSD-NO by Site"/>
      <sheetName val="10.1.12 RSD operated by Site"/>
      <sheetName val="2-1-13 ALL"/>
    </sheetNames>
    <sheetDataSet>
      <sheetData sheetId="0">
        <row r="76">
          <cell r="C76">
            <v>69194.651183226539</v>
          </cell>
          <cell r="D76">
            <v>7413.7126267742724</v>
          </cell>
        </row>
        <row r="77">
          <cell r="C77">
            <v>569113.37564629829</v>
          </cell>
          <cell r="D77">
            <v>30218.409326352121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RSD-NO"/>
      <sheetName val="RSD-LA"/>
      <sheetName val="Table 2A-2 EFT-ak"/>
    </sheetNames>
    <sheetDataSet>
      <sheetData sheetId="0">
        <row r="8">
          <cell r="DT8">
            <v>33535554</v>
          </cell>
        </row>
        <row r="79">
          <cell r="EW79">
            <v>4468368</v>
          </cell>
        </row>
        <row r="80">
          <cell r="EW80">
            <v>889584</v>
          </cell>
        </row>
      </sheetData>
      <sheetData sheetId="1">
        <row r="7">
          <cell r="FS7">
            <v>818885</v>
          </cell>
        </row>
      </sheetData>
      <sheetData sheetId="2">
        <row r="7">
          <cell r="CU7">
            <v>1297736</v>
          </cell>
        </row>
      </sheetData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FY2012-13 Final"/>
      <sheetName val="Detail Calculation exclude debt"/>
      <sheetName val="Detail Calculation for debt"/>
      <sheetName val="Detail"/>
      <sheetName val="10-1-12"/>
      <sheetName val="2.1.12 SIS"/>
      <sheetName val="AFR Revenues"/>
      <sheetName val="AFR Expenditures"/>
    </sheetNames>
    <sheetDataSet>
      <sheetData sheetId="0"/>
      <sheetData sheetId="1">
        <row r="8">
          <cell r="D8">
            <v>2042</v>
          </cell>
          <cell r="K8">
            <v>2115</v>
          </cell>
        </row>
        <row r="9">
          <cell r="D9">
            <v>2280</v>
          </cell>
          <cell r="K9">
            <v>2584</v>
          </cell>
        </row>
        <row r="10">
          <cell r="D10">
            <v>4285</v>
          </cell>
          <cell r="K10">
            <v>4977</v>
          </cell>
        </row>
        <row r="11">
          <cell r="D11">
            <v>3455</v>
          </cell>
          <cell r="K11">
            <v>3455</v>
          </cell>
        </row>
        <row r="12">
          <cell r="D12">
            <v>1515</v>
          </cell>
          <cell r="K12">
            <v>1515</v>
          </cell>
        </row>
        <row r="13">
          <cell r="D13">
            <v>2973</v>
          </cell>
          <cell r="K13">
            <v>3579</v>
          </cell>
        </row>
        <row r="14">
          <cell r="D14">
            <v>11788</v>
          </cell>
          <cell r="K14">
            <v>12483</v>
          </cell>
        </row>
        <row r="15">
          <cell r="D15">
            <v>3649</v>
          </cell>
          <cell r="K15">
            <v>4187</v>
          </cell>
        </row>
        <row r="16">
          <cell r="D16">
            <v>3942</v>
          </cell>
          <cell r="K16">
            <v>4649</v>
          </cell>
        </row>
        <row r="17">
          <cell r="D17">
            <v>3674</v>
          </cell>
          <cell r="K17">
            <v>4395</v>
          </cell>
        </row>
        <row r="18">
          <cell r="D18">
            <v>2496</v>
          </cell>
          <cell r="K18">
            <v>3450</v>
          </cell>
        </row>
        <row r="19">
          <cell r="D19">
            <v>11924</v>
          </cell>
          <cell r="K19">
            <v>12561</v>
          </cell>
        </row>
        <row r="20">
          <cell r="D20">
            <v>2410</v>
          </cell>
          <cell r="K20">
            <v>2538</v>
          </cell>
        </row>
        <row r="21">
          <cell r="D21">
            <v>3331</v>
          </cell>
          <cell r="K21">
            <v>3890</v>
          </cell>
        </row>
        <row r="22">
          <cell r="D22">
            <v>2752</v>
          </cell>
          <cell r="K22">
            <v>2752</v>
          </cell>
        </row>
        <row r="23">
          <cell r="D23">
            <v>13796</v>
          </cell>
          <cell r="K23">
            <v>15097</v>
          </cell>
        </row>
        <row r="24">
          <cell r="D24">
            <v>5738</v>
          </cell>
          <cell r="K24">
            <v>6601</v>
          </cell>
        </row>
        <row r="25">
          <cell r="D25">
            <v>2179</v>
          </cell>
          <cell r="K25">
            <v>2179</v>
          </cell>
        </row>
        <row r="26">
          <cell r="D26">
            <v>2736</v>
          </cell>
          <cell r="K26">
            <v>2736</v>
          </cell>
        </row>
        <row r="27">
          <cell r="D27">
            <v>2266</v>
          </cell>
          <cell r="K27">
            <v>2337</v>
          </cell>
        </row>
        <row r="28">
          <cell r="D28">
            <v>1563</v>
          </cell>
          <cell r="K28">
            <v>2293</v>
          </cell>
        </row>
        <row r="29">
          <cell r="D29">
            <v>771</v>
          </cell>
          <cell r="K29">
            <v>1412</v>
          </cell>
        </row>
        <row r="30">
          <cell r="D30">
            <v>2512</v>
          </cell>
          <cell r="K30">
            <v>3278</v>
          </cell>
        </row>
        <row r="31">
          <cell r="D31">
            <v>8647</v>
          </cell>
          <cell r="K31">
            <v>9311</v>
          </cell>
        </row>
        <row r="32">
          <cell r="D32">
            <v>5201</v>
          </cell>
          <cell r="K32">
            <v>5361</v>
          </cell>
        </row>
        <row r="33">
          <cell r="D33">
            <v>4601</v>
          </cell>
          <cell r="K33">
            <v>5202</v>
          </cell>
        </row>
        <row r="34">
          <cell r="D34">
            <v>2510</v>
          </cell>
          <cell r="K34">
            <v>3093</v>
          </cell>
        </row>
        <row r="35">
          <cell r="D35">
            <v>4733</v>
          </cell>
          <cell r="K35">
            <v>5338</v>
          </cell>
        </row>
        <row r="36">
          <cell r="D36">
            <v>3532</v>
          </cell>
          <cell r="K36">
            <v>4414</v>
          </cell>
        </row>
        <row r="37">
          <cell r="D37">
            <v>2749</v>
          </cell>
          <cell r="K37">
            <v>3703</v>
          </cell>
        </row>
        <row r="38">
          <cell r="D38">
            <v>4163</v>
          </cell>
          <cell r="K38">
            <v>4709</v>
          </cell>
        </row>
        <row r="39">
          <cell r="D39">
            <v>1630</v>
          </cell>
          <cell r="K39">
            <v>1967</v>
          </cell>
        </row>
        <row r="40">
          <cell r="D40">
            <v>1583</v>
          </cell>
          <cell r="K40">
            <v>2990</v>
          </cell>
        </row>
        <row r="41">
          <cell r="D41">
            <v>2324</v>
          </cell>
          <cell r="K41">
            <v>2768</v>
          </cell>
        </row>
        <row r="42">
          <cell r="D42">
            <v>3214</v>
          </cell>
          <cell r="K42">
            <v>3611</v>
          </cell>
        </row>
        <row r="43">
          <cell r="D43">
            <v>4196</v>
          </cell>
          <cell r="K43">
            <v>4884</v>
          </cell>
        </row>
        <row r="44">
          <cell r="D44">
            <v>2822</v>
          </cell>
          <cell r="K44">
            <v>3128</v>
          </cell>
        </row>
        <row r="45">
          <cell r="D45">
            <v>10932</v>
          </cell>
          <cell r="K45">
            <v>10932</v>
          </cell>
        </row>
        <row r="46">
          <cell r="D46">
            <v>4185</v>
          </cell>
          <cell r="K46">
            <v>4317</v>
          </cell>
        </row>
        <row r="47">
          <cell r="D47">
            <v>2569</v>
          </cell>
          <cell r="K47">
            <v>2932</v>
          </cell>
        </row>
        <row r="48">
          <cell r="D48">
            <v>11442</v>
          </cell>
          <cell r="K48">
            <v>12026</v>
          </cell>
        </row>
        <row r="49">
          <cell r="D49">
            <v>2515</v>
          </cell>
          <cell r="K49">
            <v>2881</v>
          </cell>
        </row>
        <row r="50">
          <cell r="D50">
            <v>4654</v>
          </cell>
          <cell r="K50">
            <v>5270</v>
          </cell>
        </row>
        <row r="51">
          <cell r="D51">
            <v>3683</v>
          </cell>
          <cell r="K51">
            <v>4133</v>
          </cell>
        </row>
        <row r="52">
          <cell r="D52">
            <v>11159</v>
          </cell>
          <cell r="K52">
            <v>12446</v>
          </cell>
        </row>
        <row r="53">
          <cell r="D53">
            <v>1106</v>
          </cell>
          <cell r="K53">
            <v>1976</v>
          </cell>
        </row>
        <row r="54">
          <cell r="D54">
            <v>8971</v>
          </cell>
          <cell r="K54">
            <v>10067</v>
          </cell>
        </row>
        <row r="55">
          <cell r="D55">
            <v>4737</v>
          </cell>
          <cell r="K55">
            <v>5849</v>
          </cell>
        </row>
        <row r="56">
          <cell r="D56">
            <v>2345</v>
          </cell>
          <cell r="K56">
            <v>2345</v>
          </cell>
        </row>
        <row r="57">
          <cell r="D57">
            <v>2140</v>
          </cell>
          <cell r="K57">
            <v>2810</v>
          </cell>
        </row>
        <row r="58">
          <cell r="D58">
            <v>3982</v>
          </cell>
          <cell r="K58">
            <v>4191</v>
          </cell>
        </row>
        <row r="59">
          <cell r="D59">
            <v>4050</v>
          </cell>
          <cell r="K59">
            <v>4895</v>
          </cell>
        </row>
        <row r="60">
          <cell r="D60">
            <v>1428</v>
          </cell>
          <cell r="K60">
            <v>1935</v>
          </cell>
        </row>
        <row r="61">
          <cell r="D61">
            <v>3397</v>
          </cell>
          <cell r="K61">
            <v>3397</v>
          </cell>
        </row>
        <row r="62">
          <cell r="D62">
            <v>3139</v>
          </cell>
          <cell r="K62">
            <v>3139</v>
          </cell>
        </row>
        <row r="63">
          <cell r="D63">
            <v>2781</v>
          </cell>
          <cell r="K63">
            <v>2781</v>
          </cell>
        </row>
        <row r="64">
          <cell r="D64">
            <v>2991</v>
          </cell>
          <cell r="K64">
            <v>2991</v>
          </cell>
        </row>
        <row r="65">
          <cell r="D65">
            <v>1659</v>
          </cell>
          <cell r="K65">
            <v>2057</v>
          </cell>
        </row>
        <row r="66">
          <cell r="D66">
            <v>1107</v>
          </cell>
          <cell r="K66">
            <v>1530</v>
          </cell>
        </row>
        <row r="67">
          <cell r="D67">
            <v>2815</v>
          </cell>
          <cell r="K67">
            <v>3925</v>
          </cell>
        </row>
        <row r="68">
          <cell r="D68">
            <v>6318</v>
          </cell>
          <cell r="K68">
            <v>6698</v>
          </cell>
        </row>
        <row r="69">
          <cell r="D69">
            <v>1785</v>
          </cell>
          <cell r="K69">
            <v>1785</v>
          </cell>
        </row>
        <row r="70">
          <cell r="D70">
            <v>6678</v>
          </cell>
          <cell r="K70">
            <v>7190</v>
          </cell>
        </row>
        <row r="71">
          <cell r="D71">
            <v>2131</v>
          </cell>
          <cell r="K71">
            <v>2702</v>
          </cell>
        </row>
        <row r="72">
          <cell r="D72">
            <v>4252</v>
          </cell>
          <cell r="K72">
            <v>4936</v>
          </cell>
        </row>
        <row r="73">
          <cell r="D73">
            <v>3528</v>
          </cell>
          <cell r="K73">
            <v>3528</v>
          </cell>
        </row>
        <row r="74">
          <cell r="D74">
            <v>3740</v>
          </cell>
          <cell r="K74">
            <v>5055</v>
          </cell>
        </row>
        <row r="75">
          <cell r="D75">
            <v>2809</v>
          </cell>
          <cell r="K75">
            <v>2809</v>
          </cell>
        </row>
        <row r="76">
          <cell r="D76">
            <v>2399</v>
          </cell>
          <cell r="K76">
            <v>3329</v>
          </cell>
        </row>
        <row r="77">
          <cell r="I77">
            <v>3870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April 2012-13 Allocation"/>
    </sheetNames>
    <sheetDataSet>
      <sheetData sheetId="0"/>
      <sheetData sheetId="1">
        <row r="5">
          <cell r="AT5">
            <v>-167420</v>
          </cell>
        </row>
        <row r="8">
          <cell r="AT8">
            <v>4103</v>
          </cell>
        </row>
        <row r="9">
          <cell r="AT9">
            <v>0</v>
          </cell>
        </row>
        <row r="10">
          <cell r="AT10">
            <v>0</v>
          </cell>
        </row>
        <row r="11">
          <cell r="AT11">
            <v>6154.5</v>
          </cell>
        </row>
        <row r="12">
          <cell r="AT12">
            <v>0</v>
          </cell>
        </row>
        <row r="13">
          <cell r="AT13">
            <v>0</v>
          </cell>
        </row>
        <row r="14">
          <cell r="AT14">
            <v>0</v>
          </cell>
        </row>
        <row r="15">
          <cell r="AT15">
            <v>-4203</v>
          </cell>
        </row>
        <row r="16">
          <cell r="AT16">
            <v>0</v>
          </cell>
        </row>
        <row r="17">
          <cell r="AT17">
            <v>0</v>
          </cell>
        </row>
        <row r="18">
          <cell r="AT18">
            <v>0</v>
          </cell>
        </row>
        <row r="19">
          <cell r="AT19">
            <v>92468.5</v>
          </cell>
        </row>
        <row r="20">
          <cell r="AT20">
            <v>-6554.5</v>
          </cell>
        </row>
        <row r="21">
          <cell r="AT21">
            <v>-4203</v>
          </cell>
        </row>
        <row r="22">
          <cell r="AT22">
            <v>0</v>
          </cell>
        </row>
        <row r="23">
          <cell r="AT23">
            <v>-21015</v>
          </cell>
        </row>
        <row r="24">
          <cell r="AT24">
            <v>0</v>
          </cell>
        </row>
        <row r="25">
          <cell r="AT25">
            <v>0</v>
          </cell>
        </row>
        <row r="26">
          <cell r="AT26">
            <v>-2051.5</v>
          </cell>
        </row>
        <row r="27">
          <cell r="AT27">
            <v>-2051.5</v>
          </cell>
        </row>
        <row r="28">
          <cell r="AT28">
            <v>0</v>
          </cell>
        </row>
        <row r="29">
          <cell r="AT29">
            <v>-100</v>
          </cell>
        </row>
        <row r="30">
          <cell r="AT30">
            <v>0</v>
          </cell>
        </row>
        <row r="31">
          <cell r="AT31">
            <v>0</v>
          </cell>
        </row>
        <row r="32">
          <cell r="AT32">
            <v>-4103</v>
          </cell>
        </row>
        <row r="33">
          <cell r="AT33">
            <v>0</v>
          </cell>
        </row>
        <row r="34">
          <cell r="AT34">
            <v>0</v>
          </cell>
        </row>
        <row r="35">
          <cell r="AT35">
            <v>-6654.5</v>
          </cell>
        </row>
        <row r="36">
          <cell r="AT36">
            <v>-4103</v>
          </cell>
        </row>
        <row r="37">
          <cell r="AT37">
            <v>0</v>
          </cell>
        </row>
        <row r="38">
          <cell r="AT38">
            <v>-4303</v>
          </cell>
        </row>
        <row r="39">
          <cell r="AT39">
            <v>0</v>
          </cell>
        </row>
        <row r="40">
          <cell r="AT40">
            <v>-2051.5</v>
          </cell>
        </row>
        <row r="41">
          <cell r="AT41">
            <v>0</v>
          </cell>
        </row>
        <row r="42">
          <cell r="AT42">
            <v>-2251.5</v>
          </cell>
        </row>
        <row r="43">
          <cell r="AT43">
            <v>-4203</v>
          </cell>
        </row>
        <row r="44">
          <cell r="AT44">
            <v>-2151.5</v>
          </cell>
        </row>
        <row r="45">
          <cell r="AT45">
            <v>0</v>
          </cell>
        </row>
        <row r="46">
          <cell r="AT46">
            <v>-2051.5</v>
          </cell>
        </row>
        <row r="47">
          <cell r="AT47">
            <v>-10557.5</v>
          </cell>
        </row>
        <row r="48">
          <cell r="AT48">
            <v>-23166.5</v>
          </cell>
        </row>
        <row r="49">
          <cell r="AT49">
            <v>-18863.5</v>
          </cell>
        </row>
        <row r="50">
          <cell r="AT50">
            <v>-20715</v>
          </cell>
        </row>
        <row r="51">
          <cell r="AT51">
            <v>-44381.5</v>
          </cell>
        </row>
        <row r="52">
          <cell r="AT52">
            <v>0</v>
          </cell>
        </row>
        <row r="53">
          <cell r="AT53">
            <v>0</v>
          </cell>
        </row>
        <row r="54">
          <cell r="AT54">
            <v>16112</v>
          </cell>
        </row>
        <row r="55">
          <cell r="AT55">
            <v>-12609</v>
          </cell>
        </row>
        <row r="56">
          <cell r="AT56">
            <v>2051.5</v>
          </cell>
        </row>
        <row r="57">
          <cell r="AT57">
            <v>0</v>
          </cell>
        </row>
        <row r="58">
          <cell r="AT58">
            <v>-21015</v>
          </cell>
        </row>
        <row r="59">
          <cell r="AT59">
            <v>-8406</v>
          </cell>
        </row>
        <row r="60">
          <cell r="AT60">
            <v>0</v>
          </cell>
        </row>
        <row r="61">
          <cell r="AT61">
            <v>0</v>
          </cell>
        </row>
        <row r="62">
          <cell r="AT62">
            <v>-21015</v>
          </cell>
        </row>
        <row r="63">
          <cell r="AT63">
            <v>0</v>
          </cell>
        </row>
        <row r="64">
          <cell r="AT64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148">
          <cell r="H148">
            <v>7996.1213152309065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 refreshError="1">
        <row r="170">
          <cell r="C170">
            <v>-5997.0909864231862</v>
          </cell>
          <cell r="H170">
            <v>102178.82863276819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ctober midyear adj"/>
    </sheetNames>
    <sheetDataSet>
      <sheetData sheetId="0" refreshError="1"/>
      <sheetData sheetId="1">
        <row r="11">
          <cell r="M11">
            <v>-4239.4951109646663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MFP Funded"/>
      <sheetName val="10.1.12 RSD-NO by Site"/>
      <sheetName val="10.1.12 RSD operated by Site"/>
    </sheetNames>
    <sheetDataSet>
      <sheetData sheetId="0" refreshError="1"/>
      <sheetData sheetId="1">
        <row r="153">
          <cell r="E153">
            <v>-12</v>
          </cell>
        </row>
        <row r="154">
          <cell r="E154">
            <v>15</v>
          </cell>
        </row>
        <row r="155">
          <cell r="E155">
            <v>-255</v>
          </cell>
        </row>
        <row r="156">
          <cell r="E156">
            <v>-62</v>
          </cell>
        </row>
        <row r="157">
          <cell r="E157">
            <v>-7</v>
          </cell>
        </row>
        <row r="158">
          <cell r="E158">
            <v>-37</v>
          </cell>
        </row>
        <row r="159">
          <cell r="E159">
            <v>-110</v>
          </cell>
        </row>
        <row r="160">
          <cell r="E160">
            <v>-48</v>
          </cell>
        </row>
        <row r="161">
          <cell r="E161">
            <v>-160</v>
          </cell>
        </row>
        <row r="222">
          <cell r="E222">
            <v>46</v>
          </cell>
        </row>
        <row r="225">
          <cell r="E225">
            <v>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17">
          <cell r="E117">
            <v>-40</v>
          </cell>
        </row>
        <row r="118">
          <cell r="E118">
            <v>6</v>
          </cell>
        </row>
        <row r="119">
          <cell r="E119">
            <v>-7</v>
          </cell>
        </row>
        <row r="120">
          <cell r="E120">
            <v>-29</v>
          </cell>
        </row>
        <row r="121">
          <cell r="E121">
            <v>-53</v>
          </cell>
        </row>
        <row r="122">
          <cell r="E122">
            <v>-7</v>
          </cell>
        </row>
        <row r="123">
          <cell r="E123">
            <v>-36</v>
          </cell>
        </row>
        <row r="124">
          <cell r="E124">
            <v>-9</v>
          </cell>
        </row>
        <row r="125">
          <cell r="E125">
            <v>-26</v>
          </cell>
        </row>
        <row r="126">
          <cell r="E126">
            <v>-5</v>
          </cell>
        </row>
        <row r="127">
          <cell r="E127">
            <v>-1</v>
          </cell>
        </row>
        <row r="188">
          <cell r="E188">
            <v>-24</v>
          </cell>
        </row>
        <row r="191">
          <cell r="E191">
            <v>-16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7">
          <cell r="C7">
            <v>38965.359999999986</v>
          </cell>
          <cell r="H7">
            <v>455.11080401425443</v>
          </cell>
        </row>
        <row r="8">
          <cell r="C8">
            <v>-6857.2225078297706</v>
          </cell>
          <cell r="H8">
            <v>1483.7499263770296</v>
          </cell>
        </row>
        <row r="9">
          <cell r="C9">
            <v>-11527.619272285694</v>
          </cell>
          <cell r="H9">
            <v>-39.465096807616646</v>
          </cell>
        </row>
        <row r="10">
          <cell r="C10">
            <v>3290.823011920671</v>
          </cell>
          <cell r="H10">
            <v>-16180.804766086188</v>
          </cell>
        </row>
        <row r="11">
          <cell r="C11">
            <v>29915.438619274166</v>
          </cell>
          <cell r="H11">
            <v>-9208.2805652001553</v>
          </cell>
        </row>
        <row r="12">
          <cell r="C12">
            <v>-3020.9413546285141</v>
          </cell>
          <cell r="H12">
            <v>-115599.71873128001</v>
          </cell>
        </row>
        <row r="13">
          <cell r="C13">
            <v>9458.4511320754718</v>
          </cell>
          <cell r="H13">
            <v>-1448.0961538461538</v>
          </cell>
        </row>
        <row r="14">
          <cell r="C14">
            <v>19465.534916257777</v>
          </cell>
          <cell r="H14">
            <v>-6860.4084949560347</v>
          </cell>
        </row>
        <row r="15">
          <cell r="C15">
            <v>107111.90995907958</v>
          </cell>
          <cell r="H15">
            <v>-685963.74700799736</v>
          </cell>
        </row>
        <row r="16">
          <cell r="C16">
            <v>59043.257685348159</v>
          </cell>
          <cell r="H16">
            <v>-113234.73459139297</v>
          </cell>
        </row>
        <row r="17">
          <cell r="C17">
            <v>65277.612594033308</v>
          </cell>
          <cell r="H17">
            <v>-19414.478844038989</v>
          </cell>
        </row>
        <row r="18">
          <cell r="C18">
            <v>-1476.0060473235062</v>
          </cell>
          <cell r="H18">
            <v>-1131.8597908954703</v>
          </cell>
        </row>
        <row r="19">
          <cell r="C19">
            <v>0</v>
          </cell>
          <cell r="H19">
            <v>0</v>
          </cell>
        </row>
        <row r="20">
          <cell r="C20">
            <v>13358.977846083169</v>
          </cell>
          <cell r="H20">
            <v>-27128.370775164778</v>
          </cell>
        </row>
        <row r="21">
          <cell r="C21">
            <v>0</v>
          </cell>
          <cell r="H21">
            <v>0</v>
          </cell>
        </row>
        <row r="22">
          <cell r="C22">
            <v>-22117.081259085589</v>
          </cell>
          <cell r="H22">
            <v>-5699.219845478463</v>
          </cell>
        </row>
        <row r="23">
          <cell r="C23">
            <v>-47632.868546129554</v>
          </cell>
          <cell r="H23">
            <v>-93515.353256418137</v>
          </cell>
        </row>
        <row r="24">
          <cell r="C24">
            <v>-3330.429231440758</v>
          </cell>
          <cell r="H24">
            <v>50881.31949760954</v>
          </cell>
        </row>
        <row r="25">
          <cell r="C25">
            <v>18357.993118527462</v>
          </cell>
          <cell r="H25">
            <v>-43538.03164668387</v>
          </cell>
        </row>
        <row r="26">
          <cell r="C26">
            <v>0</v>
          </cell>
          <cell r="H26">
            <v>0</v>
          </cell>
        </row>
        <row r="27">
          <cell r="C27">
            <v>18633.63105771839</v>
          </cell>
          <cell r="H27">
            <v>0</v>
          </cell>
        </row>
        <row r="28">
          <cell r="C28">
            <v>22200.776597304604</v>
          </cell>
          <cell r="H28">
            <v>2348.1635514570426</v>
          </cell>
        </row>
        <row r="29">
          <cell r="C29">
            <v>-8266.5055843195296</v>
          </cell>
          <cell r="H29">
            <v>7872.6680110532106</v>
          </cell>
        </row>
        <row r="30">
          <cell r="C30">
            <v>7015.528571428571</v>
          </cell>
          <cell r="H30">
            <v>-13400.027353947906</v>
          </cell>
        </row>
        <row r="31">
          <cell r="C31">
            <v>2415.3308293177524</v>
          </cell>
          <cell r="H31">
            <v>-1734.0965425660552</v>
          </cell>
        </row>
        <row r="32">
          <cell r="C32">
            <v>176369.33643101272</v>
          </cell>
          <cell r="H32">
            <v>-742136.01550546859</v>
          </cell>
        </row>
        <row r="33">
          <cell r="C33">
            <v>9554.7068843409943</v>
          </cell>
          <cell r="H33">
            <v>0</v>
          </cell>
        </row>
        <row r="34">
          <cell r="C34">
            <v>-2011.0942700645537</v>
          </cell>
          <cell r="H34">
            <v>-342739.05116589542</v>
          </cell>
        </row>
        <row r="35">
          <cell r="C35">
            <v>4974.9192949596327</v>
          </cell>
          <cell r="H35">
            <v>-17790.037273519818</v>
          </cell>
        </row>
        <row r="36">
          <cell r="C36">
            <v>6453.3732389773941</v>
          </cell>
          <cell r="H36">
            <v>0</v>
          </cell>
        </row>
        <row r="37">
          <cell r="C37">
            <v>-25971.035041800467</v>
          </cell>
          <cell r="H37">
            <v>1460.1343943697721</v>
          </cell>
        </row>
        <row r="38">
          <cell r="C38">
            <v>-21124.479619801656</v>
          </cell>
          <cell r="H38">
            <v>-53394.86721445329</v>
          </cell>
        </row>
        <row r="39">
          <cell r="C39">
            <v>34524.196095193955</v>
          </cell>
          <cell r="H39">
            <v>-21449.013385802216</v>
          </cell>
        </row>
        <row r="40">
          <cell r="C40">
            <v>22186.801618219353</v>
          </cell>
          <cell r="H40">
            <v>-18840.54697612684</v>
          </cell>
        </row>
        <row r="41">
          <cell r="C41">
            <v>16712.829669196377</v>
          </cell>
          <cell r="H41">
            <v>-57032.604864552908</v>
          </cell>
        </row>
        <row r="42">
          <cell r="C42">
            <v>72547.637439992221</v>
          </cell>
          <cell r="H42">
            <v>-43254.296528080115</v>
          </cell>
        </row>
        <row r="43">
          <cell r="C43">
            <v>27442.238034423674</v>
          </cell>
          <cell r="H43">
            <v>-163665.13745430135</v>
          </cell>
        </row>
        <row r="44">
          <cell r="C44">
            <v>-10069.452945205478</v>
          </cell>
          <cell r="H44">
            <v>-8831.5543560959377</v>
          </cell>
        </row>
        <row r="45">
          <cell r="C45">
            <v>13198.600736875989</v>
          </cell>
          <cell r="H45">
            <v>-9827.0072077442619</v>
          </cell>
        </row>
        <row r="46">
          <cell r="C46">
            <v>-56723.898615665617</v>
          </cell>
          <cell r="H46">
            <v>-77470.728537964867</v>
          </cell>
        </row>
        <row r="47">
          <cell r="C47">
            <v>6835.8425449243568</v>
          </cell>
          <cell r="H47">
            <v>-12087.925393089325</v>
          </cell>
        </row>
        <row r="48">
          <cell r="C48">
            <v>3135.0255741489814</v>
          </cell>
          <cell r="H48">
            <v>-27581.387289773222</v>
          </cell>
        </row>
        <row r="49">
          <cell r="C49">
            <v>-6441.7912199200791</v>
          </cell>
          <cell r="H49">
            <v>6666.3158296887595</v>
          </cell>
        </row>
        <row r="50">
          <cell r="C50">
            <v>18142.28052498664</v>
          </cell>
          <cell r="H50">
            <v>-24705.854850118099</v>
          </cell>
        </row>
        <row r="51">
          <cell r="C51">
            <v>1565.9466986359766</v>
          </cell>
          <cell r="H51">
            <v>-10343.049842928602</v>
          </cell>
        </row>
        <row r="52">
          <cell r="C52">
            <v>12745.919341522123</v>
          </cell>
          <cell r="H52">
            <v>-81306.732609278901</v>
          </cell>
        </row>
        <row r="53">
          <cell r="C53">
            <v>0</v>
          </cell>
          <cell r="H53">
            <v>-8793.2228794655966</v>
          </cell>
        </row>
        <row r="54">
          <cell r="C54">
            <v>13500.066251684588</v>
          </cell>
          <cell r="H54">
            <v>-41422.92934983359</v>
          </cell>
        </row>
        <row r="55">
          <cell r="C55">
            <v>340626.01421499159</v>
          </cell>
          <cell r="H55">
            <v>-245412.87639409711</v>
          </cell>
        </row>
        <row r="56">
          <cell r="C56">
            <v>72688.880721636524</v>
          </cell>
          <cell r="H56">
            <v>-60360.559583695052</v>
          </cell>
        </row>
        <row r="57">
          <cell r="C57">
            <v>0</v>
          </cell>
          <cell r="H57">
            <v>2001.1680753535074</v>
          </cell>
        </row>
        <row r="58">
          <cell r="C58">
            <v>51171.031159319959</v>
          </cell>
          <cell r="H58">
            <v>-3059.9353329750302</v>
          </cell>
        </row>
        <row r="59">
          <cell r="C59">
            <v>2751.4011531443684</v>
          </cell>
          <cell r="H59">
            <v>-20435.600130191226</v>
          </cell>
        </row>
        <row r="60">
          <cell r="C60">
            <v>16419.523124590396</v>
          </cell>
          <cell r="H60">
            <v>-22169.459923411196</v>
          </cell>
        </row>
        <row r="61">
          <cell r="C61">
            <v>14398.240720168455</v>
          </cell>
          <cell r="H61">
            <v>-608.5327960288414</v>
          </cell>
        </row>
        <row r="62">
          <cell r="C62">
            <v>-2932.953315095976</v>
          </cell>
          <cell r="H62">
            <v>-8497.5233734089088</v>
          </cell>
        </row>
        <row r="63">
          <cell r="C63">
            <v>-4708.5899474065081</v>
          </cell>
          <cell r="H63">
            <v>1554.3358524687792</v>
          </cell>
        </row>
        <row r="64">
          <cell r="C64">
            <v>39172.745744864194</v>
          </cell>
          <cell r="H64">
            <v>-168507.46004203026</v>
          </cell>
        </row>
        <row r="65">
          <cell r="C65">
            <v>48562.380948314538</v>
          </cell>
          <cell r="H65">
            <v>-33714.628874737813</v>
          </cell>
        </row>
        <row r="66">
          <cell r="C66">
            <v>5520.7425693265977</v>
          </cell>
          <cell r="H66">
            <v>-2361.9967755083526</v>
          </cell>
        </row>
        <row r="67">
          <cell r="C67">
            <v>10825.019541124777</v>
          </cell>
          <cell r="H67">
            <v>-39717.822879361614</v>
          </cell>
        </row>
        <row r="68">
          <cell r="C68">
            <v>3028.0577891186276</v>
          </cell>
          <cell r="H68">
            <v>-2210.5149423134189</v>
          </cell>
        </row>
        <row r="69">
          <cell r="C69">
            <v>0</v>
          </cell>
          <cell r="H69">
            <v>-4463.0998398284391</v>
          </cell>
        </row>
        <row r="70">
          <cell r="C70">
            <v>3170.2034215805688</v>
          </cell>
          <cell r="H70">
            <v>-4457.0456349186497</v>
          </cell>
        </row>
        <row r="71">
          <cell r="C71">
            <v>20847.866864983756</v>
          </cell>
          <cell r="H71">
            <v>-725108.40198985441</v>
          </cell>
        </row>
        <row r="72">
          <cell r="C72">
            <v>0</v>
          </cell>
          <cell r="H72">
            <v>-24631.238222306732</v>
          </cell>
        </row>
        <row r="73">
          <cell r="C73">
            <v>-5731.1852061805694</v>
          </cell>
          <cell r="H73">
            <v>-12856.47998017897</v>
          </cell>
        </row>
        <row r="74">
          <cell r="C74">
            <v>13426.484464937239</v>
          </cell>
          <cell r="H74">
            <v>20403.157698880837</v>
          </cell>
        </row>
        <row r="75">
          <cell r="C75">
            <v>6149.8948790881259</v>
          </cell>
          <cell r="H75">
            <v>-7326.8291458509821</v>
          </cell>
        </row>
        <row r="78">
          <cell r="C78">
            <v>0</v>
          </cell>
          <cell r="H78">
            <v>0</v>
          </cell>
        </row>
        <row r="79">
          <cell r="C79">
            <v>2519.5802838425425</v>
          </cell>
          <cell r="H79">
            <v>-5030.3328431590417</v>
          </cell>
        </row>
        <row r="102">
          <cell r="K102">
            <v>6272</v>
          </cell>
          <cell r="P102">
            <v>0</v>
          </cell>
        </row>
        <row r="133">
          <cell r="C133">
            <v>-27939.202081692933</v>
          </cell>
          <cell r="H133">
            <v>-575617.24700534542</v>
          </cell>
        </row>
        <row r="134">
          <cell r="C134">
            <v>-7650.8507113628266</v>
          </cell>
          <cell r="H134">
            <v>-8673.7580785957289</v>
          </cell>
          <cell r="K134">
            <v>-5562</v>
          </cell>
          <cell r="P134">
            <v>-3907</v>
          </cell>
        </row>
        <row r="135">
          <cell r="C135">
            <v>6372.9596707610617</v>
          </cell>
          <cell r="H135">
            <v>-29859.99593722192</v>
          </cell>
          <cell r="K135">
            <v>0</v>
          </cell>
          <cell r="P135">
            <v>-2907</v>
          </cell>
        </row>
        <row r="136">
          <cell r="P136">
            <v>0</v>
          </cell>
        </row>
        <row r="137">
          <cell r="H137">
            <v>0</v>
          </cell>
        </row>
        <row r="140">
          <cell r="C140">
            <v>3961.9839854058328</v>
          </cell>
          <cell r="H140">
            <v>0</v>
          </cell>
        </row>
        <row r="141">
          <cell r="H141">
            <v>-6614.7721822148442</v>
          </cell>
        </row>
        <row r="142">
          <cell r="H142">
            <v>-6614.7721822148442</v>
          </cell>
        </row>
        <row r="143">
          <cell r="C143">
            <v>5910.4435498192906</v>
          </cell>
          <cell r="H143">
            <v>-3307.3860911074221</v>
          </cell>
        </row>
        <row r="144">
          <cell r="H144">
            <v>-3998.0606576154241</v>
          </cell>
        </row>
        <row r="145">
          <cell r="H145">
            <v>0</v>
          </cell>
        </row>
        <row r="146">
          <cell r="C146">
            <v>0</v>
          </cell>
          <cell r="H146">
            <v>0</v>
          </cell>
        </row>
        <row r="147">
          <cell r="H147">
            <v>-3307.3860911074221</v>
          </cell>
        </row>
        <row r="149">
          <cell r="C149">
            <v>9850.739249698825</v>
          </cell>
          <cell r="H149">
            <v>-17315.52726893561</v>
          </cell>
        </row>
        <row r="150">
          <cell r="H150">
            <v>-13507.625357002464</v>
          </cell>
        </row>
        <row r="151">
          <cell r="H151">
            <v>0</v>
          </cell>
        </row>
        <row r="152">
          <cell r="H152">
            <v>-19990.303288077288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C155">
            <v>-1970.1478499397647</v>
          </cell>
          <cell r="H155">
            <v>412.59357393525534</v>
          </cell>
        </row>
        <row r="156">
          <cell r="C156">
            <v>-1970.1478499397649</v>
          </cell>
          <cell r="H156">
            <v>-4218.0771556459767</v>
          </cell>
        </row>
        <row r="157">
          <cell r="C157">
            <v>0</v>
          </cell>
          <cell r="H157">
            <v>0</v>
          </cell>
        </row>
        <row r="158">
          <cell r="C158">
            <v>4120.925101198658</v>
          </cell>
          <cell r="H158">
            <v>-4178.6900589345896</v>
          </cell>
        </row>
        <row r="159">
          <cell r="C159">
            <v>0</v>
          </cell>
          <cell r="H159">
            <v>0</v>
          </cell>
        </row>
        <row r="160">
          <cell r="C160">
            <v>0</v>
          </cell>
          <cell r="H160">
            <v>0</v>
          </cell>
        </row>
        <row r="161">
          <cell r="C161">
            <v>-3977.8115358260548</v>
          </cell>
          <cell r="H161">
            <v>2960.6393777370467</v>
          </cell>
        </row>
        <row r="163">
          <cell r="C163">
            <v>13755.296055253501</v>
          </cell>
          <cell r="H163">
            <v>-19526.654150820832</v>
          </cell>
        </row>
        <row r="164">
          <cell r="C164">
            <v>-3813.0186498636012</v>
          </cell>
          <cell r="H164">
            <v>-5789.5850343442653</v>
          </cell>
        </row>
        <row r="166">
          <cell r="C166">
            <v>3902.4754134167342</v>
          </cell>
          <cell r="H166">
            <v>-7920.4807423053226</v>
          </cell>
        </row>
        <row r="167">
          <cell r="C167">
            <v>0</v>
          </cell>
          <cell r="H167">
            <v>-3307.3860911074221</v>
          </cell>
        </row>
        <row r="168">
          <cell r="C168">
            <v>-1957.7727589691617</v>
          </cell>
          <cell r="H168">
            <v>-910.69106453851691</v>
          </cell>
        </row>
        <row r="169">
          <cell r="C169">
            <v>5691.7180470971307</v>
          </cell>
          <cell r="H169">
            <v>-7704.4873116013632</v>
          </cell>
        </row>
        <row r="170">
          <cell r="C170">
            <v>0</v>
          </cell>
          <cell r="H170">
            <v>-4028.9305390450827</v>
          </cell>
        </row>
        <row r="171">
          <cell r="C171">
            <v>1918.5763966856157</v>
          </cell>
          <cell r="H171">
            <v>-5218.2023895809407</v>
          </cell>
        </row>
        <row r="173">
          <cell r="C173">
            <v>-1936.3220395554049</v>
          </cell>
          <cell r="H173">
            <v>-2894.7925171721563</v>
          </cell>
        </row>
        <row r="174">
          <cell r="C174">
            <v>1940.5922742235252</v>
          </cell>
          <cell r="H174">
            <v>-15374.108860035019</v>
          </cell>
        </row>
        <row r="175">
          <cell r="C175">
            <v>1977.8104476279623</v>
          </cell>
          <cell r="H175">
            <v>-27387.701209058556</v>
          </cell>
        </row>
        <row r="176">
          <cell r="C176">
            <v>-2098.8659887695176</v>
          </cell>
          <cell r="H176">
            <v>-26118.958866551628</v>
          </cell>
        </row>
        <row r="177">
          <cell r="C177">
            <v>-11358.952285031535</v>
          </cell>
          <cell r="H177">
            <v>-22771.767878247192</v>
          </cell>
        </row>
        <row r="178">
          <cell r="C178">
            <v>10254.896997131884</v>
          </cell>
          <cell r="H178">
            <v>-58628.213148191418</v>
          </cell>
        </row>
        <row r="179">
          <cell r="C179">
            <v>0</v>
          </cell>
          <cell r="H179">
            <v>0</v>
          </cell>
        </row>
        <row r="180">
          <cell r="C180">
            <v>0</v>
          </cell>
          <cell r="H180">
            <v>-12568.727550269825</v>
          </cell>
        </row>
        <row r="181">
          <cell r="C181">
            <v>27433.382481412358</v>
          </cell>
          <cell r="H181">
            <v>-15900.312709234411</v>
          </cell>
        </row>
        <row r="182">
          <cell r="C182">
            <v>0</v>
          </cell>
          <cell r="H182">
            <v>-20795.015874036515</v>
          </cell>
        </row>
        <row r="183">
          <cell r="C183">
            <v>1967.788963854689</v>
          </cell>
          <cell r="H183">
            <v>-3307.3860911074221</v>
          </cell>
        </row>
        <row r="184">
          <cell r="C184">
            <v>0</v>
          </cell>
          <cell r="H184">
            <v>-22885.095805249432</v>
          </cell>
        </row>
        <row r="185">
          <cell r="H185">
            <v>-11303.507406338271</v>
          </cell>
        </row>
        <row r="186">
          <cell r="H186">
            <v>0</v>
          </cell>
        </row>
        <row r="187">
          <cell r="H187">
            <v>-4630.6707295812012</v>
          </cell>
        </row>
        <row r="188">
          <cell r="H188">
            <v>-19990.303288077295</v>
          </cell>
        </row>
        <row r="189">
          <cell r="H189">
            <v>0</v>
          </cell>
        </row>
        <row r="192">
          <cell r="K192">
            <v>0</v>
          </cell>
          <cell r="P192">
            <v>0</v>
          </cell>
        </row>
        <row r="195">
          <cell r="C195">
            <v>0</v>
          </cell>
          <cell r="H195">
            <v>0</v>
          </cell>
          <cell r="K195">
            <v>0</v>
          </cell>
          <cell r="P195">
            <v>0</v>
          </cell>
        </row>
        <row r="197">
          <cell r="C197">
            <v>0</v>
          </cell>
          <cell r="H197">
            <v>-2930.9181493559095</v>
          </cell>
          <cell r="K197">
            <v>0</v>
          </cell>
          <cell r="P197">
            <v>0</v>
          </cell>
        </row>
        <row r="202">
          <cell r="C202">
            <v>0</v>
          </cell>
          <cell r="H202">
            <v>-15389.013847659691</v>
          </cell>
          <cell r="K202">
            <v>0</v>
          </cell>
          <cell r="P202">
            <v>-11721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MFP Funded"/>
      <sheetName val="10.1.12 RSD-NO by Site"/>
      <sheetName val="10.1.12 RSD operated by Site"/>
    </sheetNames>
    <sheetDataSet>
      <sheetData sheetId="0" refreshError="1"/>
      <sheetData sheetId="1" refreshError="1">
        <row r="6">
          <cell r="K6">
            <v>1592792.7866556132</v>
          </cell>
        </row>
        <row r="152">
          <cell r="E152">
            <v>-26</v>
          </cell>
        </row>
      </sheetData>
      <sheetData sheetId="2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38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-1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1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1</v>
          </cell>
        </row>
        <row r="74">
          <cell r="E74">
            <v>0</v>
          </cell>
        </row>
        <row r="75">
          <cell r="E75">
            <v>-2</v>
          </cell>
        </row>
      </sheetData>
      <sheetData sheetId="3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-2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5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-1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178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4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18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87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2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2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5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62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50</v>
          </cell>
        </row>
        <row r="43">
          <cell r="E43">
            <v>0</v>
          </cell>
        </row>
        <row r="44">
          <cell r="E44">
            <v>3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2</v>
          </cell>
        </row>
        <row r="51">
          <cell r="E51">
            <v>-1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6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45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104</v>
          </cell>
        </row>
        <row r="43">
          <cell r="E43">
            <v>0</v>
          </cell>
        </row>
        <row r="44">
          <cell r="E44">
            <v>3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2</v>
          </cell>
        </row>
        <row r="51">
          <cell r="E51">
            <v>1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1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7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-1</v>
          </cell>
        </row>
        <row r="16">
          <cell r="E16">
            <v>143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-4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8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1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-2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9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110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10" refreshError="1">
        <row r="4">
          <cell r="E4">
            <v>-7</v>
          </cell>
        </row>
        <row r="5">
          <cell r="E5">
            <v>-3</v>
          </cell>
        </row>
        <row r="6">
          <cell r="E6">
            <v>19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5</v>
          </cell>
        </row>
        <row r="10">
          <cell r="E10">
            <v>2</v>
          </cell>
        </row>
        <row r="11">
          <cell r="E11">
            <v>5</v>
          </cell>
        </row>
        <row r="12">
          <cell r="E12">
            <v>4</v>
          </cell>
        </row>
        <row r="13">
          <cell r="E13">
            <v>-2</v>
          </cell>
        </row>
        <row r="14">
          <cell r="E14">
            <v>5</v>
          </cell>
        </row>
        <row r="15">
          <cell r="E15">
            <v>0</v>
          </cell>
        </row>
        <row r="16">
          <cell r="E16">
            <v>4</v>
          </cell>
        </row>
        <row r="17">
          <cell r="E17">
            <v>-1</v>
          </cell>
        </row>
        <row r="18">
          <cell r="E18">
            <v>2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0</v>
          </cell>
        </row>
        <row r="22">
          <cell r="E22">
            <v>-1</v>
          </cell>
        </row>
        <row r="23">
          <cell r="E23">
            <v>-2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3</v>
          </cell>
        </row>
        <row r="27">
          <cell r="E27">
            <v>2</v>
          </cell>
        </row>
        <row r="28">
          <cell r="E28">
            <v>2</v>
          </cell>
        </row>
        <row r="29">
          <cell r="E29">
            <v>12</v>
          </cell>
        </row>
        <row r="30">
          <cell r="E30">
            <v>-4</v>
          </cell>
        </row>
        <row r="31">
          <cell r="E31">
            <v>-8</v>
          </cell>
        </row>
        <row r="32">
          <cell r="E32">
            <v>-6</v>
          </cell>
        </row>
        <row r="33">
          <cell r="E33">
            <v>3</v>
          </cell>
        </row>
        <row r="34">
          <cell r="E34">
            <v>3</v>
          </cell>
        </row>
        <row r="35">
          <cell r="E35">
            <v>5</v>
          </cell>
        </row>
        <row r="36">
          <cell r="E36">
            <v>-1</v>
          </cell>
        </row>
        <row r="37">
          <cell r="E37">
            <v>4</v>
          </cell>
        </row>
        <row r="38">
          <cell r="E38">
            <v>6</v>
          </cell>
        </row>
        <row r="39">
          <cell r="E39">
            <v>-15</v>
          </cell>
        </row>
        <row r="40">
          <cell r="E40">
            <v>19</v>
          </cell>
        </row>
        <row r="41">
          <cell r="E41">
            <v>2</v>
          </cell>
        </row>
        <row r="42">
          <cell r="E42">
            <v>2</v>
          </cell>
        </row>
        <row r="43">
          <cell r="E43">
            <v>6</v>
          </cell>
        </row>
        <row r="44">
          <cell r="E44">
            <v>1</v>
          </cell>
        </row>
        <row r="45">
          <cell r="E45">
            <v>1</v>
          </cell>
        </row>
        <row r="46">
          <cell r="E46">
            <v>-6</v>
          </cell>
        </row>
        <row r="47">
          <cell r="E47">
            <v>-1</v>
          </cell>
        </row>
        <row r="48">
          <cell r="E48">
            <v>0</v>
          </cell>
        </row>
        <row r="49">
          <cell r="E49">
            <v>3</v>
          </cell>
        </row>
        <row r="50">
          <cell r="E50">
            <v>-1</v>
          </cell>
        </row>
        <row r="51">
          <cell r="E51">
            <v>17</v>
          </cell>
        </row>
        <row r="52">
          <cell r="E52">
            <v>4</v>
          </cell>
        </row>
        <row r="53">
          <cell r="E53">
            <v>4</v>
          </cell>
        </row>
        <row r="54">
          <cell r="E54">
            <v>-3</v>
          </cell>
        </row>
        <row r="55">
          <cell r="E55">
            <v>20</v>
          </cell>
        </row>
        <row r="56">
          <cell r="E56">
            <v>6</v>
          </cell>
        </row>
        <row r="57">
          <cell r="E57">
            <v>0</v>
          </cell>
        </row>
        <row r="58">
          <cell r="E58">
            <v>-2</v>
          </cell>
        </row>
        <row r="59">
          <cell r="E59">
            <v>5</v>
          </cell>
        </row>
        <row r="60">
          <cell r="E60">
            <v>1</v>
          </cell>
        </row>
        <row r="61">
          <cell r="E61">
            <v>-1</v>
          </cell>
        </row>
        <row r="62">
          <cell r="E62">
            <v>9</v>
          </cell>
        </row>
        <row r="63">
          <cell r="E63">
            <v>10</v>
          </cell>
        </row>
        <row r="64">
          <cell r="E64">
            <v>-10</v>
          </cell>
        </row>
        <row r="65">
          <cell r="E65">
            <v>3</v>
          </cell>
        </row>
        <row r="66">
          <cell r="E66">
            <v>0</v>
          </cell>
        </row>
        <row r="67">
          <cell r="E67">
            <v>-1</v>
          </cell>
        </row>
        <row r="68">
          <cell r="E68">
            <v>-5</v>
          </cell>
        </row>
        <row r="69">
          <cell r="E69">
            <v>-3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-4</v>
          </cell>
        </row>
      </sheetData>
      <sheetData sheetId="11" refreshError="1">
        <row r="4">
          <cell r="E4">
            <v>24</v>
          </cell>
        </row>
        <row r="5">
          <cell r="E5">
            <v>5</v>
          </cell>
        </row>
        <row r="6">
          <cell r="E6">
            <v>15</v>
          </cell>
        </row>
        <row r="7">
          <cell r="E7">
            <v>5</v>
          </cell>
        </row>
        <row r="8">
          <cell r="E8">
            <v>20</v>
          </cell>
        </row>
        <row r="9">
          <cell r="E9">
            <v>4</v>
          </cell>
        </row>
        <row r="10">
          <cell r="E10">
            <v>14</v>
          </cell>
        </row>
        <row r="11">
          <cell r="E11">
            <v>49</v>
          </cell>
        </row>
        <row r="12">
          <cell r="E12">
            <v>14</v>
          </cell>
        </row>
        <row r="13">
          <cell r="E13">
            <v>29</v>
          </cell>
        </row>
        <row r="14">
          <cell r="E14">
            <v>1</v>
          </cell>
        </row>
        <row r="15">
          <cell r="E15">
            <v>-2</v>
          </cell>
        </row>
        <row r="16">
          <cell r="E16">
            <v>-1</v>
          </cell>
        </row>
        <row r="17">
          <cell r="E17">
            <v>6</v>
          </cell>
        </row>
        <row r="18">
          <cell r="E18">
            <v>-1</v>
          </cell>
        </row>
        <row r="19">
          <cell r="E19">
            <v>5</v>
          </cell>
        </row>
        <row r="20">
          <cell r="E20">
            <v>64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9</v>
          </cell>
        </row>
        <row r="24">
          <cell r="E24">
            <v>1</v>
          </cell>
        </row>
        <row r="25">
          <cell r="E25">
            <v>1</v>
          </cell>
        </row>
        <row r="26">
          <cell r="E26">
            <v>20</v>
          </cell>
        </row>
        <row r="27">
          <cell r="E27">
            <v>3</v>
          </cell>
        </row>
        <row r="28">
          <cell r="E28">
            <v>7</v>
          </cell>
        </row>
        <row r="29">
          <cell r="E29">
            <v>67</v>
          </cell>
        </row>
        <row r="30">
          <cell r="E30">
            <v>1</v>
          </cell>
        </row>
        <row r="31">
          <cell r="E31">
            <v>14</v>
          </cell>
        </row>
        <row r="32">
          <cell r="E32">
            <v>18</v>
          </cell>
        </row>
        <row r="33">
          <cell r="E33">
            <v>-2</v>
          </cell>
        </row>
        <row r="34">
          <cell r="E34">
            <v>4</v>
          </cell>
        </row>
        <row r="35">
          <cell r="E35">
            <v>52</v>
          </cell>
        </row>
        <row r="36">
          <cell r="E36">
            <v>1</v>
          </cell>
        </row>
        <row r="37">
          <cell r="E37">
            <v>8</v>
          </cell>
        </row>
        <row r="38">
          <cell r="E38">
            <v>15</v>
          </cell>
        </row>
        <row r="39">
          <cell r="E39">
            <v>28</v>
          </cell>
        </row>
        <row r="40">
          <cell r="E40">
            <v>13</v>
          </cell>
        </row>
        <row r="41">
          <cell r="E41">
            <v>4</v>
          </cell>
        </row>
        <row r="42">
          <cell r="E42">
            <v>-1</v>
          </cell>
        </row>
        <row r="43">
          <cell r="E43">
            <v>-12</v>
          </cell>
        </row>
        <row r="44">
          <cell r="E44">
            <v>-1</v>
          </cell>
        </row>
        <row r="45">
          <cell r="E45">
            <v>0</v>
          </cell>
        </row>
        <row r="46">
          <cell r="E46">
            <v>3</v>
          </cell>
        </row>
        <row r="47">
          <cell r="E47">
            <v>6</v>
          </cell>
        </row>
        <row r="48">
          <cell r="E48">
            <v>24</v>
          </cell>
        </row>
        <row r="49">
          <cell r="E49">
            <v>14</v>
          </cell>
        </row>
        <row r="50">
          <cell r="E50">
            <v>1</v>
          </cell>
        </row>
        <row r="51">
          <cell r="E51">
            <v>-1</v>
          </cell>
        </row>
        <row r="52">
          <cell r="E52">
            <v>6</v>
          </cell>
        </row>
        <row r="53">
          <cell r="E53">
            <v>-15</v>
          </cell>
        </row>
        <row r="54">
          <cell r="E54">
            <v>-2</v>
          </cell>
        </row>
        <row r="55">
          <cell r="E55">
            <v>69</v>
          </cell>
        </row>
        <row r="56">
          <cell r="E56">
            <v>-1</v>
          </cell>
        </row>
        <row r="57">
          <cell r="E57">
            <v>3</v>
          </cell>
        </row>
        <row r="58">
          <cell r="E58">
            <v>5</v>
          </cell>
        </row>
        <row r="59">
          <cell r="E59">
            <v>-2</v>
          </cell>
        </row>
        <row r="60">
          <cell r="E60">
            <v>-1</v>
          </cell>
        </row>
        <row r="61">
          <cell r="E61">
            <v>13</v>
          </cell>
        </row>
        <row r="62">
          <cell r="E62">
            <v>-1</v>
          </cell>
        </row>
        <row r="63">
          <cell r="E63">
            <v>-14</v>
          </cell>
        </row>
        <row r="64">
          <cell r="E64">
            <v>12</v>
          </cell>
        </row>
        <row r="65">
          <cell r="E65">
            <v>-1</v>
          </cell>
        </row>
        <row r="66">
          <cell r="E66">
            <v>-6</v>
          </cell>
        </row>
        <row r="67">
          <cell r="E67">
            <v>2</v>
          </cell>
        </row>
        <row r="68">
          <cell r="E68">
            <v>-2</v>
          </cell>
        </row>
        <row r="69">
          <cell r="E69">
            <v>-1</v>
          </cell>
        </row>
        <row r="70">
          <cell r="E70">
            <v>-4</v>
          </cell>
        </row>
        <row r="71">
          <cell r="E71">
            <v>-1</v>
          </cell>
        </row>
        <row r="72">
          <cell r="E72">
            <v>-1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-21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-1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27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-2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1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3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28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24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1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29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4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-1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30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-8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-1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31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-23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32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-11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33" refreshError="1"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-37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8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34" refreshError="1">
        <row r="4">
          <cell r="E4">
            <v>-2</v>
          </cell>
        </row>
        <row r="5">
          <cell r="E5">
            <v>-2</v>
          </cell>
        </row>
        <row r="6">
          <cell r="E6">
            <v>-12</v>
          </cell>
        </row>
        <row r="7">
          <cell r="E7">
            <v>0</v>
          </cell>
        </row>
        <row r="8">
          <cell r="E8">
            <v>-3</v>
          </cell>
        </row>
        <row r="9">
          <cell r="E9">
            <v>-3</v>
          </cell>
        </row>
        <row r="10">
          <cell r="E10">
            <v>-3</v>
          </cell>
        </row>
        <row r="11">
          <cell r="E11">
            <v>-15</v>
          </cell>
        </row>
        <row r="12">
          <cell r="E12">
            <v>-10</v>
          </cell>
        </row>
        <row r="13">
          <cell r="E13">
            <v>-3</v>
          </cell>
        </row>
        <row r="14">
          <cell r="E14">
            <v>-1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-1</v>
          </cell>
        </row>
        <row r="18">
          <cell r="E18">
            <v>-2</v>
          </cell>
        </row>
        <row r="19">
          <cell r="E19">
            <v>-6</v>
          </cell>
        </row>
        <row r="20">
          <cell r="E20">
            <v>-12</v>
          </cell>
        </row>
        <row r="21">
          <cell r="E21">
            <v>0</v>
          </cell>
        </row>
        <row r="22">
          <cell r="E22">
            <v>-2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-1</v>
          </cell>
        </row>
        <row r="27">
          <cell r="E27">
            <v>-1</v>
          </cell>
        </row>
        <row r="28">
          <cell r="E28">
            <v>0</v>
          </cell>
        </row>
        <row r="29">
          <cell r="E29">
            <v>-18</v>
          </cell>
        </row>
        <row r="30">
          <cell r="E30">
            <v>-1</v>
          </cell>
        </row>
        <row r="31">
          <cell r="E31">
            <v>-6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-3</v>
          </cell>
        </row>
        <row r="35">
          <cell r="E35">
            <v>-8</v>
          </cell>
        </row>
        <row r="36">
          <cell r="E36">
            <v>0</v>
          </cell>
        </row>
        <row r="37">
          <cell r="E37">
            <v>-1</v>
          </cell>
        </row>
        <row r="38">
          <cell r="E38">
            <v>0</v>
          </cell>
        </row>
        <row r="39">
          <cell r="E39">
            <v>-9</v>
          </cell>
        </row>
        <row r="40">
          <cell r="E40">
            <v>-5</v>
          </cell>
        </row>
        <row r="41">
          <cell r="E41">
            <v>-4</v>
          </cell>
        </row>
        <row r="42">
          <cell r="E42">
            <v>-6</v>
          </cell>
        </row>
        <row r="43">
          <cell r="E43">
            <v>-5</v>
          </cell>
        </row>
        <row r="44">
          <cell r="E44">
            <v>-2</v>
          </cell>
        </row>
        <row r="45">
          <cell r="E45">
            <v>-5</v>
          </cell>
        </row>
        <row r="46">
          <cell r="E46">
            <v>-3</v>
          </cell>
        </row>
        <row r="47">
          <cell r="E47">
            <v>-1</v>
          </cell>
        </row>
        <row r="48">
          <cell r="E48">
            <v>0</v>
          </cell>
        </row>
        <row r="49">
          <cell r="E49">
            <v>-1</v>
          </cell>
        </row>
        <row r="50">
          <cell r="E50">
            <v>0</v>
          </cell>
        </row>
        <row r="51">
          <cell r="E51">
            <v>-1</v>
          </cell>
        </row>
        <row r="52">
          <cell r="E52">
            <v>-7</v>
          </cell>
        </row>
        <row r="53">
          <cell r="E53">
            <v>-1</v>
          </cell>
        </row>
        <row r="54">
          <cell r="E54">
            <v>-3</v>
          </cell>
        </row>
        <row r="55">
          <cell r="E55">
            <v>-22</v>
          </cell>
        </row>
        <row r="56">
          <cell r="E56">
            <v>-8</v>
          </cell>
        </row>
        <row r="57">
          <cell r="E57">
            <v>0</v>
          </cell>
        </row>
        <row r="58">
          <cell r="E58">
            <v>-2</v>
          </cell>
        </row>
        <row r="59">
          <cell r="E59">
            <v>-2</v>
          </cell>
        </row>
        <row r="60">
          <cell r="E60">
            <v>0</v>
          </cell>
        </row>
        <row r="61">
          <cell r="E61">
            <v>-12</v>
          </cell>
        </row>
        <row r="62">
          <cell r="E62">
            <v>-5</v>
          </cell>
        </row>
        <row r="63">
          <cell r="E63">
            <v>-10</v>
          </cell>
        </row>
        <row r="64">
          <cell r="E64">
            <v>0</v>
          </cell>
        </row>
        <row r="65">
          <cell r="E65">
            <v>-3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2</v>
          </cell>
        </row>
        <row r="70">
          <cell r="E70">
            <v>-1</v>
          </cell>
        </row>
        <row r="71">
          <cell r="E71">
            <v>-1</v>
          </cell>
        </row>
        <row r="72">
          <cell r="E72">
            <v>1</v>
          </cell>
        </row>
      </sheetData>
      <sheetData sheetId="35" refreshError="1">
        <row r="4">
          <cell r="E4">
            <v>-16</v>
          </cell>
        </row>
        <row r="5">
          <cell r="E5">
            <v>-5</v>
          </cell>
        </row>
        <row r="6">
          <cell r="E6">
            <v>1</v>
          </cell>
        </row>
        <row r="7">
          <cell r="E7">
            <v>-7</v>
          </cell>
        </row>
        <row r="8">
          <cell r="E8">
            <v>-10</v>
          </cell>
        </row>
        <row r="9">
          <cell r="E9">
            <v>14</v>
          </cell>
        </row>
        <row r="10">
          <cell r="E10">
            <v>-12</v>
          </cell>
        </row>
        <row r="11">
          <cell r="E11">
            <v>-26</v>
          </cell>
        </row>
        <row r="12">
          <cell r="E12">
            <v>13</v>
          </cell>
        </row>
        <row r="13">
          <cell r="E13">
            <v>0</v>
          </cell>
        </row>
        <row r="14">
          <cell r="E14">
            <v>1</v>
          </cell>
        </row>
        <row r="15">
          <cell r="E15">
            <v>1</v>
          </cell>
        </row>
        <row r="16">
          <cell r="E16">
            <v>-1</v>
          </cell>
        </row>
        <row r="17">
          <cell r="E17">
            <v>-2</v>
          </cell>
        </row>
        <row r="18">
          <cell r="E18">
            <v>2</v>
          </cell>
        </row>
        <row r="19">
          <cell r="E19">
            <v>0</v>
          </cell>
        </row>
        <row r="20">
          <cell r="E20">
            <v>-28</v>
          </cell>
        </row>
        <row r="21">
          <cell r="E21">
            <v>0</v>
          </cell>
        </row>
        <row r="22">
          <cell r="E22">
            <v>5</v>
          </cell>
        </row>
        <row r="23">
          <cell r="E23">
            <v>-6</v>
          </cell>
        </row>
        <row r="24">
          <cell r="E24">
            <v>0</v>
          </cell>
        </row>
        <row r="25">
          <cell r="E25">
            <v>-4</v>
          </cell>
        </row>
        <row r="26">
          <cell r="E26">
            <v>-13</v>
          </cell>
        </row>
        <row r="27">
          <cell r="E27">
            <v>-3</v>
          </cell>
        </row>
        <row r="28">
          <cell r="E28">
            <v>-6</v>
          </cell>
        </row>
        <row r="29">
          <cell r="E29">
            <v>-8</v>
          </cell>
        </row>
        <row r="30">
          <cell r="E30">
            <v>3</v>
          </cell>
        </row>
        <row r="31">
          <cell r="E31">
            <v>9</v>
          </cell>
        </row>
        <row r="32">
          <cell r="E32">
            <v>-15</v>
          </cell>
        </row>
        <row r="33">
          <cell r="E33">
            <v>1</v>
          </cell>
        </row>
        <row r="34">
          <cell r="E34">
            <v>-1</v>
          </cell>
        </row>
        <row r="35">
          <cell r="E35">
            <v>-12</v>
          </cell>
        </row>
        <row r="36">
          <cell r="E36">
            <v>1</v>
          </cell>
        </row>
        <row r="37">
          <cell r="E37">
            <v>-3</v>
          </cell>
        </row>
        <row r="38">
          <cell r="E38">
            <v>-9</v>
          </cell>
        </row>
        <row r="39">
          <cell r="E39">
            <v>1</v>
          </cell>
        </row>
        <row r="40">
          <cell r="E40">
            <v>-6</v>
          </cell>
        </row>
        <row r="41">
          <cell r="E41">
            <v>2</v>
          </cell>
        </row>
        <row r="42">
          <cell r="E42">
            <v>0</v>
          </cell>
        </row>
        <row r="43">
          <cell r="E43">
            <v>15</v>
          </cell>
        </row>
        <row r="44">
          <cell r="E44">
            <v>1</v>
          </cell>
        </row>
        <row r="45">
          <cell r="E45">
            <v>5</v>
          </cell>
        </row>
        <row r="46">
          <cell r="E46">
            <v>-3</v>
          </cell>
        </row>
        <row r="47">
          <cell r="E47">
            <v>-1</v>
          </cell>
        </row>
        <row r="48">
          <cell r="E48">
            <v>-11</v>
          </cell>
        </row>
        <row r="49">
          <cell r="E49">
            <v>-9</v>
          </cell>
        </row>
        <row r="50">
          <cell r="E50">
            <v>0</v>
          </cell>
        </row>
        <row r="51">
          <cell r="E51">
            <v>16</v>
          </cell>
        </row>
        <row r="52">
          <cell r="E52">
            <v>16</v>
          </cell>
        </row>
        <row r="53">
          <cell r="E53">
            <v>11</v>
          </cell>
        </row>
        <row r="54">
          <cell r="E54">
            <v>-2</v>
          </cell>
        </row>
        <row r="55">
          <cell r="E55">
            <v>-13</v>
          </cell>
        </row>
        <row r="56">
          <cell r="E56">
            <v>34</v>
          </cell>
        </row>
        <row r="57">
          <cell r="E57">
            <v>0</v>
          </cell>
        </row>
        <row r="58">
          <cell r="E58">
            <v>21</v>
          </cell>
        </row>
        <row r="59">
          <cell r="E59">
            <v>4</v>
          </cell>
        </row>
        <row r="60">
          <cell r="E60">
            <v>0</v>
          </cell>
        </row>
        <row r="61">
          <cell r="E61">
            <v>3</v>
          </cell>
        </row>
        <row r="62">
          <cell r="E62">
            <v>7</v>
          </cell>
        </row>
        <row r="63">
          <cell r="E63">
            <v>24</v>
          </cell>
        </row>
        <row r="64">
          <cell r="E64">
            <v>-3</v>
          </cell>
        </row>
        <row r="65">
          <cell r="E65">
            <v>0</v>
          </cell>
        </row>
        <row r="66">
          <cell r="E66">
            <v>1</v>
          </cell>
        </row>
        <row r="67">
          <cell r="E67">
            <v>1</v>
          </cell>
        </row>
        <row r="68">
          <cell r="E68">
            <v>4</v>
          </cell>
        </row>
        <row r="69">
          <cell r="E69">
            <v>2</v>
          </cell>
        </row>
        <row r="70">
          <cell r="E70">
            <v>3</v>
          </cell>
        </row>
        <row r="71">
          <cell r="E71">
            <v>11</v>
          </cell>
        </row>
        <row r="72">
          <cell r="E72">
            <v>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G7">
            <v>3870.6169304450918</v>
          </cell>
        </row>
      </sheetData>
      <sheetData sheetId="11">
        <row r="7">
          <cell r="G7">
            <v>3870.6169304450918</v>
          </cell>
        </row>
      </sheetData>
      <sheetData sheetId="12" refreshError="1"/>
      <sheetData sheetId="13" refreshError="1"/>
      <sheetData sheetId="14" refreshError="1"/>
      <sheetData sheetId="15" refreshError="1">
        <row r="17">
          <cell r="I17">
            <v>-34813.167750897068</v>
          </cell>
          <cell r="J17">
            <v>-4973.3096786995811</v>
          </cell>
          <cell r="S17">
            <v>-6714.125</v>
          </cell>
        </row>
        <row r="18">
          <cell r="R18">
            <v>-46998.875000000007</v>
          </cell>
        </row>
        <row r="29">
          <cell r="I29">
            <v>-41934.432399999998</v>
          </cell>
          <cell r="J29">
            <v>-5990.6331999999993</v>
          </cell>
        </row>
        <row r="30">
          <cell r="R30">
            <v>-32339.090000000004</v>
          </cell>
          <cell r="S30">
            <v>-4619.87</v>
          </cell>
        </row>
      </sheetData>
      <sheetData sheetId="16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-3067.9425000000001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-4.9474999999999998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-22.51</v>
          </cell>
        </row>
        <row r="74">
          <cell r="P74">
            <v>-25.87</v>
          </cell>
        </row>
        <row r="75">
          <cell r="P75">
            <v>-16.164999999999999</v>
          </cell>
        </row>
        <row r="76">
          <cell r="I76">
            <v>-2120.4414325522844</v>
          </cell>
        </row>
      </sheetData>
      <sheetData sheetId="17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-27.037500000000001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-23.594999999999999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-46.68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-2314.4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7">
          <cell r="I77">
            <v>-5162.6574109917383</v>
          </cell>
        </row>
      </sheetData>
      <sheetData sheetId="18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-321.58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-2825.625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-10.415000000000001</v>
          </cell>
        </row>
        <row r="51">
          <cell r="P51">
            <v>-51.620000000000005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-21.5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-9.8250000000000011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-3260.8341057989301</v>
          </cell>
        </row>
      </sheetData>
      <sheetData sheetId="19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-571.66999999999996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-622.05000000000007</v>
          </cell>
        </row>
        <row r="43">
          <cell r="P43">
            <v>0</v>
          </cell>
        </row>
        <row r="44">
          <cell r="P44">
            <v>-122.1375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-29.125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-11.875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-1048.8756660026102</v>
          </cell>
        </row>
      </sheetData>
      <sheetData sheetId="20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-155.91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-514.38750000000005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-575.22820067720681</v>
          </cell>
        </row>
      </sheetData>
      <sheetData sheetId="21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-11.3475</v>
          </cell>
        </row>
        <row r="16">
          <cell r="P16">
            <v>-6845.3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-30.73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-7867.6204754306082</v>
          </cell>
        </row>
      </sheetData>
      <sheetData sheetId="22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-1046.7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-2418.59574652847</v>
          </cell>
        </row>
      </sheetData>
      <sheetData sheetId="23" refreshError="1"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-4851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I76">
            <v>-5521.6216545836496</v>
          </cell>
        </row>
      </sheetData>
      <sheetData sheetId="24" refreshError="1">
        <row r="4">
          <cell r="Q4">
            <v>-108</v>
          </cell>
        </row>
        <row r="73">
          <cell r="J73">
            <v>-14088</v>
          </cell>
        </row>
      </sheetData>
      <sheetData sheetId="25" refreshError="1">
        <row r="4">
          <cell r="Q4">
            <v>-47</v>
          </cell>
        </row>
        <row r="73">
          <cell r="J73">
            <v>-6930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- February"/>
      <sheetName val="Table 5F Scholarships-December"/>
      <sheetName val="Table 5F Scholarships-September"/>
      <sheetName val="Table 5F Scholarships-August"/>
      <sheetName val="Table 5F Scholarships-July"/>
      <sheetName val="Table 6 (Local Deduct Calc.)"/>
      <sheetName val="Table 7 Local Revenue"/>
      <sheetName val="Midyear Adjustment Summary"/>
      <sheetName val="Table 8 2.1.12 MFP Funded"/>
      <sheetName val="2-1-12 MFP Funded by s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N7">
            <v>0</v>
          </cell>
        </row>
        <row r="8">
          <cell r="AN8">
            <v>0</v>
          </cell>
        </row>
        <row r="9">
          <cell r="AN9">
            <v>0</v>
          </cell>
        </row>
        <row r="10">
          <cell r="AN10">
            <v>0</v>
          </cell>
        </row>
        <row r="11">
          <cell r="AN11">
            <v>0</v>
          </cell>
        </row>
        <row r="12">
          <cell r="AN12">
            <v>0</v>
          </cell>
        </row>
        <row r="13">
          <cell r="AN13">
            <v>0</v>
          </cell>
        </row>
        <row r="14">
          <cell r="AN14">
            <v>0</v>
          </cell>
        </row>
        <row r="15">
          <cell r="AN15">
            <v>0</v>
          </cell>
        </row>
        <row r="16">
          <cell r="AN16">
            <v>0</v>
          </cell>
        </row>
        <row r="17">
          <cell r="AN17">
            <v>0</v>
          </cell>
        </row>
        <row r="18">
          <cell r="AN18">
            <v>0</v>
          </cell>
        </row>
        <row r="19">
          <cell r="AN19">
            <v>0</v>
          </cell>
        </row>
        <row r="20">
          <cell r="AN20">
            <v>0</v>
          </cell>
        </row>
        <row r="21">
          <cell r="AN21">
            <v>0</v>
          </cell>
        </row>
        <row r="22">
          <cell r="AN22">
            <v>0</v>
          </cell>
        </row>
        <row r="23">
          <cell r="AN23">
            <v>-3545.7287500000002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AN27">
            <v>0</v>
          </cell>
        </row>
        <row r="28">
          <cell r="AN28">
            <v>0</v>
          </cell>
        </row>
        <row r="29">
          <cell r="AN29">
            <v>0</v>
          </cell>
        </row>
        <row r="30">
          <cell r="AN30">
            <v>0</v>
          </cell>
        </row>
        <row r="31">
          <cell r="AN31">
            <v>0</v>
          </cell>
        </row>
        <row r="32">
          <cell r="AN32">
            <v>0</v>
          </cell>
        </row>
        <row r="33">
          <cell r="AN33">
            <v>0</v>
          </cell>
        </row>
        <row r="34">
          <cell r="AN34">
            <v>0</v>
          </cell>
        </row>
        <row r="35">
          <cell r="AN35">
            <v>0</v>
          </cell>
        </row>
        <row r="36">
          <cell r="AN36">
            <v>0</v>
          </cell>
        </row>
        <row r="37">
          <cell r="AN37">
            <v>0</v>
          </cell>
        </row>
        <row r="38">
          <cell r="AN38">
            <v>0</v>
          </cell>
        </row>
        <row r="39">
          <cell r="AN39">
            <v>0</v>
          </cell>
        </row>
        <row r="40">
          <cell r="AN40">
            <v>0</v>
          </cell>
        </row>
        <row r="41">
          <cell r="AN41">
            <v>0</v>
          </cell>
        </row>
        <row r="42">
          <cell r="AN42">
            <v>0</v>
          </cell>
        </row>
        <row r="43">
          <cell r="AN43">
            <v>0</v>
          </cell>
        </row>
        <row r="44">
          <cell r="AN44">
            <v>0</v>
          </cell>
        </row>
        <row r="45">
          <cell r="AN45">
            <v>0</v>
          </cell>
        </row>
        <row r="46">
          <cell r="AN46">
            <v>0</v>
          </cell>
        </row>
        <row r="47">
          <cell r="AN47">
            <v>0</v>
          </cell>
        </row>
        <row r="48">
          <cell r="AN48">
            <v>0</v>
          </cell>
        </row>
        <row r="49">
          <cell r="AN49">
            <v>0</v>
          </cell>
        </row>
        <row r="50">
          <cell r="AN50">
            <v>0</v>
          </cell>
        </row>
        <row r="51">
          <cell r="AN51">
            <v>0</v>
          </cell>
        </row>
        <row r="52">
          <cell r="AN52">
            <v>0</v>
          </cell>
        </row>
        <row r="53">
          <cell r="AN53">
            <v>0</v>
          </cell>
        </row>
        <row r="54">
          <cell r="AN54">
            <v>0</v>
          </cell>
        </row>
        <row r="55">
          <cell r="AN55">
            <v>0</v>
          </cell>
        </row>
        <row r="56">
          <cell r="AN56">
            <v>0</v>
          </cell>
        </row>
        <row r="57">
          <cell r="AN57">
            <v>0</v>
          </cell>
        </row>
        <row r="58">
          <cell r="AN58">
            <v>0</v>
          </cell>
        </row>
        <row r="59">
          <cell r="AN59">
            <v>0</v>
          </cell>
        </row>
        <row r="60">
          <cell r="AN60">
            <v>0</v>
          </cell>
        </row>
        <row r="61">
          <cell r="AN61">
            <v>0</v>
          </cell>
        </row>
        <row r="62">
          <cell r="AN62">
            <v>0</v>
          </cell>
        </row>
        <row r="63">
          <cell r="AN63">
            <v>0</v>
          </cell>
        </row>
        <row r="64">
          <cell r="AN64">
            <v>0</v>
          </cell>
        </row>
        <row r="65">
          <cell r="AN65">
            <v>0</v>
          </cell>
        </row>
        <row r="66">
          <cell r="AN66">
            <v>0</v>
          </cell>
        </row>
        <row r="67">
          <cell r="AN67">
            <v>-16.7</v>
          </cell>
        </row>
        <row r="68">
          <cell r="AN68">
            <v>0</v>
          </cell>
        </row>
        <row r="69">
          <cell r="AN69">
            <v>0</v>
          </cell>
        </row>
        <row r="70">
          <cell r="AN70">
            <v>0</v>
          </cell>
        </row>
        <row r="71">
          <cell r="AN71">
            <v>0</v>
          </cell>
        </row>
        <row r="72">
          <cell r="AN72">
            <v>0</v>
          </cell>
        </row>
        <row r="73">
          <cell r="AN73">
            <v>-31.574999999999999</v>
          </cell>
        </row>
        <row r="74">
          <cell r="AN74">
            <v>-27.63</v>
          </cell>
        </row>
        <row r="75">
          <cell r="AN75">
            <v>0</v>
          </cell>
        </row>
        <row r="80">
          <cell r="N80">
            <v>-2379.1616168718579</v>
          </cell>
        </row>
      </sheetData>
      <sheetData sheetId="19">
        <row r="7">
          <cell r="AN7">
            <v>0</v>
          </cell>
        </row>
        <row r="8">
          <cell r="AN8">
            <v>0</v>
          </cell>
        </row>
        <row r="9">
          <cell r="AN9">
            <v>0</v>
          </cell>
        </row>
        <row r="10">
          <cell r="AN10">
            <v>0</v>
          </cell>
        </row>
        <row r="11">
          <cell r="AN11">
            <v>0</v>
          </cell>
        </row>
        <row r="12">
          <cell r="AN12">
            <v>0</v>
          </cell>
        </row>
        <row r="13">
          <cell r="AN13">
            <v>0</v>
          </cell>
        </row>
        <row r="14">
          <cell r="AN14">
            <v>0</v>
          </cell>
        </row>
        <row r="15">
          <cell r="AN15">
            <v>0</v>
          </cell>
        </row>
        <row r="16">
          <cell r="AN16">
            <v>0</v>
          </cell>
        </row>
        <row r="17">
          <cell r="AN17">
            <v>0</v>
          </cell>
        </row>
        <row r="18">
          <cell r="AN18">
            <v>0</v>
          </cell>
        </row>
        <row r="19">
          <cell r="AN19">
            <v>0</v>
          </cell>
        </row>
        <row r="20">
          <cell r="AN20">
            <v>-14.58</v>
          </cell>
        </row>
        <row r="21">
          <cell r="AN21">
            <v>0</v>
          </cell>
        </row>
        <row r="22">
          <cell r="AN22">
            <v>0</v>
          </cell>
        </row>
        <row r="23">
          <cell r="AN23">
            <v>0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AN27">
            <v>0</v>
          </cell>
        </row>
        <row r="28">
          <cell r="AN28">
            <v>0</v>
          </cell>
        </row>
        <row r="29">
          <cell r="AN29">
            <v>0</v>
          </cell>
        </row>
        <row r="30">
          <cell r="AN30">
            <v>0</v>
          </cell>
        </row>
        <row r="31">
          <cell r="AN31">
            <v>0</v>
          </cell>
        </row>
        <row r="32">
          <cell r="AN32">
            <v>0</v>
          </cell>
        </row>
        <row r="33">
          <cell r="AN33">
            <v>0</v>
          </cell>
        </row>
        <row r="34">
          <cell r="AN34">
            <v>0</v>
          </cell>
        </row>
        <row r="35">
          <cell r="AN35">
            <v>0</v>
          </cell>
        </row>
        <row r="36">
          <cell r="AN36">
            <v>0</v>
          </cell>
        </row>
        <row r="37">
          <cell r="AN37">
            <v>-87.543750000000003</v>
          </cell>
        </row>
        <row r="38">
          <cell r="AN38">
            <v>0</v>
          </cell>
        </row>
        <row r="39">
          <cell r="AN39">
            <v>0</v>
          </cell>
        </row>
        <row r="40">
          <cell r="AN40">
            <v>0</v>
          </cell>
        </row>
        <row r="41">
          <cell r="AN41">
            <v>0</v>
          </cell>
        </row>
        <row r="42">
          <cell r="AN42">
            <v>0</v>
          </cell>
        </row>
        <row r="43">
          <cell r="AN43">
            <v>-30.990000000000002</v>
          </cell>
        </row>
        <row r="44">
          <cell r="AN44">
            <v>0</v>
          </cell>
        </row>
        <row r="45">
          <cell r="AN45">
            <v>0</v>
          </cell>
        </row>
        <row r="46">
          <cell r="AN46">
            <v>0</v>
          </cell>
        </row>
        <row r="47">
          <cell r="AN47">
            <v>0</v>
          </cell>
        </row>
        <row r="48">
          <cell r="AN48">
            <v>0</v>
          </cell>
        </row>
        <row r="49">
          <cell r="AN49">
            <v>0</v>
          </cell>
        </row>
        <row r="50">
          <cell r="AN50">
            <v>0</v>
          </cell>
        </row>
        <row r="51">
          <cell r="AN51">
            <v>0</v>
          </cell>
        </row>
        <row r="52">
          <cell r="AN52">
            <v>0</v>
          </cell>
        </row>
        <row r="53">
          <cell r="AN53">
            <v>0</v>
          </cell>
        </row>
        <row r="54">
          <cell r="AN54">
            <v>0</v>
          </cell>
        </row>
        <row r="55">
          <cell r="AN55">
            <v>0</v>
          </cell>
        </row>
        <row r="56">
          <cell r="AN56">
            <v>0</v>
          </cell>
        </row>
        <row r="57">
          <cell r="AN57">
            <v>0</v>
          </cell>
        </row>
        <row r="58">
          <cell r="AN58">
            <v>0</v>
          </cell>
        </row>
        <row r="59">
          <cell r="AN59">
            <v>0</v>
          </cell>
        </row>
        <row r="60">
          <cell r="AN60">
            <v>0</v>
          </cell>
        </row>
        <row r="61">
          <cell r="AN61">
            <v>0</v>
          </cell>
        </row>
        <row r="62">
          <cell r="AN62">
            <v>-3671.06</v>
          </cell>
        </row>
        <row r="63">
          <cell r="AN63">
            <v>0</v>
          </cell>
        </row>
        <row r="64">
          <cell r="AN64">
            <v>0</v>
          </cell>
        </row>
        <row r="65">
          <cell r="AN65">
            <v>0</v>
          </cell>
        </row>
        <row r="66">
          <cell r="AN66">
            <v>0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0</v>
          </cell>
        </row>
        <row r="70">
          <cell r="AN70">
            <v>0</v>
          </cell>
        </row>
        <row r="71">
          <cell r="AN71">
            <v>-18.048750000000002</v>
          </cell>
        </row>
        <row r="72">
          <cell r="AN72">
            <v>0</v>
          </cell>
        </row>
        <row r="73">
          <cell r="AN73">
            <v>0</v>
          </cell>
        </row>
        <row r="74">
          <cell r="AN74">
            <v>0</v>
          </cell>
        </row>
        <row r="75">
          <cell r="AN75">
            <v>0</v>
          </cell>
        </row>
        <row r="76">
          <cell r="AN76">
            <v>0</v>
          </cell>
        </row>
        <row r="79">
          <cell r="O79">
            <v>-7724.0832143603293</v>
          </cell>
        </row>
      </sheetData>
      <sheetData sheetId="20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-518.30500000000006</v>
          </cell>
        </row>
        <row r="33">
          <cell r="AL33">
            <v>0</v>
          </cell>
        </row>
        <row r="34">
          <cell r="AL34">
            <v>0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-3673.6150000000002</v>
          </cell>
        </row>
        <row r="43">
          <cell r="AL43">
            <v>0</v>
          </cell>
        </row>
        <row r="44">
          <cell r="AL44">
            <v>0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-32.024999999999999</v>
          </cell>
        </row>
        <row r="51">
          <cell r="AL51">
            <v>-55.704999999999998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-23.225000000000001</v>
          </cell>
        </row>
        <row r="55">
          <cell r="AL55">
            <v>0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-30.307500000000001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9">
          <cell r="N79">
            <v>-4547.0771763518869</v>
          </cell>
        </row>
      </sheetData>
      <sheetData sheetId="21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-1377</v>
          </cell>
        </row>
        <row r="33">
          <cell r="AL33">
            <v>0</v>
          </cell>
        </row>
        <row r="34">
          <cell r="AL34">
            <v>0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-1184.7574999999999</v>
          </cell>
        </row>
        <row r="43">
          <cell r="AL43">
            <v>0</v>
          </cell>
        </row>
        <row r="44">
          <cell r="AL44">
            <v>-193.48000000000002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-20.545000000000002</v>
          </cell>
        </row>
        <row r="51">
          <cell r="AL51">
            <v>0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0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-6.1074999999999999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8">
          <cell r="N78">
            <v>-2258.300251577949</v>
          </cell>
        </row>
      </sheetData>
      <sheetData sheetId="22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-675.75</v>
          </cell>
        </row>
        <row r="33">
          <cell r="AL33">
            <v>0</v>
          </cell>
        </row>
        <row r="34">
          <cell r="AL34">
            <v>0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-1685.11625</v>
          </cell>
        </row>
        <row r="43">
          <cell r="AL43">
            <v>0</v>
          </cell>
        </row>
        <row r="44">
          <cell r="AL44">
            <v>-72.555000000000007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-20.545000000000002</v>
          </cell>
        </row>
        <row r="51">
          <cell r="AL51">
            <v>-31.067499999999999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0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-12.215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8">
          <cell r="N78">
            <v>-2148.841629268059</v>
          </cell>
        </row>
      </sheetData>
      <sheetData sheetId="23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-8414.2537499999999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0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0</v>
          </cell>
        </row>
        <row r="44">
          <cell r="AL44">
            <v>0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0</v>
          </cell>
        </row>
        <row r="51">
          <cell r="AL51">
            <v>0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0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0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8">
          <cell r="N78">
            <v>-9405.1622183074833</v>
          </cell>
        </row>
      </sheetData>
      <sheetData sheetId="24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-13.307500000000001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0</v>
          </cell>
        </row>
        <row r="44">
          <cell r="AL44">
            <v>0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0</v>
          </cell>
        </row>
        <row r="51">
          <cell r="AL51">
            <v>0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-1006.96875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0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8">
          <cell r="N78">
            <v>-2327.5582628827428</v>
          </cell>
        </row>
      </sheetData>
      <sheetData sheetId="25">
        <row r="7">
          <cell r="AL7">
            <v>0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-5944.3162499999999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0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0</v>
          </cell>
        </row>
        <row r="33">
          <cell r="AL33">
            <v>-30.91</v>
          </cell>
        </row>
        <row r="34">
          <cell r="AL34">
            <v>0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0</v>
          </cell>
        </row>
        <row r="44">
          <cell r="AL44">
            <v>0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0</v>
          </cell>
        </row>
        <row r="51">
          <cell r="AL51">
            <v>0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0</v>
          </cell>
        </row>
        <row r="56">
          <cell r="AL56">
            <v>0</v>
          </cell>
        </row>
        <row r="57">
          <cell r="AL57">
            <v>0</v>
          </cell>
        </row>
        <row r="58">
          <cell r="AL58">
            <v>0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0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  <row r="78">
          <cell r="N78">
            <v>-6707.8174939935852</v>
          </cell>
        </row>
      </sheetData>
      <sheetData sheetId="26">
        <row r="77">
          <cell r="O77">
            <v>-14292</v>
          </cell>
        </row>
      </sheetData>
      <sheetData sheetId="27">
        <row r="76">
          <cell r="O76">
            <v>-13657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ober midyear adj"/>
      <sheetName val="Oct midyear adj_LA virtual"/>
      <sheetName val="Oct midyear adj_Connections"/>
      <sheetName val="Oct midyear adj_OJJ"/>
    </sheetNames>
    <sheetDataSet>
      <sheetData sheetId="0" refreshError="1"/>
      <sheetData sheetId="1">
        <row r="6">
          <cell r="M6">
            <v>-4909.0320000000065</v>
          </cell>
          <cell r="P6">
            <v>-1824.3</v>
          </cell>
        </row>
        <row r="7">
          <cell r="M7">
            <v>0</v>
          </cell>
          <cell r="P7">
            <v>0</v>
          </cell>
        </row>
        <row r="8">
          <cell r="M8">
            <v>0</v>
          </cell>
          <cell r="P8">
            <v>0</v>
          </cell>
        </row>
        <row r="9">
          <cell r="M9">
            <v>0</v>
          </cell>
          <cell r="P9">
            <v>0</v>
          </cell>
        </row>
        <row r="10">
          <cell r="M10">
            <v>0</v>
          </cell>
          <cell r="P10">
            <v>0</v>
          </cell>
        </row>
        <row r="11">
          <cell r="M11">
            <v>0</v>
          </cell>
          <cell r="P11">
            <v>0</v>
          </cell>
        </row>
        <row r="12">
          <cell r="M12">
            <v>0</v>
          </cell>
          <cell r="P12">
            <v>0</v>
          </cell>
        </row>
        <row r="13">
          <cell r="M13">
            <v>-4254.3896558252454</v>
          </cell>
          <cell r="P13">
            <v>-3858.3</v>
          </cell>
        </row>
        <row r="14">
          <cell r="M14">
            <v>-4616.7041542979059</v>
          </cell>
          <cell r="P14">
            <v>-4122</v>
          </cell>
        </row>
        <row r="15">
          <cell r="M15">
            <v>0</v>
          </cell>
          <cell r="P15">
            <v>0</v>
          </cell>
        </row>
        <row r="16">
          <cell r="M16">
            <v>0</v>
          </cell>
          <cell r="P16">
            <v>0</v>
          </cell>
        </row>
        <row r="17">
          <cell r="M17">
            <v>0</v>
          </cell>
          <cell r="P17">
            <v>0</v>
          </cell>
        </row>
        <row r="18">
          <cell r="M18">
            <v>0</v>
          </cell>
          <cell r="P18">
            <v>0</v>
          </cell>
        </row>
        <row r="19">
          <cell r="M19">
            <v>0</v>
          </cell>
          <cell r="P19">
            <v>0</v>
          </cell>
        </row>
        <row r="20">
          <cell r="M20">
            <v>0</v>
          </cell>
          <cell r="P20">
            <v>0</v>
          </cell>
        </row>
        <row r="21">
          <cell r="M21">
            <v>0</v>
          </cell>
          <cell r="P21">
            <v>0</v>
          </cell>
        </row>
        <row r="22">
          <cell r="M22">
            <v>0</v>
          </cell>
          <cell r="P22">
            <v>0</v>
          </cell>
        </row>
        <row r="23">
          <cell r="M23">
            <v>0</v>
          </cell>
          <cell r="P23">
            <v>0</v>
          </cell>
        </row>
        <row r="24">
          <cell r="M24">
            <v>0</v>
          </cell>
          <cell r="P24">
            <v>0</v>
          </cell>
        </row>
        <row r="25">
          <cell r="M25">
            <v>0</v>
          </cell>
          <cell r="P25">
            <v>0</v>
          </cell>
        </row>
        <row r="26">
          <cell r="M26">
            <v>0</v>
          </cell>
          <cell r="P26">
            <v>0</v>
          </cell>
        </row>
        <row r="27">
          <cell r="M27">
            <v>0</v>
          </cell>
          <cell r="P27">
            <v>0</v>
          </cell>
        </row>
        <row r="28">
          <cell r="M28">
            <v>0</v>
          </cell>
          <cell r="P28">
            <v>0</v>
          </cell>
        </row>
        <row r="29">
          <cell r="M29">
            <v>0</v>
          </cell>
          <cell r="P29">
            <v>0</v>
          </cell>
        </row>
        <row r="30">
          <cell r="M30">
            <v>0</v>
          </cell>
          <cell r="P30">
            <v>0</v>
          </cell>
        </row>
        <row r="31">
          <cell r="M31">
            <v>0</v>
          </cell>
          <cell r="P31">
            <v>0</v>
          </cell>
        </row>
        <row r="32">
          <cell r="M32">
            <v>0</v>
          </cell>
          <cell r="P32">
            <v>0</v>
          </cell>
        </row>
        <row r="33">
          <cell r="M33">
            <v>-3655.5709760091704</v>
          </cell>
          <cell r="P33">
            <v>-4530.6000000000004</v>
          </cell>
        </row>
        <row r="34">
          <cell r="M34">
            <v>0</v>
          </cell>
          <cell r="P34">
            <v>0</v>
          </cell>
        </row>
        <row r="35">
          <cell r="M35">
            <v>0</v>
          </cell>
          <cell r="P35">
            <v>0</v>
          </cell>
        </row>
        <row r="36">
          <cell r="M36">
            <v>0</v>
          </cell>
          <cell r="P36">
            <v>0</v>
          </cell>
        </row>
        <row r="37">
          <cell r="M37">
            <v>-5381.8986037962932</v>
          </cell>
          <cell r="P37">
            <v>-1687.5</v>
          </cell>
        </row>
        <row r="38">
          <cell r="M38">
            <v>-5740.4614273781681</v>
          </cell>
          <cell r="P38">
            <v>-2740.5</v>
          </cell>
        </row>
        <row r="39">
          <cell r="M39">
            <v>0</v>
          </cell>
          <cell r="P39">
            <v>0</v>
          </cell>
        </row>
        <row r="40">
          <cell r="M40">
            <v>0</v>
          </cell>
          <cell r="P40">
            <v>0</v>
          </cell>
        </row>
        <row r="41">
          <cell r="M41">
            <v>-3598.2545918539108</v>
          </cell>
          <cell r="P41">
            <v>-4365.9000000000005</v>
          </cell>
        </row>
        <row r="42">
          <cell r="M42">
            <v>0</v>
          </cell>
          <cell r="P42">
            <v>0</v>
          </cell>
        </row>
        <row r="43">
          <cell r="M43">
            <v>0</v>
          </cell>
          <cell r="P43">
            <v>0</v>
          </cell>
        </row>
        <row r="44">
          <cell r="M44">
            <v>0</v>
          </cell>
          <cell r="P44">
            <v>0</v>
          </cell>
        </row>
        <row r="45">
          <cell r="M45">
            <v>0</v>
          </cell>
          <cell r="P45">
            <v>0</v>
          </cell>
        </row>
        <row r="46">
          <cell r="M46">
            <v>0</v>
          </cell>
          <cell r="P46">
            <v>0</v>
          </cell>
        </row>
        <row r="47">
          <cell r="M47">
            <v>0</v>
          </cell>
          <cell r="P47">
            <v>0</v>
          </cell>
        </row>
        <row r="48">
          <cell r="M48">
            <v>0</v>
          </cell>
          <cell r="P48">
            <v>0</v>
          </cell>
        </row>
        <row r="49">
          <cell r="M49">
            <v>0</v>
          </cell>
          <cell r="P49">
            <v>0</v>
          </cell>
        </row>
        <row r="50">
          <cell r="M50">
            <v>0</v>
          </cell>
          <cell r="P50">
            <v>0</v>
          </cell>
        </row>
        <row r="51">
          <cell r="M51">
            <v>0</v>
          </cell>
          <cell r="P51">
            <v>0</v>
          </cell>
        </row>
        <row r="52">
          <cell r="M52">
            <v>0</v>
          </cell>
          <cell r="P52">
            <v>0</v>
          </cell>
        </row>
        <row r="53">
          <cell r="M53">
            <v>0</v>
          </cell>
          <cell r="P53">
            <v>0</v>
          </cell>
        </row>
        <row r="54">
          <cell r="M54">
            <v>0</v>
          </cell>
          <cell r="P54">
            <v>0</v>
          </cell>
        </row>
        <row r="55">
          <cell r="M55">
            <v>0</v>
          </cell>
          <cell r="P55">
            <v>0</v>
          </cell>
        </row>
        <row r="56">
          <cell r="M56">
            <v>0</v>
          </cell>
          <cell r="P56">
            <v>0</v>
          </cell>
        </row>
        <row r="57">
          <cell r="M57">
            <v>-5080.1043534373293</v>
          </cell>
          <cell r="P57">
            <v>-4339.8</v>
          </cell>
        </row>
        <row r="58">
          <cell r="M58">
            <v>0</v>
          </cell>
          <cell r="P58">
            <v>0</v>
          </cell>
        </row>
        <row r="59">
          <cell r="M59">
            <v>0</v>
          </cell>
          <cell r="P59">
            <v>0</v>
          </cell>
        </row>
        <row r="60">
          <cell r="M60">
            <v>0</v>
          </cell>
          <cell r="P60">
            <v>0</v>
          </cell>
        </row>
        <row r="61">
          <cell r="M61">
            <v>0</v>
          </cell>
          <cell r="P61">
            <v>0</v>
          </cell>
        </row>
        <row r="62">
          <cell r="M62">
            <v>0</v>
          </cell>
          <cell r="P62">
            <v>0</v>
          </cell>
        </row>
        <row r="63">
          <cell r="M63">
            <v>0</v>
          </cell>
          <cell r="P63">
            <v>0</v>
          </cell>
        </row>
        <row r="64">
          <cell r="M64">
            <v>0</v>
          </cell>
          <cell r="P64">
            <v>0</v>
          </cell>
        </row>
        <row r="65">
          <cell r="M65">
            <v>0</v>
          </cell>
          <cell r="P65">
            <v>0</v>
          </cell>
        </row>
        <row r="66">
          <cell r="M66">
            <v>-3381.8045293498144</v>
          </cell>
          <cell r="P66">
            <v>-5440.5</v>
          </cell>
        </row>
        <row r="67">
          <cell r="M67">
            <v>0</v>
          </cell>
          <cell r="P67">
            <v>0</v>
          </cell>
        </row>
        <row r="68">
          <cell r="M68">
            <v>0</v>
          </cell>
          <cell r="P68">
            <v>0</v>
          </cell>
        </row>
        <row r="69">
          <cell r="M69">
            <v>0</v>
          </cell>
          <cell r="P69">
            <v>0</v>
          </cell>
        </row>
        <row r="70">
          <cell r="M70">
            <v>0</v>
          </cell>
          <cell r="P70">
            <v>0</v>
          </cell>
        </row>
        <row r="71">
          <cell r="M71">
            <v>0</v>
          </cell>
          <cell r="P71">
            <v>0</v>
          </cell>
        </row>
        <row r="72">
          <cell r="M72">
            <v>0</v>
          </cell>
          <cell r="P72">
            <v>0</v>
          </cell>
        </row>
        <row r="73">
          <cell r="M73">
            <v>0</v>
          </cell>
          <cell r="P73">
            <v>0</v>
          </cell>
        </row>
        <row r="74">
          <cell r="M74">
            <v>0</v>
          </cell>
          <cell r="P74">
            <v>0</v>
          </cell>
        </row>
      </sheetData>
      <sheetData sheetId="2" refreshError="1"/>
      <sheetData sheetId="3">
        <row r="6">
          <cell r="I6">
            <v>0</v>
          </cell>
          <cell r="K6">
            <v>0</v>
          </cell>
        </row>
        <row r="7">
          <cell r="I7">
            <v>0</v>
          </cell>
          <cell r="K7">
            <v>0</v>
          </cell>
        </row>
        <row r="8">
          <cell r="I8">
            <v>0</v>
          </cell>
          <cell r="K8">
            <v>0</v>
          </cell>
        </row>
        <row r="9">
          <cell r="I9">
            <v>0</v>
          </cell>
          <cell r="K9">
            <v>0</v>
          </cell>
        </row>
        <row r="10">
          <cell r="I10">
            <v>0</v>
          </cell>
          <cell r="K10">
            <v>0</v>
          </cell>
        </row>
        <row r="11">
          <cell r="I11">
            <v>0</v>
          </cell>
          <cell r="K11">
            <v>0</v>
          </cell>
        </row>
        <row r="12">
          <cell r="I12">
            <v>0</v>
          </cell>
          <cell r="K12">
            <v>0</v>
          </cell>
        </row>
        <row r="13">
          <cell r="I13">
            <v>0</v>
          </cell>
          <cell r="K13">
            <v>0</v>
          </cell>
        </row>
        <row r="14">
          <cell r="I14">
            <v>-1785.4483345036369</v>
          </cell>
          <cell r="K14">
            <v>-753.35776342977704</v>
          </cell>
        </row>
        <row r="15">
          <cell r="I15">
            <v>44.273852237876717</v>
          </cell>
          <cell r="K15">
            <v>21.194332043496722</v>
          </cell>
        </row>
        <row r="16">
          <cell r="I16">
            <v>0</v>
          </cell>
          <cell r="K16">
            <v>0</v>
          </cell>
        </row>
        <row r="17">
          <cell r="I17">
            <v>0</v>
          </cell>
          <cell r="K17">
            <v>0</v>
          </cell>
        </row>
        <row r="18">
          <cell r="I18">
            <v>0</v>
          </cell>
          <cell r="K18">
            <v>0</v>
          </cell>
        </row>
        <row r="19">
          <cell r="I19">
            <v>0</v>
          </cell>
          <cell r="K19">
            <v>0</v>
          </cell>
        </row>
        <row r="20">
          <cell r="I20">
            <v>0</v>
          </cell>
          <cell r="K20">
            <v>0</v>
          </cell>
        </row>
        <row r="21">
          <cell r="I21">
            <v>0</v>
          </cell>
          <cell r="K21">
            <v>0</v>
          </cell>
        </row>
        <row r="22">
          <cell r="I22">
            <v>249.81926343778414</v>
          </cell>
          <cell r="K22">
            <v>169.18272097607019</v>
          </cell>
        </row>
        <row r="23">
          <cell r="I23">
            <v>0</v>
          </cell>
          <cell r="K23">
            <v>0</v>
          </cell>
        </row>
        <row r="24">
          <cell r="I24">
            <v>0</v>
          </cell>
          <cell r="K24">
            <v>0</v>
          </cell>
        </row>
        <row r="25">
          <cell r="I25">
            <v>-909.54763781475037</v>
          </cell>
          <cell r="K25">
            <v>-216.87780754017336</v>
          </cell>
        </row>
        <row r="26">
          <cell r="I26">
            <v>0</v>
          </cell>
          <cell r="K26">
            <v>0</v>
          </cell>
        </row>
        <row r="27">
          <cell r="I27">
            <v>0</v>
          </cell>
          <cell r="K27">
            <v>0</v>
          </cell>
        </row>
        <row r="28">
          <cell r="I28">
            <v>-26.321677658678428</v>
          </cell>
          <cell r="K28">
            <v>-9.2579137328713692</v>
          </cell>
        </row>
        <row r="29">
          <cell r="I29">
            <v>0</v>
          </cell>
          <cell r="K29">
            <v>0</v>
          </cell>
        </row>
        <row r="30">
          <cell r="I30">
            <v>0</v>
          </cell>
          <cell r="K30">
            <v>0</v>
          </cell>
        </row>
        <row r="31">
          <cell r="I31">
            <v>1750.7460820959707</v>
          </cell>
          <cell r="K31">
            <v>1273.2061128002128</v>
          </cell>
        </row>
        <row r="32">
          <cell r="I32">
            <v>0</v>
          </cell>
          <cell r="K32">
            <v>0</v>
          </cell>
        </row>
        <row r="33">
          <cell r="I33">
            <v>0</v>
          </cell>
          <cell r="K33">
            <v>0</v>
          </cell>
        </row>
        <row r="34">
          <cell r="I34">
            <v>-306.57326769710357</v>
          </cell>
          <cell r="K34">
            <v>-132.57561638622104</v>
          </cell>
        </row>
        <row r="35">
          <cell r="I35">
            <v>0</v>
          </cell>
          <cell r="K35">
            <v>0</v>
          </cell>
        </row>
        <row r="36">
          <cell r="I36">
            <v>-712.28452504350162</v>
          </cell>
          <cell r="K36">
            <v>-337.6427002562337</v>
          </cell>
        </row>
        <row r="37">
          <cell r="I37">
            <v>0</v>
          </cell>
          <cell r="K37">
            <v>0</v>
          </cell>
        </row>
        <row r="38">
          <cell r="I38">
            <v>0</v>
          </cell>
          <cell r="K38">
            <v>0</v>
          </cell>
        </row>
        <row r="39">
          <cell r="I39">
            <v>0</v>
          </cell>
          <cell r="K39">
            <v>0</v>
          </cell>
        </row>
        <row r="40">
          <cell r="I40">
            <v>0</v>
          </cell>
          <cell r="K40">
            <v>0</v>
          </cell>
        </row>
        <row r="41">
          <cell r="I41">
            <v>-202.58416683958689</v>
          </cell>
          <cell r="K41">
            <v>-134.68491346585924</v>
          </cell>
        </row>
        <row r="42">
          <cell r="I42">
            <v>-359.43545318330757</v>
          </cell>
          <cell r="K42">
            <v>-106.74967995699511</v>
          </cell>
        </row>
        <row r="43">
          <cell r="I43">
            <v>0</v>
          </cell>
          <cell r="K43">
            <v>0</v>
          </cell>
        </row>
        <row r="44">
          <cell r="I44">
            <v>0</v>
          </cell>
          <cell r="K44">
            <v>0</v>
          </cell>
        </row>
        <row r="45">
          <cell r="I45">
            <v>-5180.8949039852941</v>
          </cell>
          <cell r="K45">
            <v>-1691.485293720702</v>
          </cell>
        </row>
        <row r="46">
          <cell r="I46">
            <v>0</v>
          </cell>
          <cell r="K46">
            <v>0</v>
          </cell>
        </row>
        <row r="47">
          <cell r="I47">
            <v>0</v>
          </cell>
          <cell r="K47">
            <v>0</v>
          </cell>
        </row>
        <row r="48">
          <cell r="I48">
            <v>0</v>
          </cell>
          <cell r="K48">
            <v>0</v>
          </cell>
        </row>
        <row r="49">
          <cell r="I49">
            <v>0</v>
          </cell>
          <cell r="K49">
            <v>0</v>
          </cell>
        </row>
        <row r="50">
          <cell r="I50">
            <v>0</v>
          </cell>
          <cell r="K50">
            <v>0</v>
          </cell>
        </row>
        <row r="51">
          <cell r="I51">
            <v>0</v>
          </cell>
          <cell r="K51">
            <v>0</v>
          </cell>
        </row>
        <row r="52">
          <cell r="I52">
            <v>0</v>
          </cell>
          <cell r="K52">
            <v>0</v>
          </cell>
        </row>
        <row r="53">
          <cell r="I53">
            <v>0</v>
          </cell>
          <cell r="K53">
            <v>0</v>
          </cell>
        </row>
        <row r="54">
          <cell r="I54">
            <v>-34.074981241392067</v>
          </cell>
          <cell r="K54">
            <v>-8.674640545172922</v>
          </cell>
        </row>
        <row r="55">
          <cell r="I55">
            <v>0</v>
          </cell>
          <cell r="K55">
            <v>0</v>
          </cell>
        </row>
        <row r="56">
          <cell r="I56">
            <v>0</v>
          </cell>
          <cell r="K56">
            <v>0</v>
          </cell>
        </row>
        <row r="57">
          <cell r="I57">
            <v>0</v>
          </cell>
          <cell r="K57">
            <v>0</v>
          </cell>
        </row>
        <row r="58">
          <cell r="I58">
            <v>0</v>
          </cell>
          <cell r="K58">
            <v>0</v>
          </cell>
        </row>
        <row r="59">
          <cell r="I59">
            <v>0</v>
          </cell>
          <cell r="K59">
            <v>0</v>
          </cell>
        </row>
        <row r="60">
          <cell r="I60">
            <v>1465.887995964496</v>
          </cell>
          <cell r="K60">
            <v>535.61649182238727</v>
          </cell>
        </row>
        <row r="61">
          <cell r="I61">
            <v>0</v>
          </cell>
          <cell r="K61">
            <v>0</v>
          </cell>
        </row>
        <row r="62">
          <cell r="I62">
            <v>0</v>
          </cell>
          <cell r="K62">
            <v>0</v>
          </cell>
        </row>
        <row r="63">
          <cell r="I63">
            <v>0</v>
          </cell>
          <cell r="K63">
            <v>0</v>
          </cell>
        </row>
        <row r="64">
          <cell r="I64">
            <v>0</v>
          </cell>
          <cell r="K64">
            <v>0</v>
          </cell>
        </row>
        <row r="65">
          <cell r="I65">
            <v>0</v>
          </cell>
          <cell r="K65">
            <v>0</v>
          </cell>
        </row>
        <row r="66">
          <cell r="I66">
            <v>0</v>
          </cell>
          <cell r="K66">
            <v>0</v>
          </cell>
        </row>
        <row r="67">
          <cell r="I67">
            <v>0</v>
          </cell>
          <cell r="K67">
            <v>0</v>
          </cell>
        </row>
        <row r="68">
          <cell r="I68">
            <v>0</v>
          </cell>
          <cell r="K68">
            <v>0</v>
          </cell>
        </row>
        <row r="69">
          <cell r="I69">
            <v>0</v>
          </cell>
          <cell r="K69">
            <v>0</v>
          </cell>
        </row>
        <row r="70">
          <cell r="I70">
            <v>0</v>
          </cell>
          <cell r="K70">
            <v>0</v>
          </cell>
        </row>
        <row r="71">
          <cell r="I71">
            <v>78.017407702758362</v>
          </cell>
          <cell r="K71">
            <v>24.927967259920109</v>
          </cell>
        </row>
        <row r="72">
          <cell r="I72">
            <v>0</v>
          </cell>
          <cell r="K72">
            <v>0</v>
          </cell>
        </row>
        <row r="73">
          <cell r="I73">
            <v>0</v>
          </cell>
          <cell r="K73">
            <v>0</v>
          </cell>
        </row>
        <row r="74">
          <cell r="I74">
            <v>0</v>
          </cell>
          <cell r="K74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Summary"/>
      <sheetName val="Summary for MFP"/>
    </sheetNames>
    <sheetDataSet>
      <sheetData sheetId="0"/>
      <sheetData sheetId="1"/>
      <sheetData sheetId="2">
        <row r="7">
          <cell r="E7">
            <v>2.2890630000000001</v>
          </cell>
        </row>
        <row r="9">
          <cell r="E9">
            <v>2</v>
          </cell>
        </row>
        <row r="10">
          <cell r="E10">
            <v>0.86</v>
          </cell>
        </row>
        <row r="11">
          <cell r="E11">
            <v>4.1400430000000004</v>
          </cell>
        </row>
        <row r="12">
          <cell r="E12">
            <v>1.6027</v>
          </cell>
        </row>
        <row r="14">
          <cell r="E14">
            <v>5.3072299999999997</v>
          </cell>
        </row>
        <row r="15">
          <cell r="E15">
            <v>32.452984000000001</v>
          </cell>
        </row>
        <row r="16">
          <cell r="E16">
            <v>7.8530309999999997</v>
          </cell>
        </row>
        <row r="21">
          <cell r="E21">
            <v>2.3279999999999998</v>
          </cell>
        </row>
        <row r="22">
          <cell r="E22">
            <v>2.242569</v>
          </cell>
        </row>
        <row r="23">
          <cell r="E23">
            <v>39.355055</v>
          </cell>
        </row>
        <row r="24">
          <cell r="E24">
            <v>1.629084</v>
          </cell>
        </row>
        <row r="25">
          <cell r="E25">
            <v>0.31707299999999999</v>
          </cell>
        </row>
        <row r="26">
          <cell r="E26">
            <v>4.6866770000000004</v>
          </cell>
        </row>
        <row r="27">
          <cell r="E27">
            <v>4.0270669999999997</v>
          </cell>
        </row>
        <row r="28">
          <cell r="E28">
            <v>0.22764200000000001</v>
          </cell>
        </row>
        <row r="29">
          <cell r="E29">
            <v>6.0642379999999996</v>
          </cell>
        </row>
        <row r="30">
          <cell r="E30">
            <v>1.872987</v>
          </cell>
        </row>
        <row r="31">
          <cell r="E31">
            <v>0.39566400000000002</v>
          </cell>
        </row>
        <row r="32">
          <cell r="E32">
            <v>34.762673999999997</v>
          </cell>
        </row>
        <row r="33">
          <cell r="E33">
            <v>2.64</v>
          </cell>
        </row>
        <row r="34">
          <cell r="E34">
            <v>7.5385470000000003</v>
          </cell>
        </row>
        <row r="35">
          <cell r="E35">
            <v>18.863023999999999</v>
          </cell>
        </row>
        <row r="37">
          <cell r="E37">
            <v>1.496</v>
          </cell>
        </row>
        <row r="38">
          <cell r="E38">
            <v>3.2524009999999999</v>
          </cell>
        </row>
        <row r="39">
          <cell r="E39">
            <v>5.1424180000000002</v>
          </cell>
        </row>
        <row r="40">
          <cell r="E40">
            <v>2.077636</v>
          </cell>
        </row>
        <row r="41">
          <cell r="E41">
            <v>1.296</v>
          </cell>
        </row>
        <row r="42">
          <cell r="E42">
            <v>33.180213000000002</v>
          </cell>
        </row>
        <row r="43">
          <cell r="E43">
            <v>2.6449859999999998</v>
          </cell>
        </row>
        <row r="44">
          <cell r="E44">
            <v>0.49322500000000002</v>
          </cell>
        </row>
        <row r="45">
          <cell r="E45">
            <v>1.88697</v>
          </cell>
        </row>
        <row r="46">
          <cell r="E46">
            <v>3.7218420000000001</v>
          </cell>
        </row>
        <row r="47">
          <cell r="E47">
            <v>0.752</v>
          </cell>
        </row>
        <row r="48">
          <cell r="E48">
            <v>2.6233050000000002</v>
          </cell>
        </row>
        <row r="49">
          <cell r="E49">
            <v>0.22026000000000001</v>
          </cell>
        </row>
        <row r="50">
          <cell r="E50">
            <v>0.79735500000000004</v>
          </cell>
        </row>
        <row r="51">
          <cell r="E51">
            <v>2.4873289999999999</v>
          </cell>
        </row>
        <row r="54">
          <cell r="E54">
            <v>0</v>
          </cell>
        </row>
        <row r="55">
          <cell r="E55">
            <v>5.3381990000000004</v>
          </cell>
        </row>
        <row r="56">
          <cell r="E56">
            <v>4.3232080000000002</v>
          </cell>
        </row>
        <row r="57">
          <cell r="E57">
            <v>1.831979</v>
          </cell>
        </row>
        <row r="58">
          <cell r="E58">
            <v>13.215285</v>
          </cell>
        </row>
        <row r="59">
          <cell r="E59">
            <v>8.5482180000000003</v>
          </cell>
        </row>
        <row r="60">
          <cell r="E60">
            <v>2.1395119999999999</v>
          </cell>
        </row>
        <row r="61">
          <cell r="E61">
            <v>13.236518</v>
          </cell>
        </row>
        <row r="63">
          <cell r="E63">
            <v>2.748532</v>
          </cell>
        </row>
        <row r="64">
          <cell r="E64">
            <v>0.54800000000000004</v>
          </cell>
        </row>
        <row r="65">
          <cell r="E65">
            <v>3.8155779999999999</v>
          </cell>
        </row>
        <row r="66">
          <cell r="E66">
            <v>3.513636</v>
          </cell>
        </row>
        <row r="67">
          <cell r="E67">
            <v>2.7744490000000002</v>
          </cell>
        </row>
        <row r="68">
          <cell r="E68">
            <v>0.346883</v>
          </cell>
        </row>
        <row r="69">
          <cell r="E69">
            <v>1.487805</v>
          </cell>
        </row>
        <row r="71">
          <cell r="E71">
            <v>1.232</v>
          </cell>
        </row>
        <row r="73">
          <cell r="E73">
            <v>7.1999999999999995E-2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MFP Funded"/>
      <sheetName val="10.1.12 RSD-NO by Site"/>
      <sheetName val="10.1.12 RSD operated by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E7">
            <v>0</v>
          </cell>
        </row>
        <row r="8">
          <cell r="E8">
            <v>0</v>
          </cell>
        </row>
        <row r="9">
          <cell r="E9">
            <v>-2.4000000000000021E-2</v>
          </cell>
        </row>
        <row r="10">
          <cell r="E10">
            <v>-5.1999999999999935E-2</v>
          </cell>
        </row>
        <row r="11">
          <cell r="E11">
            <v>0</v>
          </cell>
        </row>
        <row r="12">
          <cell r="E12">
            <v>8.0000000000000071E-2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6.799999999999784E-2</v>
          </cell>
        </row>
        <row r="16">
          <cell r="E16">
            <v>2.0000000000000462E-2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6.4000000000000057E-2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7.5999999999999623E-2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-7.1999999999995623E-2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6.0000000000000053E-2</v>
          </cell>
        </row>
        <row r="42">
          <cell r="E42">
            <v>3.1999999999996476E-2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-9.6000000000000085E-2</v>
          </cell>
        </row>
        <row r="47">
          <cell r="E47">
            <v>9.5999999999999974E-2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1.6000000000000014E-2</v>
          </cell>
        </row>
        <row r="56">
          <cell r="E56">
            <v>-0.62400000000000011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6.0000000000000497E-2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-1.2000000000000011E-2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7">
          <cell r="E7">
            <v>0</v>
          </cell>
          <cell r="I7">
            <v>0</v>
          </cell>
        </row>
        <row r="8">
          <cell r="E8">
            <v>0</v>
          </cell>
          <cell r="I8">
            <v>0</v>
          </cell>
        </row>
        <row r="9">
          <cell r="E9">
            <v>0</v>
          </cell>
          <cell r="I9">
            <v>0</v>
          </cell>
        </row>
        <row r="10">
          <cell r="E10">
            <v>0</v>
          </cell>
          <cell r="I10">
            <v>0</v>
          </cell>
        </row>
        <row r="11">
          <cell r="E11">
            <v>0</v>
          </cell>
          <cell r="I11">
            <v>0</v>
          </cell>
        </row>
        <row r="12">
          <cell r="E12">
            <v>0</v>
          </cell>
          <cell r="I12">
            <v>0</v>
          </cell>
        </row>
        <row r="13">
          <cell r="E13">
            <v>0</v>
          </cell>
          <cell r="I13">
            <v>0</v>
          </cell>
        </row>
        <row r="14">
          <cell r="E14">
            <v>0</v>
          </cell>
          <cell r="I14">
            <v>0</v>
          </cell>
        </row>
        <row r="15">
          <cell r="E15">
            <v>0</v>
          </cell>
          <cell r="I15">
            <v>0</v>
          </cell>
        </row>
        <row r="16">
          <cell r="E16">
            <v>0</v>
          </cell>
          <cell r="I16">
            <v>0</v>
          </cell>
        </row>
        <row r="17">
          <cell r="E17">
            <v>0</v>
          </cell>
          <cell r="I17">
            <v>0</v>
          </cell>
        </row>
        <row r="18">
          <cell r="E18">
            <v>0</v>
          </cell>
          <cell r="I18">
            <v>0</v>
          </cell>
        </row>
        <row r="19">
          <cell r="E19">
            <v>0</v>
          </cell>
          <cell r="I19">
            <v>0</v>
          </cell>
        </row>
        <row r="20">
          <cell r="E20">
            <v>0</v>
          </cell>
          <cell r="I20">
            <v>0</v>
          </cell>
        </row>
        <row r="21">
          <cell r="E21">
            <v>0</v>
          </cell>
          <cell r="I21">
            <v>0</v>
          </cell>
        </row>
        <row r="22">
          <cell r="E22">
            <v>0</v>
          </cell>
          <cell r="I22">
            <v>0</v>
          </cell>
        </row>
        <row r="23">
          <cell r="E23">
            <v>0</v>
          </cell>
          <cell r="I23">
            <v>0</v>
          </cell>
        </row>
        <row r="24">
          <cell r="E24">
            <v>0</v>
          </cell>
          <cell r="I24">
            <v>0</v>
          </cell>
        </row>
        <row r="25">
          <cell r="E25">
            <v>0</v>
          </cell>
          <cell r="I25">
            <v>0</v>
          </cell>
        </row>
        <row r="26">
          <cell r="E26">
            <v>0</v>
          </cell>
          <cell r="I26">
            <v>0</v>
          </cell>
        </row>
        <row r="27">
          <cell r="E27">
            <v>0</v>
          </cell>
          <cell r="I27">
            <v>0</v>
          </cell>
        </row>
        <row r="28">
          <cell r="E28">
            <v>0</v>
          </cell>
          <cell r="I28">
            <v>0</v>
          </cell>
        </row>
        <row r="29">
          <cell r="E29">
            <v>0</v>
          </cell>
          <cell r="I29">
            <v>0</v>
          </cell>
        </row>
        <row r="30">
          <cell r="E30">
            <v>0</v>
          </cell>
          <cell r="I30">
            <v>0</v>
          </cell>
        </row>
        <row r="31">
          <cell r="E31">
            <v>0</v>
          </cell>
          <cell r="I31">
            <v>0</v>
          </cell>
        </row>
        <row r="32">
          <cell r="E32">
            <v>0</v>
          </cell>
          <cell r="I32">
            <v>0</v>
          </cell>
        </row>
        <row r="33">
          <cell r="E33">
            <v>0</v>
          </cell>
          <cell r="I33">
            <v>0</v>
          </cell>
        </row>
        <row r="34">
          <cell r="E34">
            <v>0</v>
          </cell>
          <cell r="I34">
            <v>0</v>
          </cell>
        </row>
        <row r="35">
          <cell r="E35">
            <v>0</v>
          </cell>
          <cell r="I35">
            <v>0</v>
          </cell>
        </row>
        <row r="36">
          <cell r="E36">
            <v>0</v>
          </cell>
          <cell r="I36">
            <v>0</v>
          </cell>
        </row>
        <row r="37">
          <cell r="E37">
            <v>0</v>
          </cell>
          <cell r="I37">
            <v>0</v>
          </cell>
        </row>
        <row r="38">
          <cell r="E38">
            <v>0</v>
          </cell>
          <cell r="I38">
            <v>0</v>
          </cell>
        </row>
        <row r="39">
          <cell r="E39">
            <v>0</v>
          </cell>
          <cell r="I39">
            <v>0</v>
          </cell>
        </row>
        <row r="40">
          <cell r="E40">
            <v>0</v>
          </cell>
          <cell r="I40">
            <v>0</v>
          </cell>
        </row>
        <row r="41">
          <cell r="E41">
            <v>0</v>
          </cell>
          <cell r="I41">
            <v>0</v>
          </cell>
        </row>
        <row r="42">
          <cell r="E42">
            <v>0</v>
          </cell>
          <cell r="I42">
            <v>0</v>
          </cell>
        </row>
        <row r="43">
          <cell r="E43">
            <v>0</v>
          </cell>
          <cell r="I43">
            <v>0</v>
          </cell>
        </row>
        <row r="44">
          <cell r="E44">
            <v>0</v>
          </cell>
          <cell r="I44">
            <v>0</v>
          </cell>
        </row>
        <row r="45">
          <cell r="E45">
            <v>0</v>
          </cell>
          <cell r="I45">
            <v>0</v>
          </cell>
        </row>
        <row r="46">
          <cell r="E46">
            <v>0</v>
          </cell>
          <cell r="I46">
            <v>0</v>
          </cell>
        </row>
        <row r="47">
          <cell r="E47">
            <v>0</v>
          </cell>
          <cell r="I47">
            <v>0</v>
          </cell>
        </row>
        <row r="48">
          <cell r="E48">
            <v>0</v>
          </cell>
          <cell r="I48">
            <v>0</v>
          </cell>
        </row>
        <row r="49">
          <cell r="E49">
            <v>0</v>
          </cell>
          <cell r="I49">
            <v>0</v>
          </cell>
        </row>
        <row r="50">
          <cell r="E50">
            <v>0</v>
          </cell>
          <cell r="I50">
            <v>0</v>
          </cell>
        </row>
        <row r="51">
          <cell r="E51">
            <v>0</v>
          </cell>
          <cell r="I51">
            <v>0</v>
          </cell>
        </row>
        <row r="52">
          <cell r="E52">
            <v>0</v>
          </cell>
          <cell r="I52">
            <v>0</v>
          </cell>
        </row>
        <row r="53">
          <cell r="E53">
            <v>0</v>
          </cell>
          <cell r="I53">
            <v>0</v>
          </cell>
        </row>
        <row r="54">
          <cell r="E54">
            <v>0</v>
          </cell>
          <cell r="I54">
            <v>0</v>
          </cell>
        </row>
        <row r="55">
          <cell r="E55">
            <v>0</v>
          </cell>
          <cell r="I55">
            <v>0</v>
          </cell>
        </row>
        <row r="56">
          <cell r="E56">
            <v>0</v>
          </cell>
          <cell r="I56">
            <v>0</v>
          </cell>
        </row>
        <row r="57">
          <cell r="E57">
            <v>0</v>
          </cell>
          <cell r="I57">
            <v>0</v>
          </cell>
        </row>
        <row r="58">
          <cell r="E58">
            <v>0</v>
          </cell>
          <cell r="I58">
            <v>0</v>
          </cell>
        </row>
        <row r="59">
          <cell r="E59">
            <v>0</v>
          </cell>
          <cell r="I59">
            <v>0</v>
          </cell>
        </row>
        <row r="60">
          <cell r="E60">
            <v>0</v>
          </cell>
          <cell r="I60">
            <v>0</v>
          </cell>
        </row>
        <row r="61">
          <cell r="E61">
            <v>0</v>
          </cell>
          <cell r="I61">
            <v>0</v>
          </cell>
        </row>
        <row r="62">
          <cell r="E62">
            <v>0</v>
          </cell>
          <cell r="I62">
            <v>0</v>
          </cell>
        </row>
        <row r="63">
          <cell r="E63">
            <v>0</v>
          </cell>
          <cell r="I63">
            <v>0</v>
          </cell>
        </row>
        <row r="64">
          <cell r="E64">
            <v>0</v>
          </cell>
          <cell r="I64">
            <v>0</v>
          </cell>
        </row>
        <row r="65">
          <cell r="E65">
            <v>0</v>
          </cell>
          <cell r="I65">
            <v>0</v>
          </cell>
        </row>
        <row r="66">
          <cell r="E66">
            <v>0</v>
          </cell>
          <cell r="I66">
            <v>0</v>
          </cell>
        </row>
        <row r="67">
          <cell r="E67">
            <v>0</v>
          </cell>
          <cell r="I67">
            <v>0</v>
          </cell>
        </row>
        <row r="68">
          <cell r="E68">
            <v>0</v>
          </cell>
          <cell r="I68">
            <v>0</v>
          </cell>
        </row>
        <row r="69">
          <cell r="E69">
            <v>0</v>
          </cell>
          <cell r="I69">
            <v>0</v>
          </cell>
        </row>
        <row r="70">
          <cell r="E70">
            <v>0</v>
          </cell>
          <cell r="I70">
            <v>0</v>
          </cell>
        </row>
        <row r="71">
          <cell r="E71">
            <v>0</v>
          </cell>
          <cell r="I71">
            <v>0</v>
          </cell>
        </row>
        <row r="72">
          <cell r="E72">
            <v>0</v>
          </cell>
          <cell r="I72">
            <v>0</v>
          </cell>
        </row>
        <row r="73">
          <cell r="E73">
            <v>0</v>
          </cell>
          <cell r="I73">
            <v>0</v>
          </cell>
        </row>
        <row r="74">
          <cell r="E74">
            <v>0</v>
          </cell>
          <cell r="I74">
            <v>0</v>
          </cell>
        </row>
        <row r="75">
          <cell r="E75">
            <v>0</v>
          </cell>
          <cell r="I75">
            <v>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RSD-NO"/>
      <sheetName val="RSD-LA"/>
      <sheetName val="Table 2A-2 EFT-ak"/>
    </sheetNames>
    <sheetDataSet>
      <sheetData sheetId="0">
        <row r="8">
          <cell r="DT8">
            <v>42645466</v>
          </cell>
        </row>
        <row r="9">
          <cell r="DT9">
            <v>23589479</v>
          </cell>
        </row>
        <row r="10">
          <cell r="DT10">
            <v>83327004</v>
          </cell>
        </row>
        <row r="11">
          <cell r="DT11">
            <v>19615022</v>
          </cell>
        </row>
        <row r="12">
          <cell r="DT12">
            <v>25674209</v>
          </cell>
        </row>
        <row r="13">
          <cell r="DT13">
            <v>30405744</v>
          </cell>
        </row>
        <row r="14">
          <cell r="DT14">
            <v>4230956</v>
          </cell>
        </row>
        <row r="15">
          <cell r="DT15">
            <v>83244011</v>
          </cell>
        </row>
        <row r="16">
          <cell r="DT16">
            <v>168134216</v>
          </cell>
        </row>
        <row r="17">
          <cell r="DT17">
            <v>125969761</v>
          </cell>
        </row>
        <row r="18">
          <cell r="DT18">
            <v>9667275</v>
          </cell>
        </row>
        <row r="19">
          <cell r="DT19">
            <v>2891080</v>
          </cell>
        </row>
        <row r="20">
          <cell r="DT20">
            <v>8592444</v>
          </cell>
        </row>
        <row r="21">
          <cell r="DT21">
            <v>9619690</v>
          </cell>
        </row>
        <row r="22">
          <cell r="DT22">
            <v>18078202</v>
          </cell>
        </row>
        <row r="23">
          <cell r="DT23">
            <v>8865770</v>
          </cell>
        </row>
        <row r="24">
          <cell r="DT24">
            <v>140261875</v>
          </cell>
        </row>
        <row r="25">
          <cell r="DT25">
            <v>6220145</v>
          </cell>
        </row>
        <row r="26">
          <cell r="DT26">
            <v>9735330</v>
          </cell>
        </row>
        <row r="27">
          <cell r="DT27">
            <v>29449110</v>
          </cell>
        </row>
        <row r="28">
          <cell r="DT28">
            <v>15511139</v>
          </cell>
        </row>
        <row r="29">
          <cell r="DT29">
            <v>18126850</v>
          </cell>
        </row>
        <row r="30">
          <cell r="DT30">
            <v>61224617</v>
          </cell>
        </row>
        <row r="31">
          <cell r="DT31">
            <v>13056591</v>
          </cell>
        </row>
        <row r="32">
          <cell r="DT32">
            <v>8314679</v>
          </cell>
        </row>
        <row r="33">
          <cell r="DT33">
            <v>143814481</v>
          </cell>
        </row>
        <row r="34">
          <cell r="DT34">
            <v>29637535</v>
          </cell>
        </row>
        <row r="35">
          <cell r="DT35">
            <v>96169537</v>
          </cell>
        </row>
        <row r="36">
          <cell r="DT36">
            <v>53370824</v>
          </cell>
        </row>
        <row r="37">
          <cell r="DT37">
            <v>12976953</v>
          </cell>
        </row>
        <row r="38">
          <cell r="DT38">
            <v>25460249</v>
          </cell>
        </row>
        <row r="39">
          <cell r="DT39">
            <v>123820704</v>
          </cell>
        </row>
        <row r="40">
          <cell r="DT40">
            <v>9166105</v>
          </cell>
        </row>
        <row r="41">
          <cell r="DT41">
            <v>23155596</v>
          </cell>
        </row>
        <row r="42">
          <cell r="DT42">
            <v>28802304</v>
          </cell>
        </row>
        <row r="43">
          <cell r="DT43">
            <v>38009678</v>
          </cell>
        </row>
        <row r="44">
          <cell r="DT44">
            <v>99150486</v>
          </cell>
        </row>
        <row r="45">
          <cell r="DT45">
            <v>9498283</v>
          </cell>
        </row>
        <row r="46">
          <cell r="DT46">
            <v>9630189</v>
          </cell>
        </row>
        <row r="47">
          <cell r="DT47">
            <v>106462709</v>
          </cell>
        </row>
        <row r="48">
          <cell r="DT48">
            <v>2906035</v>
          </cell>
        </row>
        <row r="49">
          <cell r="DT49">
            <v>16493902</v>
          </cell>
        </row>
        <row r="50">
          <cell r="DT50">
            <v>20519532</v>
          </cell>
        </row>
        <row r="51">
          <cell r="DT51">
            <v>24362753</v>
          </cell>
        </row>
        <row r="52">
          <cell r="DT52">
            <v>24879165</v>
          </cell>
        </row>
        <row r="53">
          <cell r="DT53">
            <v>3953906</v>
          </cell>
        </row>
        <row r="54">
          <cell r="DT54">
            <v>12364798</v>
          </cell>
        </row>
        <row r="55">
          <cell r="DT55">
            <v>25029770</v>
          </cell>
        </row>
        <row r="56">
          <cell r="DT56">
            <v>64127913</v>
          </cell>
        </row>
        <row r="57">
          <cell r="DT57">
            <v>37666967</v>
          </cell>
        </row>
        <row r="58">
          <cell r="DT58">
            <v>38363031</v>
          </cell>
        </row>
        <row r="59">
          <cell r="DT59">
            <v>170685318</v>
          </cell>
        </row>
        <row r="60">
          <cell r="DT60">
            <v>86753621</v>
          </cell>
        </row>
        <row r="61">
          <cell r="DT61">
            <v>3956678</v>
          </cell>
        </row>
        <row r="62">
          <cell r="DT62">
            <v>72010604</v>
          </cell>
        </row>
        <row r="63">
          <cell r="DT63">
            <v>11200255</v>
          </cell>
        </row>
        <row r="64">
          <cell r="DT64">
            <v>38545362</v>
          </cell>
        </row>
        <row r="65">
          <cell r="DT65">
            <v>46256539</v>
          </cell>
        </row>
        <row r="66">
          <cell r="DT66">
            <v>30349580</v>
          </cell>
        </row>
        <row r="67">
          <cell r="DT67">
            <v>29130620</v>
          </cell>
        </row>
        <row r="68">
          <cell r="DT68">
            <v>11528768</v>
          </cell>
        </row>
        <row r="69">
          <cell r="DT69">
            <v>10644862</v>
          </cell>
        </row>
        <row r="70">
          <cell r="DT70">
            <v>8716739</v>
          </cell>
        </row>
        <row r="71">
          <cell r="DT71">
            <v>12932122</v>
          </cell>
        </row>
        <row r="72">
          <cell r="DT72">
            <v>36957459</v>
          </cell>
        </row>
        <row r="73">
          <cell r="DT73">
            <v>11775958</v>
          </cell>
        </row>
        <row r="74">
          <cell r="DT74">
            <v>24447108</v>
          </cell>
        </row>
        <row r="75">
          <cell r="DT75">
            <v>9492175</v>
          </cell>
        </row>
        <row r="76">
          <cell r="DT76">
            <v>21164844</v>
          </cell>
        </row>
        <row r="97">
          <cell r="DT97">
            <v>2653500</v>
          </cell>
        </row>
        <row r="98">
          <cell r="DT98">
            <v>2723772</v>
          </cell>
        </row>
        <row r="99">
          <cell r="DT99">
            <v>5158526</v>
          </cell>
        </row>
        <row r="100">
          <cell r="DT100">
            <v>3800388</v>
          </cell>
        </row>
        <row r="101">
          <cell r="DT101">
            <v>4650012</v>
          </cell>
        </row>
        <row r="102">
          <cell r="DT102">
            <v>8541788</v>
          </cell>
        </row>
        <row r="103">
          <cell r="DT103">
            <v>3127494</v>
          </cell>
        </row>
        <row r="104">
          <cell r="DT104">
            <v>801960</v>
          </cell>
        </row>
      </sheetData>
      <sheetData sheetId="1">
        <row r="7">
          <cell r="FV7">
            <v>1137549</v>
          </cell>
        </row>
      </sheetData>
      <sheetData sheetId="2">
        <row r="7">
          <cell r="CU7">
            <v>1691944</v>
          </cell>
          <cell r="CV7">
            <v>2295956</v>
          </cell>
        </row>
        <row r="10">
          <cell r="CU10">
            <v>2037460</v>
          </cell>
          <cell r="CV10">
            <v>1588316</v>
          </cell>
        </row>
        <row r="12">
          <cell r="CU12">
            <v>689980</v>
          </cell>
          <cell r="CV12">
            <v>934310</v>
          </cell>
        </row>
        <row r="13">
          <cell r="CU13">
            <v>765366</v>
          </cell>
          <cell r="CV13">
            <v>1036762</v>
          </cell>
        </row>
        <row r="14">
          <cell r="CU14">
            <v>822254</v>
          </cell>
          <cell r="CV14">
            <v>1113928</v>
          </cell>
        </row>
        <row r="15">
          <cell r="CU15">
            <v>1068650</v>
          </cell>
          <cell r="CV15">
            <v>1447456</v>
          </cell>
        </row>
        <row r="16">
          <cell r="CU16">
            <v>1225354</v>
          </cell>
          <cell r="CV16">
            <v>1660054</v>
          </cell>
        </row>
        <row r="17">
          <cell r="CU17">
            <v>1466166</v>
          </cell>
          <cell r="CV17">
            <v>1985466</v>
          </cell>
        </row>
        <row r="18">
          <cell r="CU18">
            <v>894498</v>
          </cell>
          <cell r="CV18">
            <v>1211910</v>
          </cell>
        </row>
        <row r="19">
          <cell r="CU19">
            <v>910662</v>
          </cell>
          <cell r="CV19">
            <v>837910</v>
          </cell>
        </row>
        <row r="20">
          <cell r="CU20">
            <v>630994</v>
          </cell>
          <cell r="CV20">
            <v>494254</v>
          </cell>
        </row>
        <row r="21">
          <cell r="CU21">
            <v>1695686</v>
          </cell>
          <cell r="CV21">
            <v>274174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- February"/>
      <sheetName val="Table 5F Scholarships-December"/>
      <sheetName val="Table 5F Scholarships-September"/>
      <sheetName val="Table 5F Scholarships-August"/>
      <sheetName val="Table 5F Scholarships-July"/>
      <sheetName val="Table 6 (Local Deduct Calc.)"/>
      <sheetName val="Table 7 Local Revenue"/>
      <sheetName val="Midyear Adjustment Summary"/>
      <sheetName val="Table 8 2.1.12 MFP Funded"/>
      <sheetName val="2-1-12 MFP Funded by site"/>
    </sheetNames>
    <sheetDataSet>
      <sheetData sheetId="0" refreshError="1"/>
      <sheetData sheetId="1" refreshError="1"/>
      <sheetData sheetId="2" refreshError="1"/>
      <sheetData sheetId="3">
        <row r="7">
          <cell r="AL7">
            <v>51831462.649999999</v>
          </cell>
        </row>
      </sheetData>
      <sheetData sheetId="4">
        <row r="6">
          <cell r="AG6">
            <v>-106610.07975229714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G4">
            <v>76084.650000000009</v>
          </cell>
        </row>
        <row r="5">
          <cell r="G5">
            <v>84538.500000000015</v>
          </cell>
        </row>
        <row r="6">
          <cell r="G6">
            <v>135261.60000000003</v>
          </cell>
        </row>
        <row r="7">
          <cell r="G7">
            <v>33815.4</v>
          </cell>
        </row>
        <row r="8">
          <cell r="G8">
            <v>0</v>
          </cell>
        </row>
        <row r="9">
          <cell r="G9">
            <v>42269.25</v>
          </cell>
        </row>
        <row r="10">
          <cell r="G10">
            <v>16907.7</v>
          </cell>
        </row>
        <row r="11">
          <cell r="G11">
            <v>101446.20000000003</v>
          </cell>
        </row>
        <row r="12">
          <cell r="G12">
            <v>101446.20000000003</v>
          </cell>
        </row>
        <row r="13">
          <cell r="G13">
            <v>169077.00000000006</v>
          </cell>
        </row>
        <row r="14">
          <cell r="G14">
            <v>0</v>
          </cell>
        </row>
        <row r="15">
          <cell r="G15">
            <v>25361.550000000003</v>
          </cell>
        </row>
        <row r="16">
          <cell r="G16">
            <v>25361.550000000003</v>
          </cell>
        </row>
        <row r="17">
          <cell r="G17">
            <v>16907.7</v>
          </cell>
        </row>
        <row r="18">
          <cell r="G18">
            <v>33815.4</v>
          </cell>
        </row>
        <row r="19">
          <cell r="G19">
            <v>50723.1</v>
          </cell>
        </row>
        <row r="20">
          <cell r="G20">
            <v>194438.55000000008</v>
          </cell>
        </row>
        <row r="21">
          <cell r="G21">
            <v>8453.85</v>
          </cell>
        </row>
        <row r="22">
          <cell r="G22">
            <v>0</v>
          </cell>
        </row>
        <row r="23">
          <cell r="G23">
            <v>33815.4</v>
          </cell>
        </row>
        <row r="24">
          <cell r="G24">
            <v>8453.85</v>
          </cell>
        </row>
        <row r="25">
          <cell r="G25">
            <v>25361.550000000003</v>
          </cell>
        </row>
        <row r="26">
          <cell r="G26">
            <v>25361.550000000003</v>
          </cell>
        </row>
        <row r="27">
          <cell r="G27">
            <v>8453.85</v>
          </cell>
        </row>
        <row r="28">
          <cell r="G28">
            <v>25361.550000000003</v>
          </cell>
        </row>
        <row r="29">
          <cell r="G29">
            <v>228253.9500000001</v>
          </cell>
        </row>
        <row r="30">
          <cell r="G30">
            <v>42269.25</v>
          </cell>
        </row>
        <row r="31">
          <cell r="G31">
            <v>67630.8</v>
          </cell>
        </row>
        <row r="32">
          <cell r="G32">
            <v>59176.95</v>
          </cell>
        </row>
        <row r="33">
          <cell r="G33">
            <v>33815.4</v>
          </cell>
        </row>
        <row r="34">
          <cell r="G34">
            <v>42269.25</v>
          </cell>
        </row>
        <row r="35">
          <cell r="G35">
            <v>177530.85000000006</v>
          </cell>
        </row>
        <row r="36">
          <cell r="G36">
            <v>25361.550000000003</v>
          </cell>
        </row>
        <row r="37">
          <cell r="G37">
            <v>25361.550000000003</v>
          </cell>
        </row>
        <row r="38">
          <cell r="G38">
            <v>33815.4</v>
          </cell>
        </row>
        <row r="39">
          <cell r="G39">
            <v>76084.650000000009</v>
          </cell>
        </row>
        <row r="40">
          <cell r="G40">
            <v>160623.15000000005</v>
          </cell>
        </row>
        <row r="41">
          <cell r="G41">
            <v>50723.1</v>
          </cell>
        </row>
        <row r="42">
          <cell r="G42">
            <v>8453.85</v>
          </cell>
        </row>
        <row r="43">
          <cell r="G43">
            <v>101446.20000000003</v>
          </cell>
        </row>
        <row r="44">
          <cell r="G44">
            <v>8453.85</v>
          </cell>
        </row>
        <row r="45">
          <cell r="G45">
            <v>16907.7</v>
          </cell>
        </row>
        <row r="46">
          <cell r="G46">
            <v>25361.550000000003</v>
          </cell>
        </row>
        <row r="47">
          <cell r="G47">
            <v>42269.25</v>
          </cell>
        </row>
        <row r="48">
          <cell r="G48">
            <v>67630.8</v>
          </cell>
        </row>
        <row r="49">
          <cell r="G49">
            <v>0</v>
          </cell>
        </row>
        <row r="50">
          <cell r="G50">
            <v>25361.550000000003</v>
          </cell>
        </row>
        <row r="51">
          <cell r="G51">
            <v>16907.7</v>
          </cell>
        </row>
        <row r="52">
          <cell r="G52">
            <v>42269.25</v>
          </cell>
        </row>
        <row r="53">
          <cell r="G53">
            <v>25361.550000000003</v>
          </cell>
        </row>
        <row r="54">
          <cell r="G54">
            <v>59176.95</v>
          </cell>
        </row>
        <row r="55">
          <cell r="G55">
            <v>228253.9500000001</v>
          </cell>
        </row>
        <row r="56">
          <cell r="G56">
            <v>16907.7</v>
          </cell>
        </row>
        <row r="57">
          <cell r="G57">
            <v>0</v>
          </cell>
        </row>
        <row r="58">
          <cell r="G58">
            <v>84538.500000000015</v>
          </cell>
        </row>
        <row r="59">
          <cell r="G59">
            <v>16907.7</v>
          </cell>
        </row>
        <row r="60">
          <cell r="G60">
            <v>42269.25</v>
          </cell>
        </row>
        <row r="61">
          <cell r="G61">
            <v>92992.35000000002</v>
          </cell>
        </row>
        <row r="62">
          <cell r="G62">
            <v>25361.550000000003</v>
          </cell>
        </row>
        <row r="63">
          <cell r="G63">
            <v>42269.25</v>
          </cell>
        </row>
        <row r="64">
          <cell r="G64">
            <v>42269.25</v>
          </cell>
        </row>
        <row r="65">
          <cell r="G65">
            <v>16907.7</v>
          </cell>
        </row>
        <row r="66">
          <cell r="G66">
            <v>33815.4</v>
          </cell>
        </row>
        <row r="67">
          <cell r="G67">
            <v>16907.7</v>
          </cell>
        </row>
        <row r="68">
          <cell r="G68">
            <v>16907.7</v>
          </cell>
        </row>
        <row r="69">
          <cell r="G69">
            <v>8453.85</v>
          </cell>
        </row>
        <row r="70">
          <cell r="G70">
            <v>33815.4</v>
          </cell>
        </row>
        <row r="71">
          <cell r="G71">
            <v>8453.85</v>
          </cell>
        </row>
        <row r="72">
          <cell r="G72">
            <v>42269.25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2"/>
      <sheetName val="Table 2A-2 EFT (Monthly)"/>
      <sheetName val="Table 2A-2 EFT (Monthly)Aug"/>
      <sheetName val="Table 2A-2 EFT (Monthly) sep"/>
      <sheetName val="Table 2A-2 EFT (Monthly)oct"/>
      <sheetName val="Table 2A-2 EFT (Monthly)dec"/>
      <sheetName val="Table 2A-2 EFT (Monthly)jan"/>
      <sheetName val="Table 2A-2 EFT (Monthly)feb"/>
      <sheetName val="Table 2A-2 EFT (Monthly) mar"/>
      <sheetName val="Table 2A-2 EFT (Monthly)apr"/>
      <sheetName val="Table 2A-2 EFT (Monthly)July"/>
    </sheetNames>
    <sheetDataSet>
      <sheetData sheetId="0"/>
      <sheetData sheetId="1"/>
      <sheetData sheetId="2"/>
      <sheetData sheetId="3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-864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</row>
        <row r="16">
          <cell r="Q16">
            <v>-499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-16236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Q31">
            <v>0</v>
          </cell>
          <cell r="R31">
            <v>0</v>
          </cell>
          <cell r="S31">
            <v>-95782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-19344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-179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</row>
        <row r="41">
          <cell r="Q41">
            <v>0</v>
          </cell>
          <cell r="R41">
            <v>0</v>
          </cell>
          <cell r="S41">
            <v>-176288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</row>
        <row r="42">
          <cell r="Q42">
            <v>-36475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-63353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-5289</v>
          </cell>
          <cell r="T49">
            <v>0</v>
          </cell>
          <cell r="U49">
            <v>0</v>
          </cell>
          <cell r="V49">
            <v>-387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-1761</v>
          </cell>
          <cell r="X50">
            <v>-968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-1503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-443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-773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-655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</row>
        <row r="57">
          <cell r="Q57">
            <v>0</v>
          </cell>
          <cell r="R57">
            <v>0</v>
          </cell>
          <cell r="S57">
            <v>-3623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-11116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</row>
        <row r="62">
          <cell r="Q62">
            <v>0</v>
          </cell>
          <cell r="R62">
            <v>-508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4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  <cell r="AD6">
            <v>-1159.8107914319319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  <cell r="AD8">
            <v>-38497.756393492651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-863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  <cell r="AD9">
            <v>-5906.1754219448057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  <cell r="AD11">
            <v>-516.07968339186993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  <cell r="AD12">
            <v>-8965.7562299368801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  <cell r="AD13">
            <v>-1294.9585306811227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  <cell r="AD14">
            <v>-51848.027952005206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  <cell r="AD15">
            <v>-12927.476543408418</v>
          </cell>
        </row>
        <row r="16">
          <cell r="Q16">
            <v>-499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  <cell r="AD16">
            <v>-7884.6867446321794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  <cell r="AD22">
            <v>-466949.78200442897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  <cell r="AD24">
            <v>-1153.98737131443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-16235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  <cell r="AD26">
            <v>-11274.578122460956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  <cell r="AD27">
            <v>-296.83105140701542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  <cell r="AD28">
            <v>-508.24070141192959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  <cell r="AD29">
            <v>-25871.541294414546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-5594.0306839324867</v>
          </cell>
        </row>
        <row r="31">
          <cell r="Q31">
            <v>0</v>
          </cell>
          <cell r="R31">
            <v>0</v>
          </cell>
          <cell r="S31">
            <v>-89824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  <cell r="AD31">
            <v>-307487.06443396065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  <cell r="AD33">
            <v>-90591.473355562353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-18916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  <cell r="AD34">
            <v>-22656.929079513815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  <cell r="AD36">
            <v>-57769.763022658924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-180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  <cell r="AD37">
            <v>-714.58625096064725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-2056.4865985234137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  <cell r="AD40">
            <v>-1018.7124779415791</v>
          </cell>
        </row>
        <row r="41">
          <cell r="Q41">
            <v>0</v>
          </cell>
          <cell r="R41">
            <v>0</v>
          </cell>
          <cell r="S41">
            <v>-166859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  <cell r="AD41">
            <v>-1697773.7970905898</v>
          </cell>
        </row>
        <row r="42">
          <cell r="Q42">
            <v>-36475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  <cell r="AD42">
            <v>-24979.774268251851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-63353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  <cell r="AD43">
            <v>-529.31062965593844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  <cell r="AD44">
            <v>-15934.199996195555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  <cell r="AD45">
            <v>-42387.404559295523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  <cell r="AD47">
            <v>-2105.0478315288319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-4042</v>
          </cell>
          <cell r="T49">
            <v>0</v>
          </cell>
          <cell r="U49">
            <v>0</v>
          </cell>
          <cell r="V49">
            <v>-388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  <cell r="AD49">
            <v>-11587.225608335921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-1761</v>
          </cell>
          <cell r="X50">
            <v>-968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  <cell r="AD50">
            <v>-11090.559457206988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-2168.8076657792794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-1503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  <cell r="AD52">
            <v>-5486.8228048938754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-443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  <cell r="AD53">
            <v>-126046.61786804642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-773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  <cell r="AD54">
            <v>-30449.919250969175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  <cell r="AD55">
            <v>-15479.483780939598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-656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  <cell r="AD56">
            <v>-3562.2044399405959</v>
          </cell>
        </row>
        <row r="57">
          <cell r="Q57">
            <v>0</v>
          </cell>
          <cell r="R57">
            <v>0</v>
          </cell>
          <cell r="S57">
            <v>-4015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  <cell r="AD57">
            <v>-38956.359058099653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  <cell r="AD58">
            <v>-17348.297926157007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-11423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  <cell r="AD60">
            <v>-9894.345546094266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  <cell r="AD61">
            <v>-7104.8179164775693</v>
          </cell>
        </row>
        <row r="62">
          <cell r="Q62">
            <v>0</v>
          </cell>
          <cell r="R62">
            <v>-507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  <cell r="AD62">
            <v>-4266.6006144516678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  <cell r="AD64">
            <v>-622.21771514889133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  <cell r="AD66">
            <v>-8839.3044149947964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  <cell r="AD70">
            <v>-25859.326947396847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  <cell r="AD71">
            <v>-5585.5828136639111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  <cell r="AD73">
            <v>-19069.947612996293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5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-864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</row>
        <row r="16">
          <cell r="Q16">
            <v>-500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-16236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Q31">
            <v>0</v>
          </cell>
          <cell r="R31">
            <v>0</v>
          </cell>
          <cell r="S31">
            <v>-89824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-18916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-179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</row>
        <row r="41">
          <cell r="Q41">
            <v>0</v>
          </cell>
          <cell r="R41">
            <v>0</v>
          </cell>
          <cell r="S41">
            <v>-166859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</row>
        <row r="42">
          <cell r="Q42">
            <v>-36474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-63353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-696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-4042</v>
          </cell>
          <cell r="T49">
            <v>0</v>
          </cell>
          <cell r="U49">
            <v>0</v>
          </cell>
          <cell r="V49">
            <v>-387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-1761</v>
          </cell>
          <cell r="X50">
            <v>-969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-1503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-443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-655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</row>
        <row r="57">
          <cell r="Q57">
            <v>0</v>
          </cell>
          <cell r="R57">
            <v>0</v>
          </cell>
          <cell r="S57">
            <v>-4015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-11422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</row>
        <row r="62">
          <cell r="Q62">
            <v>0</v>
          </cell>
          <cell r="R62">
            <v>-508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6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  <cell r="AD6">
            <v>-1515.4621035759092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  <cell r="AD8">
            <v>-35617.722355528895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-864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  <cell r="AD9">
            <v>-5308.0977017680052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  <cell r="A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  <cell r="AD12">
            <v>-7832.1460761947701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  <cell r="AD13">
            <v>-1294.9585306811227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  <cell r="AD14">
            <v>-51206.525763588477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  <cell r="AD15">
            <v>-12927.476543408418</v>
          </cell>
        </row>
        <row r="16">
          <cell r="Q16">
            <v>-500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  <cell r="AD16">
            <v>-6899.1009015531572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  <cell r="AD22">
            <v>-449559.97910520382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  <cell r="AD24">
            <v>-1153.98737131443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-16236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  <cell r="AD26">
            <v>-11274.578122460956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  <cell r="AD27">
            <v>-296.83105140701542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  <cell r="AD28">
            <v>-508.24070141192959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  <cell r="AD29">
            <v>-24841.642309110848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-5594.0306839324867</v>
          </cell>
        </row>
        <row r="31">
          <cell r="Q31">
            <v>0</v>
          </cell>
          <cell r="R31">
            <v>0</v>
          </cell>
          <cell r="S31">
            <v>-89824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  <cell r="AD31">
            <v>-293163.17712147889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  <cell r="AD33">
            <v>-86242.780918902034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-18916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  <cell r="AD34">
            <v>-20357.683859086817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  <cell r="AD36">
            <v>-56303.170287908062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-179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  <cell r="AD37">
            <v>-714.58625096064725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-2056.4865985234137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  <cell r="AD40">
            <v>-1018.7124779415791</v>
          </cell>
        </row>
        <row r="41">
          <cell r="Q41">
            <v>0</v>
          </cell>
          <cell r="R41">
            <v>0</v>
          </cell>
          <cell r="S41">
            <v>-166859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  <cell r="AD41">
            <v>-1675533.6870403017</v>
          </cell>
        </row>
        <row r="42">
          <cell r="Q42">
            <v>-36474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  <cell r="AD42">
            <v>-24450.953385886816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-63353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  <cell r="AD43">
            <v>-529.31062965593844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-696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  <cell r="AD44">
            <v>-15934.199996195555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  <cell r="AD45">
            <v>-37926.079580747712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  <cell r="AD47">
            <v>-2105.0478315288319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-4042</v>
          </cell>
          <cell r="T49">
            <v>0</v>
          </cell>
          <cell r="U49">
            <v>0</v>
          </cell>
          <cell r="V49">
            <v>-387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  <cell r="AD49">
            <v>-11587.225608335921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-1761</v>
          </cell>
          <cell r="X50">
            <v>-969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  <cell r="AD50">
            <v>-10670.550913697578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-1639.0613326994851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-1503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  <cell r="AD52">
            <v>-3703.8987199292505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-443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  <cell r="AD53">
            <v>-119638.63760128371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  <cell r="AD54">
            <v>-29507.095769565574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  <cell r="AD55">
            <v>-14267.89217363342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-655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  <cell r="AD56">
            <v>-2849.7635519524765</v>
          </cell>
        </row>
        <row r="57">
          <cell r="Q57">
            <v>0</v>
          </cell>
          <cell r="R57">
            <v>0</v>
          </cell>
          <cell r="S57">
            <v>-4015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  <cell r="AD57">
            <v>-36343.044250893021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  <cell r="AD58">
            <v>-15711.223035058028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-11422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  <cell r="AD60">
            <v>-9894.345546094266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  <cell r="AD61">
            <v>-7104.8179164775693</v>
          </cell>
        </row>
        <row r="62">
          <cell r="Q62">
            <v>0</v>
          </cell>
          <cell r="R62">
            <v>-508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  <cell r="AD62">
            <v>-3781.9224361792603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  <cell r="AD64">
            <v>-622.21771514889133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  <cell r="AD66">
            <v>-8839.3044149947964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  <cell r="AD70">
            <v>-25933.241697396847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  <cell r="AD71">
            <v>-5585.5828136639111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  <cell r="AD73">
            <v>-18111.635087346476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7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-864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</row>
        <row r="16">
          <cell r="Q16">
            <v>-500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-16236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Q31">
            <v>0</v>
          </cell>
          <cell r="R31">
            <v>0</v>
          </cell>
          <cell r="S31">
            <v>-89824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-18915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-179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</row>
        <row r="41">
          <cell r="Q41">
            <v>0</v>
          </cell>
          <cell r="R41">
            <v>0</v>
          </cell>
          <cell r="S41">
            <v>-166859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</row>
        <row r="42">
          <cell r="Q42">
            <v>-36474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-63352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-696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-4042</v>
          </cell>
          <cell r="T49">
            <v>0</v>
          </cell>
          <cell r="U49">
            <v>0</v>
          </cell>
          <cell r="V49">
            <v>-387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-1760</v>
          </cell>
          <cell r="X50">
            <v>-969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-1504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-442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-655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</row>
        <row r="57">
          <cell r="Q57">
            <v>0</v>
          </cell>
          <cell r="R57">
            <v>0</v>
          </cell>
          <cell r="S57">
            <v>-4015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-11422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</row>
        <row r="62">
          <cell r="Q62">
            <v>0</v>
          </cell>
          <cell r="R62">
            <v>-508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8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-387</v>
          </cell>
          <cell r="AA6">
            <v>0</v>
          </cell>
          <cell r="AB6">
            <v>-511</v>
          </cell>
          <cell r="AC6">
            <v>-341</v>
          </cell>
          <cell r="AD6">
            <v>-1515.4621035759092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-188</v>
          </cell>
          <cell r="AA7">
            <v>0</v>
          </cell>
          <cell r="AB7">
            <v>0</v>
          </cell>
          <cell r="AC7">
            <v>-218</v>
          </cell>
          <cell r="AD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-2440</v>
          </cell>
          <cell r="AA8">
            <v>0</v>
          </cell>
          <cell r="AB8">
            <v>-2799</v>
          </cell>
          <cell r="AC8">
            <v>-1679</v>
          </cell>
          <cell r="AD8">
            <v>-33745.219162750633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-864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-783</v>
          </cell>
          <cell r="AD9">
            <v>-5308.0977017680052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-63921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-395</v>
          </cell>
          <cell r="AC10">
            <v>-395</v>
          </cell>
          <cell r="AD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-561</v>
          </cell>
          <cell r="AA11">
            <v>0</v>
          </cell>
          <cell r="AB11">
            <v>-257</v>
          </cell>
          <cell r="AC11">
            <v>-514</v>
          </cell>
          <cell r="AD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-314</v>
          </cell>
          <cell r="AA12">
            <v>0</v>
          </cell>
          <cell r="AB12">
            <v>0</v>
          </cell>
          <cell r="AC12">
            <v>0</v>
          </cell>
          <cell r="AD12">
            <v>-7832.1460761947701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-906</v>
          </cell>
          <cell r="AA13">
            <v>0</v>
          </cell>
          <cell r="AB13">
            <v>-591</v>
          </cell>
          <cell r="AC13">
            <v>-591</v>
          </cell>
          <cell r="AD13">
            <v>-1294.9585306811227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-1143</v>
          </cell>
          <cell r="AA14">
            <v>0</v>
          </cell>
          <cell r="AB14">
            <v>-2341</v>
          </cell>
          <cell r="AC14">
            <v>-2049</v>
          </cell>
          <cell r="AD14">
            <v>-49923.521386755019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-2731</v>
          </cell>
          <cell r="AA15">
            <v>0</v>
          </cell>
          <cell r="AB15">
            <v>-2849</v>
          </cell>
          <cell r="AC15">
            <v>-2216</v>
          </cell>
          <cell r="AD15">
            <v>-12927.476543408418</v>
          </cell>
        </row>
        <row r="16">
          <cell r="Q16">
            <v>-500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-74</v>
          </cell>
          <cell r="AA16">
            <v>0</v>
          </cell>
          <cell r="AB16">
            <v>0</v>
          </cell>
          <cell r="AC16">
            <v>0</v>
          </cell>
          <cell r="AD16">
            <v>-6406.3079800136456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-127</v>
          </cell>
          <cell r="AA19">
            <v>0</v>
          </cell>
          <cell r="AB19">
            <v>0</v>
          </cell>
          <cell r="AC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-437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-314</v>
          </cell>
          <cell r="AA21">
            <v>0</v>
          </cell>
          <cell r="AB21">
            <v>0</v>
          </cell>
          <cell r="AC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-3625</v>
          </cell>
          <cell r="AA22">
            <v>-426</v>
          </cell>
          <cell r="AB22">
            <v>-18193</v>
          </cell>
          <cell r="AC22">
            <v>-6443</v>
          </cell>
          <cell r="AD22">
            <v>-435352.21490351728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-1736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-756</v>
          </cell>
          <cell r="AC24">
            <v>-2645</v>
          </cell>
          <cell r="AD24">
            <v>-1153.98737131443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-161</v>
          </cell>
          <cell r="AA25">
            <v>0</v>
          </cell>
          <cell r="AB25">
            <v>-749</v>
          </cell>
          <cell r="AC25">
            <v>-749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-16236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-169</v>
          </cell>
          <cell r="AD26">
            <v>-10724.598701853105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-170</v>
          </cell>
          <cell r="AA27">
            <v>0</v>
          </cell>
          <cell r="AB27">
            <v>0</v>
          </cell>
          <cell r="AC27">
            <v>-525</v>
          </cell>
          <cell r="AD27">
            <v>-296.83105140701542</v>
          </cell>
        </row>
        <row r="28">
          <cell r="Q28">
            <v>0</v>
          </cell>
          <cell r="R28">
            <v>-21364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-118</v>
          </cell>
          <cell r="AA28">
            <v>0</v>
          </cell>
          <cell r="AB28">
            <v>-521</v>
          </cell>
          <cell r="AC28">
            <v>-1825</v>
          </cell>
          <cell r="AD28">
            <v>-508.24070141192959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</v>
          </cell>
          <cell r="AA29">
            <v>0</v>
          </cell>
          <cell r="AB29">
            <v>-3123</v>
          </cell>
          <cell r="AC29">
            <v>-446</v>
          </cell>
          <cell r="AD29">
            <v>-22341.179453199762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-5594.0306839324867</v>
          </cell>
        </row>
        <row r="31">
          <cell r="Q31">
            <v>0</v>
          </cell>
          <cell r="R31">
            <v>0</v>
          </cell>
          <cell r="S31">
            <v>-89824</v>
          </cell>
          <cell r="T31">
            <v>0</v>
          </cell>
          <cell r="U31">
            <v>0</v>
          </cell>
          <cell r="V31">
            <v>-28944</v>
          </cell>
          <cell r="W31">
            <v>0</v>
          </cell>
          <cell r="X31">
            <v>-107136</v>
          </cell>
          <cell r="Z31">
            <v>-2051</v>
          </cell>
          <cell r="AA31">
            <v>-8888</v>
          </cell>
          <cell r="AB31">
            <v>-2422</v>
          </cell>
          <cell r="AC31">
            <v>-10901</v>
          </cell>
          <cell r="AD31">
            <v>-280898.6726566212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-255</v>
          </cell>
          <cell r="AC32">
            <v>-255</v>
          </cell>
        </row>
        <row r="33">
          <cell r="Q33">
            <v>0</v>
          </cell>
          <cell r="R33">
            <v>-422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-1602</v>
          </cell>
          <cell r="AA33">
            <v>0</v>
          </cell>
          <cell r="AB33">
            <v>-347</v>
          </cell>
          <cell r="AC33">
            <v>-2431</v>
          </cell>
          <cell r="AD33">
            <v>-85238.902268799458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-18915</v>
          </cell>
          <cell r="X34">
            <v>0</v>
          </cell>
          <cell r="Z34">
            <v>-470</v>
          </cell>
          <cell r="AA34">
            <v>0</v>
          </cell>
          <cell r="AB34">
            <v>0</v>
          </cell>
          <cell r="AC34">
            <v>-899</v>
          </cell>
          <cell r="AD34">
            <v>-19453.859520916016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-89</v>
          </cell>
          <cell r="AA35">
            <v>0</v>
          </cell>
          <cell r="AB35">
            <v>0</v>
          </cell>
          <cell r="AC35">
            <v>-250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-938</v>
          </cell>
          <cell r="AC36">
            <v>-1564</v>
          </cell>
          <cell r="AD36">
            <v>-55569.873920532627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-179</v>
          </cell>
          <cell r="X37">
            <v>0</v>
          </cell>
          <cell r="Z37">
            <v>-799</v>
          </cell>
          <cell r="AA37">
            <v>0</v>
          </cell>
          <cell r="AB37">
            <v>-2567</v>
          </cell>
          <cell r="AC37">
            <v>-2086</v>
          </cell>
          <cell r="AD37">
            <v>-714.58625096064725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-32505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-461</v>
          </cell>
        </row>
        <row r="39">
          <cell r="Q39">
            <v>-1850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-2056.4865985234132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-2192</v>
          </cell>
          <cell r="AA40">
            <v>0</v>
          </cell>
          <cell r="AB40">
            <v>-813</v>
          </cell>
          <cell r="AC40">
            <v>-271</v>
          </cell>
          <cell r="AD40">
            <v>-1018.7124779415791</v>
          </cell>
        </row>
        <row r="41">
          <cell r="Q41">
            <v>0</v>
          </cell>
          <cell r="R41">
            <v>0</v>
          </cell>
          <cell r="S41">
            <v>-166859</v>
          </cell>
          <cell r="T41">
            <v>0</v>
          </cell>
          <cell r="U41">
            <v>0</v>
          </cell>
          <cell r="V41">
            <v>-130861</v>
          </cell>
          <cell r="W41">
            <v>0</v>
          </cell>
          <cell r="X41">
            <v>-53299</v>
          </cell>
          <cell r="Z41">
            <v>-953</v>
          </cell>
          <cell r="AA41">
            <v>-9146</v>
          </cell>
          <cell r="AB41">
            <v>-3217</v>
          </cell>
          <cell r="AC41">
            <v>-13939</v>
          </cell>
          <cell r="AD41">
            <v>-1654616.4844587641</v>
          </cell>
        </row>
        <row r="42">
          <cell r="Q42">
            <v>-36474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-684</v>
          </cell>
          <cell r="AA42">
            <v>0</v>
          </cell>
          <cell r="AB42">
            <v>-715</v>
          </cell>
          <cell r="AC42">
            <v>-1669</v>
          </cell>
          <cell r="AD42">
            <v>-20301.298494601484</v>
          </cell>
        </row>
        <row r="43">
          <cell r="Q43">
            <v>0</v>
          </cell>
          <cell r="R43">
            <v>0</v>
          </cell>
          <cell r="S43">
            <v>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-63352</v>
          </cell>
          <cell r="Z43">
            <v>-629</v>
          </cell>
          <cell r="AA43">
            <v>0</v>
          </cell>
          <cell r="AB43">
            <v>0</v>
          </cell>
          <cell r="AC43">
            <v>0</v>
          </cell>
          <cell r="AD43">
            <v>-529.31062965593844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-696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-1003</v>
          </cell>
          <cell r="AA44">
            <v>0</v>
          </cell>
          <cell r="AB44">
            <v>-2414</v>
          </cell>
          <cell r="AC44">
            <v>-345</v>
          </cell>
          <cell r="AD44">
            <v>-15934.199996195555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-960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-874</v>
          </cell>
          <cell r="AA45">
            <v>0</v>
          </cell>
          <cell r="AB45">
            <v>-968</v>
          </cell>
          <cell r="AC45">
            <v>-5809</v>
          </cell>
          <cell r="AD45">
            <v>-35326.593662110034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-535</v>
          </cell>
          <cell r="AC46">
            <v>-1070</v>
          </cell>
        </row>
        <row r="47">
          <cell r="Q47">
            <v>-391</v>
          </cell>
          <cell r="R47">
            <v>0</v>
          </cell>
          <cell r="S47">
            <v>0</v>
          </cell>
          <cell r="T47">
            <v>0</v>
          </cell>
          <cell r="U47">
            <v>-77064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-227</v>
          </cell>
          <cell r="AD47">
            <v>-2105.0478315288319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-412</v>
          </cell>
          <cell r="AA48">
            <v>0</v>
          </cell>
          <cell r="AB48">
            <v>-280</v>
          </cell>
          <cell r="AC48">
            <v>0</v>
          </cell>
        </row>
        <row r="49">
          <cell r="Q49">
            <v>0</v>
          </cell>
          <cell r="R49">
            <v>0</v>
          </cell>
          <cell r="S49">
            <v>-4042</v>
          </cell>
          <cell r="T49">
            <v>0</v>
          </cell>
          <cell r="U49">
            <v>0</v>
          </cell>
          <cell r="V49">
            <v>-387</v>
          </cell>
          <cell r="W49">
            <v>0</v>
          </cell>
          <cell r="X49">
            <v>0</v>
          </cell>
          <cell r="Z49">
            <v>-483</v>
          </cell>
          <cell r="AA49">
            <v>-1448</v>
          </cell>
          <cell r="AB49">
            <v>-1639</v>
          </cell>
          <cell r="AC49">
            <v>-655</v>
          </cell>
          <cell r="AD49">
            <v>-11587.225608335923</v>
          </cell>
        </row>
        <row r="50">
          <cell r="Q50">
            <v>0</v>
          </cell>
          <cell r="R50">
            <v>0</v>
          </cell>
          <cell r="S50">
            <v>-4291</v>
          </cell>
          <cell r="T50">
            <v>0</v>
          </cell>
          <cell r="U50">
            <v>0</v>
          </cell>
          <cell r="V50">
            <v>0</v>
          </cell>
          <cell r="W50">
            <v>-1760</v>
          </cell>
          <cell r="X50">
            <v>-969</v>
          </cell>
          <cell r="Z50">
            <v>-1631</v>
          </cell>
          <cell r="AA50">
            <v>-1903</v>
          </cell>
          <cell r="AB50">
            <v>0</v>
          </cell>
          <cell r="AC50">
            <v>-1669</v>
          </cell>
          <cell r="AD50">
            <v>-10258.647370188171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-1639.0613326994851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-1504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0</v>
          </cell>
          <cell r="AD52">
            <v>-3703.8987199292501</v>
          </cell>
        </row>
        <row r="53">
          <cell r="Q53">
            <v>0</v>
          </cell>
          <cell r="R53">
            <v>0</v>
          </cell>
          <cell r="S53">
            <v>-2502</v>
          </cell>
          <cell r="T53">
            <v>0</v>
          </cell>
          <cell r="U53">
            <v>0</v>
          </cell>
          <cell r="V53">
            <v>-885</v>
          </cell>
          <cell r="W53">
            <v>-442</v>
          </cell>
          <cell r="X53">
            <v>0</v>
          </cell>
          <cell r="Z53">
            <v>-479</v>
          </cell>
          <cell r="AA53">
            <v>0</v>
          </cell>
          <cell r="AB53">
            <v>-1009</v>
          </cell>
          <cell r="AC53">
            <v>0</v>
          </cell>
          <cell r="AD53">
            <v>-115314.91743377523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-774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-201</v>
          </cell>
          <cell r="AA54">
            <v>0</v>
          </cell>
          <cell r="AB54">
            <v>-562</v>
          </cell>
          <cell r="AC54">
            <v>-375</v>
          </cell>
          <cell r="AD54">
            <v>-26724.837913161977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-195</v>
          </cell>
          <cell r="AA55">
            <v>0</v>
          </cell>
          <cell r="AB55">
            <v>-219</v>
          </cell>
          <cell r="AC55">
            <v>0</v>
          </cell>
          <cell r="AD55">
            <v>-14267.89217363342</v>
          </cell>
        </row>
        <row r="56">
          <cell r="Q56">
            <v>0</v>
          </cell>
          <cell r="R56">
            <v>-94068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-655</v>
          </cell>
          <cell r="X56">
            <v>0</v>
          </cell>
          <cell r="Z56">
            <v>-607</v>
          </cell>
          <cell r="AA56">
            <v>0</v>
          </cell>
          <cell r="AB56">
            <v>-649</v>
          </cell>
          <cell r="AC56">
            <v>-1622</v>
          </cell>
          <cell r="AD56">
            <v>-2849.7635519524765</v>
          </cell>
        </row>
        <row r="57">
          <cell r="Q57">
            <v>0</v>
          </cell>
          <cell r="R57">
            <v>0</v>
          </cell>
          <cell r="S57">
            <v>-4015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-2764</v>
          </cell>
          <cell r="Z57">
            <v>-3417</v>
          </cell>
          <cell r="AA57">
            <v>-886</v>
          </cell>
          <cell r="AB57">
            <v>-2376</v>
          </cell>
          <cell r="AC57">
            <v>-5050</v>
          </cell>
          <cell r="AD57">
            <v>-33699.710597289697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-159</v>
          </cell>
          <cell r="Z58">
            <v>-912</v>
          </cell>
          <cell r="AA58">
            <v>0</v>
          </cell>
          <cell r="AB58">
            <v>-643</v>
          </cell>
          <cell r="AC58">
            <v>-1125</v>
          </cell>
          <cell r="AD58">
            <v>-17043.223035058028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-543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-11422</v>
          </cell>
          <cell r="X60">
            <v>0</v>
          </cell>
          <cell r="Z60">
            <v>-1450</v>
          </cell>
          <cell r="AA60">
            <v>0</v>
          </cell>
          <cell r="AB60">
            <v>-1011</v>
          </cell>
          <cell r="AC60">
            <v>-1770</v>
          </cell>
          <cell r="AD60">
            <v>-8634.6301096471871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-355</v>
          </cell>
          <cell r="AA61">
            <v>0</v>
          </cell>
          <cell r="AB61">
            <v>0</v>
          </cell>
          <cell r="AC61">
            <v>0</v>
          </cell>
          <cell r="AD61">
            <v>-7104.8179164775693</v>
          </cell>
        </row>
        <row r="62">
          <cell r="Q62">
            <v>0</v>
          </cell>
          <cell r="R62">
            <v>-508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-479</v>
          </cell>
          <cell r="AD62">
            <v>-3781.9224361792603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-793</v>
          </cell>
          <cell r="AA63">
            <v>0</v>
          </cell>
          <cell r="AB63">
            <v>0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-141</v>
          </cell>
          <cell r="AC64">
            <v>-985</v>
          </cell>
          <cell r="AD64">
            <v>-622.21771514889133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-487</v>
          </cell>
          <cell r="AA65">
            <v>0</v>
          </cell>
          <cell r="AB65">
            <v>-841</v>
          </cell>
          <cell r="AC65">
            <v>-841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-216</v>
          </cell>
          <cell r="AA66">
            <v>0</v>
          </cell>
          <cell r="AB66">
            <v>-2798</v>
          </cell>
          <cell r="AC66">
            <v>-1199</v>
          </cell>
          <cell r="AD66">
            <v>-8839.3044149947928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-4324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-282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-438</v>
          </cell>
          <cell r="AA68">
            <v>0</v>
          </cell>
          <cell r="AB68">
            <v>-417</v>
          </cell>
          <cell r="AC68">
            <v>-417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-171</v>
          </cell>
          <cell r="AA69">
            <v>0</v>
          </cell>
          <cell r="AB69">
            <v>-229</v>
          </cell>
          <cell r="AC69">
            <v>-229</v>
          </cell>
        </row>
        <row r="70">
          <cell r="Q70">
            <v>-68907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-290</v>
          </cell>
          <cell r="AA70">
            <v>0</v>
          </cell>
          <cell r="AB70">
            <v>-967</v>
          </cell>
          <cell r="AC70">
            <v>0</v>
          </cell>
          <cell r="AD70">
            <v>-19089.823390764566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-586</v>
          </cell>
          <cell r="AC71">
            <v>0</v>
          </cell>
          <cell r="AD71">
            <v>-5585.5828136639111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-630</v>
          </cell>
          <cell r="AA72">
            <v>0</v>
          </cell>
          <cell r="AB72">
            <v>-1026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-1196</v>
          </cell>
          <cell r="AC73">
            <v>0</v>
          </cell>
          <cell r="AD73">
            <v>-16529.842511371753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-471</v>
          </cell>
          <cell r="AC74">
            <v>-236</v>
          </cell>
        </row>
      </sheetData>
      <sheetData sheetId="9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-676</v>
          </cell>
          <cell r="AA6">
            <v>0</v>
          </cell>
          <cell r="AB6">
            <v>-1</v>
          </cell>
          <cell r="AC6">
            <v>-1874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376</v>
          </cell>
          <cell r="AA7">
            <v>0</v>
          </cell>
          <cell r="AB7">
            <v>0</v>
          </cell>
          <cell r="AC7">
            <v>109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-619</v>
          </cell>
          <cell r="X8">
            <v>0</v>
          </cell>
          <cell r="Z8">
            <v>-2846</v>
          </cell>
          <cell r="AA8">
            <v>-407</v>
          </cell>
          <cell r="AB8">
            <v>-280</v>
          </cell>
          <cell r="AC8">
            <v>-2940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-6.2075000000000005</v>
          </cell>
          <cell r="BA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-497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1566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-4.7262500000000003</v>
          </cell>
          <cell r="BA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-104294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-301</v>
          </cell>
          <cell r="AA10">
            <v>0</v>
          </cell>
          <cell r="AB10">
            <v>-98</v>
          </cell>
          <cell r="AC10">
            <v>-838</v>
          </cell>
          <cell r="AT10">
            <v>0</v>
          </cell>
          <cell r="AU10">
            <v>0</v>
          </cell>
          <cell r="AV10">
            <v>0</v>
          </cell>
          <cell r="AW10">
            <v>-404.74499999999989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-560</v>
          </cell>
          <cell r="AA11">
            <v>0</v>
          </cell>
          <cell r="AB11">
            <v>514</v>
          </cell>
          <cell r="AC11">
            <v>-898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156</v>
          </cell>
          <cell r="AA12">
            <v>0</v>
          </cell>
          <cell r="AB12">
            <v>0</v>
          </cell>
          <cell r="AC12">
            <v>-1535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-3626</v>
          </cell>
          <cell r="AA13">
            <v>0</v>
          </cell>
          <cell r="AB13">
            <v>295</v>
          </cell>
          <cell r="AC13">
            <v>-6798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571</v>
          </cell>
          <cell r="AA14">
            <v>0</v>
          </cell>
          <cell r="AB14">
            <v>-1903</v>
          </cell>
          <cell r="AC14">
            <v>-22680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-4749</v>
          </cell>
          <cell r="AC15">
            <v>1583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Q16">
            <v>998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-296</v>
          </cell>
          <cell r="AA16">
            <v>0</v>
          </cell>
          <cell r="AB16">
            <v>0</v>
          </cell>
          <cell r="AC16">
            <v>-402</v>
          </cell>
          <cell r="AT16">
            <v>15.02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-780</v>
          </cell>
          <cell r="AC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-614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-128</v>
          </cell>
          <cell r="AA19">
            <v>0</v>
          </cell>
          <cell r="AB19">
            <v>0</v>
          </cell>
          <cell r="AC19">
            <v>-440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-271</v>
          </cell>
          <cell r="AA20">
            <v>0</v>
          </cell>
          <cell r="AB20">
            <v>0</v>
          </cell>
          <cell r="AC20">
            <v>874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628</v>
          </cell>
          <cell r="AA21">
            <v>0</v>
          </cell>
          <cell r="AB21">
            <v>0</v>
          </cell>
          <cell r="AC21">
            <v>-6657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-10340</v>
          </cell>
          <cell r="AA22">
            <v>852</v>
          </cell>
          <cell r="AB22">
            <v>-23877</v>
          </cell>
          <cell r="AC22">
            <v>-6444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-307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-226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14.3125</v>
          </cell>
          <cell r="AY23">
            <v>0</v>
          </cell>
          <cell r="AZ23">
            <v>0</v>
          </cell>
          <cell r="BA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-755</v>
          </cell>
          <cell r="AC24">
            <v>5290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-162</v>
          </cell>
          <cell r="AA25">
            <v>0</v>
          </cell>
          <cell r="AB25">
            <v>-748</v>
          </cell>
          <cell r="AC25">
            <v>94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-3447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-424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128.21625</v>
          </cell>
          <cell r="AY26">
            <v>0</v>
          </cell>
          <cell r="AZ26">
            <v>0</v>
          </cell>
          <cell r="BA26">
            <v>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340</v>
          </cell>
          <cell r="AA27">
            <v>0</v>
          </cell>
          <cell r="AB27">
            <v>-394</v>
          </cell>
          <cell r="AC27">
            <v>263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Q28">
            <v>0</v>
          </cell>
          <cell r="R28">
            <v>-16988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-829</v>
          </cell>
          <cell r="AA28">
            <v>0</v>
          </cell>
          <cell r="AB28">
            <v>-522</v>
          </cell>
          <cell r="AC28">
            <v>-1434</v>
          </cell>
          <cell r="AT28">
            <v>0</v>
          </cell>
          <cell r="AU28">
            <v>43.86749999999995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-2604</v>
          </cell>
          <cell r="AA29">
            <v>0</v>
          </cell>
          <cell r="AB29">
            <v>892</v>
          </cell>
          <cell r="AC29">
            <v>-1785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Q31">
            <v>0</v>
          </cell>
          <cell r="R31">
            <v>0</v>
          </cell>
          <cell r="S31">
            <v>-81398</v>
          </cell>
          <cell r="T31">
            <v>0</v>
          </cell>
          <cell r="U31">
            <v>0</v>
          </cell>
          <cell r="V31">
            <v>-83919</v>
          </cell>
          <cell r="W31">
            <v>0</v>
          </cell>
          <cell r="X31">
            <v>-121487</v>
          </cell>
          <cell r="Z31">
            <v>-3077</v>
          </cell>
          <cell r="AA31">
            <v>-5127</v>
          </cell>
          <cell r="AB31">
            <v>-2423</v>
          </cell>
          <cell r="AC31">
            <v>-13322</v>
          </cell>
          <cell r="AT31">
            <v>0</v>
          </cell>
          <cell r="AU31">
            <v>0</v>
          </cell>
          <cell r="AV31">
            <v>-374.92000000000007</v>
          </cell>
          <cell r="AW31">
            <v>0</v>
          </cell>
          <cell r="AX31">
            <v>0</v>
          </cell>
          <cell r="AY31">
            <v>-551.12749999999994</v>
          </cell>
          <cell r="AZ31">
            <v>0</v>
          </cell>
          <cell r="BA31">
            <v>-143.86000000000013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-136</v>
          </cell>
          <cell r="AA32">
            <v>0</v>
          </cell>
          <cell r="AB32">
            <v>-1018</v>
          </cell>
          <cell r="AC32">
            <v>-636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Q33">
            <v>0</v>
          </cell>
          <cell r="R33">
            <v>846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-4306</v>
          </cell>
          <cell r="AA33">
            <v>0</v>
          </cell>
          <cell r="AB33">
            <v>-348</v>
          </cell>
          <cell r="AC33">
            <v>-5556</v>
          </cell>
          <cell r="AT33">
            <v>0</v>
          </cell>
          <cell r="AU33">
            <v>12.705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-25069</v>
          </cell>
          <cell r="X34">
            <v>0</v>
          </cell>
          <cell r="Z34">
            <v>-469</v>
          </cell>
          <cell r="AA34">
            <v>-470</v>
          </cell>
          <cell r="AB34">
            <v>-449</v>
          </cell>
          <cell r="AC34">
            <v>-2696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-72.424999999999955</v>
          </cell>
          <cell r="BA34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-88</v>
          </cell>
          <cell r="AA35">
            <v>0</v>
          </cell>
          <cell r="AB35">
            <v>0</v>
          </cell>
          <cell r="AC35">
            <v>126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-462</v>
          </cell>
          <cell r="AA36">
            <v>0</v>
          </cell>
          <cell r="AB36">
            <v>-939</v>
          </cell>
          <cell r="AC36">
            <v>-625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-175</v>
          </cell>
          <cell r="X37">
            <v>0</v>
          </cell>
          <cell r="Z37">
            <v>-891</v>
          </cell>
          <cell r="AA37">
            <v>-184</v>
          </cell>
          <cell r="AB37">
            <v>-2086</v>
          </cell>
          <cell r="AC37">
            <v>803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-4.9125000000000005</v>
          </cell>
          <cell r="BA37">
            <v>0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-31387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576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11.213750000000005</v>
          </cell>
          <cell r="AY38">
            <v>0</v>
          </cell>
          <cell r="AZ38">
            <v>0</v>
          </cell>
          <cell r="BA38">
            <v>0</v>
          </cell>
        </row>
        <row r="39">
          <cell r="Q39">
            <v>-1802</v>
          </cell>
          <cell r="R39">
            <v>0</v>
          </cell>
          <cell r="S39">
            <v>0</v>
          </cell>
          <cell r="T39">
            <v>0</v>
          </cell>
          <cell r="U39">
            <v>-1376</v>
          </cell>
          <cell r="V39">
            <v>0</v>
          </cell>
          <cell r="W39">
            <v>0</v>
          </cell>
          <cell r="X39">
            <v>0</v>
          </cell>
          <cell r="Z39">
            <v>-523</v>
          </cell>
          <cell r="AA39">
            <v>0</v>
          </cell>
          <cell r="AB39">
            <v>0</v>
          </cell>
          <cell r="AC39">
            <v>-698</v>
          </cell>
          <cell r="AT39">
            <v>0.47999999999999687</v>
          </cell>
          <cell r="AU39">
            <v>0</v>
          </cell>
          <cell r="AV39">
            <v>0</v>
          </cell>
          <cell r="AW39">
            <v>0</v>
          </cell>
          <cell r="AX39">
            <v>-13.790000000000001</v>
          </cell>
          <cell r="AY39">
            <v>0</v>
          </cell>
          <cell r="AZ39">
            <v>0</v>
          </cell>
          <cell r="BA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-731</v>
          </cell>
          <cell r="AA40">
            <v>0</v>
          </cell>
          <cell r="AB40">
            <v>-813</v>
          </cell>
          <cell r="AC40">
            <v>-3116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Q41">
            <v>0</v>
          </cell>
          <cell r="R41">
            <v>0</v>
          </cell>
          <cell r="S41">
            <v>-132320</v>
          </cell>
          <cell r="T41">
            <v>0</v>
          </cell>
          <cell r="U41">
            <v>0</v>
          </cell>
          <cell r="V41">
            <v>-112322</v>
          </cell>
          <cell r="W41">
            <v>0</v>
          </cell>
          <cell r="X41">
            <v>-43708</v>
          </cell>
          <cell r="Z41">
            <v>-1809</v>
          </cell>
          <cell r="AA41">
            <v>-12003</v>
          </cell>
          <cell r="AB41">
            <v>-5361</v>
          </cell>
          <cell r="AC41">
            <v>-2145</v>
          </cell>
          <cell r="AT41">
            <v>0</v>
          </cell>
          <cell r="AU41">
            <v>0</v>
          </cell>
          <cell r="AV41">
            <v>-547.67499999999973</v>
          </cell>
          <cell r="AW41">
            <v>0</v>
          </cell>
          <cell r="AX41">
            <v>0</v>
          </cell>
          <cell r="AY41">
            <v>185.84749999999985</v>
          </cell>
          <cell r="AZ41">
            <v>0</v>
          </cell>
          <cell r="BA41">
            <v>96.147500000000036</v>
          </cell>
        </row>
        <row r="42">
          <cell r="Q42">
            <v>-25197</v>
          </cell>
          <cell r="R42">
            <v>0</v>
          </cell>
          <cell r="S42">
            <v>0</v>
          </cell>
          <cell r="T42">
            <v>0</v>
          </cell>
          <cell r="U42">
            <v>-1932</v>
          </cell>
          <cell r="V42">
            <v>0</v>
          </cell>
          <cell r="W42">
            <v>0</v>
          </cell>
          <cell r="X42">
            <v>0</v>
          </cell>
          <cell r="Z42">
            <v>-171</v>
          </cell>
          <cell r="AA42">
            <v>0</v>
          </cell>
          <cell r="AB42">
            <v>-1789</v>
          </cell>
          <cell r="AC42">
            <v>-4531</v>
          </cell>
          <cell r="AT42">
            <v>113.04750000000001</v>
          </cell>
          <cell r="AU42">
            <v>0</v>
          </cell>
          <cell r="AV42">
            <v>0</v>
          </cell>
          <cell r="AW42">
            <v>0</v>
          </cell>
          <cell r="AX42">
            <v>-19.368750000000002</v>
          </cell>
          <cell r="AY42">
            <v>0</v>
          </cell>
          <cell r="AZ42">
            <v>0</v>
          </cell>
          <cell r="BA42">
            <v>0</v>
          </cell>
        </row>
        <row r="43">
          <cell r="Q43">
            <v>0</v>
          </cell>
          <cell r="R43">
            <v>0</v>
          </cell>
          <cell r="S43">
            <v>-2339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-33722</v>
          </cell>
          <cell r="Z43">
            <v>-1100</v>
          </cell>
          <cell r="AA43">
            <v>-943</v>
          </cell>
          <cell r="AB43">
            <v>0</v>
          </cell>
          <cell r="AC43">
            <v>0</v>
          </cell>
          <cell r="AT43">
            <v>0</v>
          </cell>
          <cell r="AU43">
            <v>0</v>
          </cell>
          <cell r="AV43">
            <v>0.24249999999999972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297.04250000000002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327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-2507</v>
          </cell>
          <cell r="AA44">
            <v>0</v>
          </cell>
          <cell r="AB44">
            <v>-1380</v>
          </cell>
          <cell r="AC44">
            <v>173</v>
          </cell>
          <cell r="AT44">
            <v>0</v>
          </cell>
          <cell r="AU44">
            <v>0</v>
          </cell>
          <cell r="AV44">
            <v>0</v>
          </cell>
          <cell r="AW44">
            <v>10.257499999999999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-994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-875</v>
          </cell>
          <cell r="AA45">
            <v>0</v>
          </cell>
          <cell r="AB45">
            <v>-242</v>
          </cell>
          <cell r="AC45">
            <v>-7623</v>
          </cell>
          <cell r="AT45">
            <v>0</v>
          </cell>
          <cell r="AU45">
            <v>0</v>
          </cell>
          <cell r="AV45">
            <v>0</v>
          </cell>
          <cell r="AW45">
            <v>-0.33999999999999986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1070</v>
          </cell>
          <cell r="AC46">
            <v>2140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Q47">
            <v>-2403</v>
          </cell>
          <cell r="R47">
            <v>0</v>
          </cell>
          <cell r="S47">
            <v>0</v>
          </cell>
          <cell r="T47">
            <v>0</v>
          </cell>
          <cell r="U47">
            <v>-114964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113</v>
          </cell>
          <cell r="AT47">
            <v>-20.16</v>
          </cell>
          <cell r="AU47">
            <v>0</v>
          </cell>
          <cell r="AV47">
            <v>0</v>
          </cell>
          <cell r="AW47">
            <v>0</v>
          </cell>
          <cell r="AX47">
            <v>-379.95749999999998</v>
          </cell>
          <cell r="AY47">
            <v>0</v>
          </cell>
          <cell r="AZ47">
            <v>0</v>
          </cell>
          <cell r="BA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-722</v>
          </cell>
          <cell r="AA48">
            <v>0</v>
          </cell>
          <cell r="AB48">
            <v>560</v>
          </cell>
          <cell r="AC48">
            <v>-2940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Q49">
            <v>0</v>
          </cell>
          <cell r="R49">
            <v>0</v>
          </cell>
          <cell r="S49">
            <v>-4354</v>
          </cell>
          <cell r="T49">
            <v>0</v>
          </cell>
          <cell r="U49">
            <v>0</v>
          </cell>
          <cell r="V49">
            <v>-249</v>
          </cell>
          <cell r="W49">
            <v>0</v>
          </cell>
          <cell r="X49">
            <v>-2049</v>
          </cell>
          <cell r="Z49">
            <v>1</v>
          </cell>
          <cell r="AA49">
            <v>1448</v>
          </cell>
          <cell r="AB49">
            <v>-3112</v>
          </cell>
          <cell r="AC49">
            <v>-656</v>
          </cell>
          <cell r="AT49">
            <v>0</v>
          </cell>
          <cell r="AU49">
            <v>0</v>
          </cell>
          <cell r="AV49">
            <v>-3.1199999999999903</v>
          </cell>
          <cell r="AW49">
            <v>0</v>
          </cell>
          <cell r="AX49">
            <v>0</v>
          </cell>
          <cell r="AY49">
            <v>1.379999999999999</v>
          </cell>
          <cell r="AZ49">
            <v>0</v>
          </cell>
          <cell r="BA49">
            <v>-20.545000000000002</v>
          </cell>
        </row>
        <row r="50">
          <cell r="Q50">
            <v>0</v>
          </cell>
          <cell r="R50">
            <v>0</v>
          </cell>
          <cell r="S50">
            <v>-5309</v>
          </cell>
          <cell r="T50">
            <v>0</v>
          </cell>
          <cell r="U50">
            <v>0</v>
          </cell>
          <cell r="V50">
            <v>0</v>
          </cell>
          <cell r="W50">
            <v>-2148</v>
          </cell>
          <cell r="X50">
            <v>-1163</v>
          </cell>
          <cell r="Z50">
            <v>-815</v>
          </cell>
          <cell r="AA50">
            <v>-271</v>
          </cell>
          <cell r="AB50">
            <v>-626</v>
          </cell>
          <cell r="AC50">
            <v>1461</v>
          </cell>
          <cell r="AT50">
            <v>0</v>
          </cell>
          <cell r="AU50">
            <v>0</v>
          </cell>
          <cell r="AV50">
            <v>-10.212500000000006</v>
          </cell>
          <cell r="AW50">
            <v>0</v>
          </cell>
          <cell r="AX50">
            <v>0</v>
          </cell>
          <cell r="AY50">
            <v>0</v>
          </cell>
          <cell r="AZ50">
            <v>54.365000000000002</v>
          </cell>
          <cell r="BA50">
            <v>-1.942499999999999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-226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-4061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-647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24.102499999999992</v>
          </cell>
          <cell r="BA52">
            <v>0</v>
          </cell>
        </row>
        <row r="53">
          <cell r="Q53">
            <v>0</v>
          </cell>
          <cell r="R53">
            <v>0</v>
          </cell>
          <cell r="S53">
            <v>-3104</v>
          </cell>
          <cell r="T53">
            <v>0</v>
          </cell>
          <cell r="U53">
            <v>0</v>
          </cell>
          <cell r="V53">
            <v>1770</v>
          </cell>
          <cell r="W53">
            <v>168</v>
          </cell>
          <cell r="X53">
            <v>0</v>
          </cell>
          <cell r="Z53">
            <v>0</v>
          </cell>
          <cell r="AA53">
            <v>-479</v>
          </cell>
          <cell r="AB53">
            <v>0</v>
          </cell>
          <cell r="AC53">
            <v>-1513</v>
          </cell>
          <cell r="AT53">
            <v>0</v>
          </cell>
          <cell r="AU53">
            <v>0</v>
          </cell>
          <cell r="AV53">
            <v>-6.0375000000000085</v>
          </cell>
          <cell r="AW53">
            <v>0</v>
          </cell>
          <cell r="AX53">
            <v>0</v>
          </cell>
          <cell r="AY53">
            <v>26.625</v>
          </cell>
          <cell r="AZ53">
            <v>6.1187499999999995</v>
          </cell>
          <cell r="BA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381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-1103</v>
          </cell>
          <cell r="AA54">
            <v>0</v>
          </cell>
          <cell r="AB54">
            <v>-842</v>
          </cell>
          <cell r="AC54">
            <v>-1778</v>
          </cell>
          <cell r="AT54">
            <v>0</v>
          </cell>
          <cell r="AU54">
            <v>0</v>
          </cell>
          <cell r="AV54">
            <v>0</v>
          </cell>
          <cell r="AW54">
            <v>11.585000000000001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-1075</v>
          </cell>
          <cell r="AA55">
            <v>0</v>
          </cell>
          <cell r="AB55">
            <v>-877</v>
          </cell>
          <cell r="AC55">
            <v>-329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Q56">
            <v>0</v>
          </cell>
          <cell r="R56">
            <v>-108004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-710</v>
          </cell>
          <cell r="X56">
            <v>0</v>
          </cell>
          <cell r="Z56">
            <v>-379</v>
          </cell>
          <cell r="AA56">
            <v>0</v>
          </cell>
          <cell r="AB56">
            <v>-1135</v>
          </cell>
          <cell r="AC56">
            <v>1298</v>
          </cell>
          <cell r="AT56">
            <v>0</v>
          </cell>
          <cell r="AU56">
            <v>-139.72000000000025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-0.55000000000000071</v>
          </cell>
          <cell r="BA56">
            <v>0</v>
          </cell>
        </row>
        <row r="57">
          <cell r="Q57">
            <v>0</v>
          </cell>
          <cell r="R57">
            <v>0</v>
          </cell>
          <cell r="S57">
            <v>-4348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1873</v>
          </cell>
          <cell r="Z57">
            <v>-570</v>
          </cell>
          <cell r="AA57">
            <v>-3544</v>
          </cell>
          <cell r="AB57">
            <v>-1486</v>
          </cell>
          <cell r="AC57">
            <v>743</v>
          </cell>
          <cell r="AT57">
            <v>0</v>
          </cell>
          <cell r="AU57">
            <v>0</v>
          </cell>
          <cell r="AV57">
            <v>-22.980000000000004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46.48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318</v>
          </cell>
          <cell r="Z58">
            <v>-228</v>
          </cell>
          <cell r="AA58">
            <v>-274</v>
          </cell>
          <cell r="AB58">
            <v>-2089</v>
          </cell>
          <cell r="AC58">
            <v>-1125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4.7824999999999998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-1444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-9.0450000000000017</v>
          </cell>
          <cell r="AY59">
            <v>0</v>
          </cell>
          <cell r="AZ59">
            <v>0</v>
          </cell>
          <cell r="BA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-10477</v>
          </cell>
          <cell r="X60">
            <v>0</v>
          </cell>
          <cell r="Z60">
            <v>-2101</v>
          </cell>
          <cell r="AA60">
            <v>-435</v>
          </cell>
          <cell r="AB60">
            <v>-2149</v>
          </cell>
          <cell r="AC60">
            <v>-252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-44.267499999999984</v>
          </cell>
          <cell r="BA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-710</v>
          </cell>
          <cell r="AA61">
            <v>0</v>
          </cell>
          <cell r="AB61">
            <v>0</v>
          </cell>
          <cell r="AC61">
            <v>-377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Q62">
            <v>0</v>
          </cell>
          <cell r="R62">
            <v>1015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-1556</v>
          </cell>
          <cell r="AT62">
            <v>0</v>
          </cell>
          <cell r="AU62">
            <v>15.265000000000001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-884</v>
          </cell>
          <cell r="AA63">
            <v>0</v>
          </cell>
          <cell r="AB63">
            <v>-458</v>
          </cell>
          <cell r="AC63">
            <v>-305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-133</v>
          </cell>
          <cell r="AB64">
            <v>-351</v>
          </cell>
          <cell r="AC64">
            <v>1126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-671</v>
          </cell>
          <cell r="AA65">
            <v>0</v>
          </cell>
          <cell r="AB65">
            <v>-840</v>
          </cell>
          <cell r="AC65">
            <v>-5464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432</v>
          </cell>
          <cell r="AA66">
            <v>0</v>
          </cell>
          <cell r="AB66">
            <v>-1598</v>
          </cell>
          <cell r="AC66">
            <v>2398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-7099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-635</v>
          </cell>
          <cell r="AC67">
            <v>352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-27.814999999999998</v>
          </cell>
          <cell r="AY67">
            <v>0</v>
          </cell>
          <cell r="AZ67">
            <v>0</v>
          </cell>
          <cell r="BA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-1100</v>
          </cell>
          <cell r="AA68">
            <v>0</v>
          </cell>
          <cell r="AB68">
            <v>-416</v>
          </cell>
          <cell r="AC68">
            <v>209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86</v>
          </cell>
          <cell r="AA69">
            <v>0</v>
          </cell>
          <cell r="AB69">
            <v>-230</v>
          </cell>
          <cell r="AC69">
            <v>458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Q70">
            <v>-85433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580</v>
          </cell>
          <cell r="AA70">
            <v>0</v>
          </cell>
          <cell r="AB70">
            <v>483</v>
          </cell>
          <cell r="AC70">
            <v>-3868</v>
          </cell>
          <cell r="AT70">
            <v>-165.67250000000013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732</v>
          </cell>
          <cell r="AC71">
            <v>-440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1260</v>
          </cell>
          <cell r="AA72">
            <v>0</v>
          </cell>
          <cell r="AB72">
            <v>-257</v>
          </cell>
          <cell r="AC72">
            <v>-513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598</v>
          </cell>
          <cell r="AC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-472</v>
          </cell>
          <cell r="AC74">
            <v>472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</sheetData>
      <sheetData sheetId="10"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-676</v>
          </cell>
          <cell r="AA6">
            <v>0</v>
          </cell>
          <cell r="AB6">
            <v>-1</v>
          </cell>
          <cell r="AC6">
            <v>-1874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376</v>
          </cell>
          <cell r="AA7">
            <v>0</v>
          </cell>
          <cell r="AB7">
            <v>0</v>
          </cell>
          <cell r="AC7">
            <v>109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-619</v>
          </cell>
          <cell r="X8">
            <v>0</v>
          </cell>
          <cell r="Z8">
            <v>-2846</v>
          </cell>
          <cell r="AA8">
            <v>-407</v>
          </cell>
          <cell r="AB8">
            <v>-280</v>
          </cell>
          <cell r="AC8">
            <v>-2940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-497</v>
          </cell>
          <cell r="X9">
            <v>0</v>
          </cell>
          <cell r="Z9">
            <v>0</v>
          </cell>
          <cell r="AA9">
            <v>0</v>
          </cell>
          <cell r="AB9">
            <v>-261</v>
          </cell>
          <cell r="AC9">
            <v>1566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-104294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-301</v>
          </cell>
          <cell r="AA10">
            <v>0</v>
          </cell>
          <cell r="AB10">
            <v>-98</v>
          </cell>
          <cell r="AC10">
            <v>-838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-560</v>
          </cell>
          <cell r="AA11">
            <v>0</v>
          </cell>
          <cell r="AB11">
            <v>514</v>
          </cell>
          <cell r="AC11">
            <v>-898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156</v>
          </cell>
          <cell r="AA12">
            <v>0</v>
          </cell>
          <cell r="AB12">
            <v>0</v>
          </cell>
          <cell r="AC12">
            <v>-1535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-3626</v>
          </cell>
          <cell r="AA13">
            <v>0</v>
          </cell>
          <cell r="AB13">
            <v>295</v>
          </cell>
          <cell r="AC13">
            <v>-6798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571</v>
          </cell>
          <cell r="AA14">
            <v>0</v>
          </cell>
          <cell r="AB14">
            <v>-1903</v>
          </cell>
          <cell r="AC14">
            <v>-22680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-4749</v>
          </cell>
          <cell r="AC15">
            <v>1583</v>
          </cell>
        </row>
        <row r="16">
          <cell r="Q16">
            <v>998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-296</v>
          </cell>
          <cell r="AA16">
            <v>0</v>
          </cell>
          <cell r="AB16">
            <v>0</v>
          </cell>
          <cell r="AC16">
            <v>-402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-780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-614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-128</v>
          </cell>
          <cell r="AA19">
            <v>0</v>
          </cell>
          <cell r="AB19">
            <v>0</v>
          </cell>
          <cell r="AC19">
            <v>-440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-271</v>
          </cell>
          <cell r="AA20">
            <v>0</v>
          </cell>
          <cell r="AB20">
            <v>0</v>
          </cell>
          <cell r="AC20">
            <v>874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628</v>
          </cell>
          <cell r="AA21">
            <v>0</v>
          </cell>
          <cell r="AB21">
            <v>0</v>
          </cell>
          <cell r="AC21">
            <v>-6657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-10340</v>
          </cell>
          <cell r="AA22">
            <v>852</v>
          </cell>
          <cell r="AB22">
            <v>-23877</v>
          </cell>
          <cell r="AC22">
            <v>-6444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-307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-226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-755</v>
          </cell>
          <cell r="AC24">
            <v>5290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-162</v>
          </cell>
          <cell r="AA25">
            <v>0</v>
          </cell>
          <cell r="AB25">
            <v>-748</v>
          </cell>
          <cell r="AC25">
            <v>94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-3447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-424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340</v>
          </cell>
          <cell r="AA27">
            <v>0</v>
          </cell>
          <cell r="AB27">
            <v>-394</v>
          </cell>
          <cell r="AC27">
            <v>263</v>
          </cell>
        </row>
        <row r="28">
          <cell r="Q28">
            <v>0</v>
          </cell>
          <cell r="R28">
            <v>-16988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-829</v>
          </cell>
          <cell r="AA28">
            <v>0</v>
          </cell>
          <cell r="AB28">
            <v>-522</v>
          </cell>
          <cell r="AC28">
            <v>-1434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-2604</v>
          </cell>
          <cell r="AA29">
            <v>0</v>
          </cell>
          <cell r="AB29">
            <v>892</v>
          </cell>
          <cell r="AC29">
            <v>-1785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Q31">
            <v>0</v>
          </cell>
          <cell r="R31">
            <v>0</v>
          </cell>
          <cell r="S31">
            <v>-81398</v>
          </cell>
          <cell r="T31">
            <v>0</v>
          </cell>
          <cell r="U31">
            <v>0</v>
          </cell>
          <cell r="V31">
            <v>-83919</v>
          </cell>
          <cell r="W31">
            <v>0</v>
          </cell>
          <cell r="X31">
            <v>-121487</v>
          </cell>
          <cell r="Z31">
            <v>-3077</v>
          </cell>
          <cell r="AA31">
            <v>-5127</v>
          </cell>
          <cell r="AB31">
            <v>-2423</v>
          </cell>
          <cell r="AC31">
            <v>-13322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-136</v>
          </cell>
          <cell r="AA32">
            <v>0</v>
          </cell>
          <cell r="AB32">
            <v>-1018</v>
          </cell>
          <cell r="AC32">
            <v>-636</v>
          </cell>
        </row>
        <row r="33">
          <cell r="Q33">
            <v>0</v>
          </cell>
          <cell r="R33">
            <v>846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-4306</v>
          </cell>
          <cell r="AA33">
            <v>0</v>
          </cell>
          <cell r="AB33">
            <v>-348</v>
          </cell>
          <cell r="AC33">
            <v>-5556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-25069</v>
          </cell>
          <cell r="X34">
            <v>0</v>
          </cell>
          <cell r="Z34">
            <v>-469</v>
          </cell>
          <cell r="AA34">
            <v>-470</v>
          </cell>
          <cell r="AB34">
            <v>-449</v>
          </cell>
          <cell r="AC34">
            <v>-2696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-88</v>
          </cell>
          <cell r="AA35">
            <v>0</v>
          </cell>
          <cell r="AB35">
            <v>0</v>
          </cell>
          <cell r="AC35">
            <v>126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-462</v>
          </cell>
          <cell r="AA36">
            <v>0</v>
          </cell>
          <cell r="AB36">
            <v>-939</v>
          </cell>
          <cell r="AC36">
            <v>-625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-175</v>
          </cell>
          <cell r="X37">
            <v>0</v>
          </cell>
          <cell r="Z37">
            <v>-891</v>
          </cell>
          <cell r="AA37">
            <v>-184</v>
          </cell>
          <cell r="AB37">
            <v>-2086</v>
          </cell>
          <cell r="AC37">
            <v>803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-31387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-692</v>
          </cell>
          <cell r="AC38">
            <v>576</v>
          </cell>
        </row>
        <row r="39">
          <cell r="Q39">
            <v>-1802</v>
          </cell>
          <cell r="R39">
            <v>0</v>
          </cell>
          <cell r="S39">
            <v>0</v>
          </cell>
          <cell r="T39">
            <v>0</v>
          </cell>
          <cell r="U39">
            <v>-1376</v>
          </cell>
          <cell r="V39">
            <v>0</v>
          </cell>
          <cell r="W39">
            <v>0</v>
          </cell>
          <cell r="X39">
            <v>0</v>
          </cell>
          <cell r="Z39">
            <v>-523</v>
          </cell>
          <cell r="AA39">
            <v>0</v>
          </cell>
          <cell r="AB39">
            <v>0</v>
          </cell>
          <cell r="AC39">
            <v>-698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-731</v>
          </cell>
          <cell r="AA40">
            <v>0</v>
          </cell>
          <cell r="AB40">
            <v>-813</v>
          </cell>
          <cell r="AC40">
            <v>-3116</v>
          </cell>
        </row>
        <row r="41">
          <cell r="Q41">
            <v>0</v>
          </cell>
          <cell r="R41">
            <v>0</v>
          </cell>
          <cell r="S41">
            <v>-132320</v>
          </cell>
          <cell r="T41">
            <v>0</v>
          </cell>
          <cell r="U41">
            <v>0</v>
          </cell>
          <cell r="V41">
            <v>-112322</v>
          </cell>
          <cell r="W41">
            <v>0</v>
          </cell>
          <cell r="X41">
            <v>-43708</v>
          </cell>
          <cell r="Z41">
            <v>-1809</v>
          </cell>
          <cell r="AA41">
            <v>-12003</v>
          </cell>
          <cell r="AB41">
            <v>-5361</v>
          </cell>
          <cell r="AC41">
            <v>-2145</v>
          </cell>
        </row>
        <row r="42">
          <cell r="Q42">
            <v>-25197</v>
          </cell>
          <cell r="R42">
            <v>0</v>
          </cell>
          <cell r="S42">
            <v>0</v>
          </cell>
          <cell r="T42">
            <v>0</v>
          </cell>
          <cell r="U42">
            <v>-1932</v>
          </cell>
          <cell r="V42">
            <v>0</v>
          </cell>
          <cell r="W42">
            <v>0</v>
          </cell>
          <cell r="X42">
            <v>0</v>
          </cell>
          <cell r="Z42">
            <v>-171</v>
          </cell>
          <cell r="AA42">
            <v>0</v>
          </cell>
          <cell r="AB42">
            <v>-1789</v>
          </cell>
          <cell r="AC42">
            <v>-4531</v>
          </cell>
        </row>
        <row r="43">
          <cell r="Q43">
            <v>0</v>
          </cell>
          <cell r="R43">
            <v>0</v>
          </cell>
          <cell r="S43">
            <v>-2339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-33722</v>
          </cell>
          <cell r="Z43">
            <v>-1100</v>
          </cell>
          <cell r="AA43">
            <v>-943</v>
          </cell>
          <cell r="AB43">
            <v>0</v>
          </cell>
          <cell r="AC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327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-2507</v>
          </cell>
          <cell r="AA44">
            <v>0</v>
          </cell>
          <cell r="AB44">
            <v>-1380</v>
          </cell>
          <cell r="AC44">
            <v>173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-994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-875</v>
          </cell>
          <cell r="AA45">
            <v>0</v>
          </cell>
          <cell r="AB45">
            <v>-242</v>
          </cell>
          <cell r="AC45">
            <v>-7623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1070</v>
          </cell>
          <cell r="AC46">
            <v>2140</v>
          </cell>
        </row>
        <row r="47">
          <cell r="Q47">
            <v>-2403</v>
          </cell>
          <cell r="R47">
            <v>0</v>
          </cell>
          <cell r="S47">
            <v>0</v>
          </cell>
          <cell r="T47">
            <v>0</v>
          </cell>
          <cell r="U47">
            <v>-114964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113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-722</v>
          </cell>
          <cell r="AA48">
            <v>0</v>
          </cell>
          <cell r="AB48">
            <v>560</v>
          </cell>
          <cell r="AC48">
            <v>-2940</v>
          </cell>
        </row>
        <row r="49">
          <cell r="Q49">
            <v>0</v>
          </cell>
          <cell r="R49">
            <v>0</v>
          </cell>
          <cell r="S49">
            <v>-4354</v>
          </cell>
          <cell r="T49">
            <v>0</v>
          </cell>
          <cell r="U49">
            <v>0</v>
          </cell>
          <cell r="V49">
            <v>-249</v>
          </cell>
          <cell r="W49">
            <v>0</v>
          </cell>
          <cell r="X49">
            <v>-2049</v>
          </cell>
          <cell r="Z49">
            <v>1</v>
          </cell>
          <cell r="AA49">
            <v>1448</v>
          </cell>
          <cell r="AB49">
            <v>-3112</v>
          </cell>
          <cell r="AC49">
            <v>-656</v>
          </cell>
        </row>
        <row r="50">
          <cell r="Q50">
            <v>0</v>
          </cell>
          <cell r="R50">
            <v>0</v>
          </cell>
          <cell r="S50">
            <v>-5309</v>
          </cell>
          <cell r="T50">
            <v>0</v>
          </cell>
          <cell r="U50">
            <v>0</v>
          </cell>
          <cell r="V50">
            <v>0</v>
          </cell>
          <cell r="W50">
            <v>-2148</v>
          </cell>
          <cell r="X50">
            <v>-1163</v>
          </cell>
          <cell r="Z50">
            <v>-815</v>
          </cell>
          <cell r="AA50">
            <v>-271</v>
          </cell>
          <cell r="AB50">
            <v>-626</v>
          </cell>
          <cell r="AC50">
            <v>1461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-226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-4061</v>
          </cell>
          <cell r="X52">
            <v>0</v>
          </cell>
          <cell r="Z52">
            <v>-693</v>
          </cell>
          <cell r="AA52">
            <v>0</v>
          </cell>
          <cell r="AB52">
            <v>-431</v>
          </cell>
          <cell r="AC52">
            <v>-647</v>
          </cell>
        </row>
        <row r="53">
          <cell r="Q53">
            <v>0</v>
          </cell>
          <cell r="R53">
            <v>0</v>
          </cell>
          <cell r="S53">
            <v>-3104</v>
          </cell>
          <cell r="T53">
            <v>0</v>
          </cell>
          <cell r="U53">
            <v>0</v>
          </cell>
          <cell r="V53">
            <v>1770</v>
          </cell>
          <cell r="W53">
            <v>168</v>
          </cell>
          <cell r="X53">
            <v>0</v>
          </cell>
          <cell r="Z53">
            <v>0</v>
          </cell>
          <cell r="AA53">
            <v>-479</v>
          </cell>
          <cell r="AB53">
            <v>0</v>
          </cell>
          <cell r="AC53">
            <v>-1513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381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-1103</v>
          </cell>
          <cell r="AA54">
            <v>0</v>
          </cell>
          <cell r="AB54">
            <v>-842</v>
          </cell>
          <cell r="AC54">
            <v>-1778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-1075</v>
          </cell>
          <cell r="AA55">
            <v>0</v>
          </cell>
          <cell r="AB55">
            <v>-877</v>
          </cell>
          <cell r="AC55">
            <v>-329</v>
          </cell>
        </row>
        <row r="56">
          <cell r="Q56">
            <v>0</v>
          </cell>
          <cell r="R56">
            <v>-108004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-710</v>
          </cell>
          <cell r="X56">
            <v>0</v>
          </cell>
          <cell r="Z56">
            <v>-379</v>
          </cell>
          <cell r="AA56">
            <v>0</v>
          </cell>
          <cell r="AB56">
            <v>-1135</v>
          </cell>
          <cell r="AC56">
            <v>1298</v>
          </cell>
        </row>
        <row r="57">
          <cell r="Q57">
            <v>0</v>
          </cell>
          <cell r="R57">
            <v>0</v>
          </cell>
          <cell r="S57">
            <v>-4348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1873</v>
          </cell>
          <cell r="Z57">
            <v>-570</v>
          </cell>
          <cell r="AA57">
            <v>-3544</v>
          </cell>
          <cell r="AB57">
            <v>-1486</v>
          </cell>
          <cell r="AC57">
            <v>743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318</v>
          </cell>
          <cell r="Z58">
            <v>-228</v>
          </cell>
          <cell r="AA58">
            <v>-274</v>
          </cell>
          <cell r="AB58">
            <v>-2089</v>
          </cell>
          <cell r="AC58">
            <v>-1125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-1444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-10477</v>
          </cell>
          <cell r="X60">
            <v>0</v>
          </cell>
          <cell r="Z60">
            <v>-2101</v>
          </cell>
          <cell r="AA60">
            <v>-435</v>
          </cell>
          <cell r="AB60">
            <v>-2149</v>
          </cell>
          <cell r="AC60">
            <v>-252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-710</v>
          </cell>
          <cell r="AA61">
            <v>0</v>
          </cell>
          <cell r="AB61">
            <v>0</v>
          </cell>
          <cell r="AC61">
            <v>-377</v>
          </cell>
        </row>
        <row r="62">
          <cell r="Q62">
            <v>0</v>
          </cell>
          <cell r="R62">
            <v>1015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-505</v>
          </cell>
          <cell r="AA62">
            <v>0</v>
          </cell>
          <cell r="AB62">
            <v>0</v>
          </cell>
          <cell r="AC62">
            <v>-1556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-884</v>
          </cell>
          <cell r="AA63">
            <v>0</v>
          </cell>
          <cell r="AB63">
            <v>-458</v>
          </cell>
          <cell r="AC63">
            <v>-305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-133</v>
          </cell>
          <cell r="AB64">
            <v>-351</v>
          </cell>
          <cell r="AC64">
            <v>1126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-671</v>
          </cell>
          <cell r="AA65">
            <v>0</v>
          </cell>
          <cell r="AB65">
            <v>-840</v>
          </cell>
          <cell r="AC65">
            <v>-5464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432</v>
          </cell>
          <cell r="AA66">
            <v>0</v>
          </cell>
          <cell r="AB66">
            <v>-1598</v>
          </cell>
          <cell r="AC66">
            <v>2398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-7099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-635</v>
          </cell>
          <cell r="AC67">
            <v>352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-1100</v>
          </cell>
          <cell r="AA68">
            <v>0</v>
          </cell>
          <cell r="AB68">
            <v>-416</v>
          </cell>
          <cell r="AC68">
            <v>209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86</v>
          </cell>
          <cell r="AA69">
            <v>0</v>
          </cell>
          <cell r="AB69">
            <v>-230</v>
          </cell>
          <cell r="AC69">
            <v>458</v>
          </cell>
        </row>
        <row r="70">
          <cell r="Q70">
            <v>-85433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580</v>
          </cell>
          <cell r="AA70">
            <v>0</v>
          </cell>
          <cell r="AB70">
            <v>483</v>
          </cell>
          <cell r="AC70">
            <v>-3868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732</v>
          </cell>
          <cell r="AC71">
            <v>-440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1260</v>
          </cell>
          <cell r="AA72">
            <v>0</v>
          </cell>
          <cell r="AB72">
            <v>-257</v>
          </cell>
          <cell r="AC72">
            <v>-513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598</v>
          </cell>
          <cell r="AC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-472</v>
          </cell>
          <cell r="AC74">
            <v>472</v>
          </cell>
        </row>
      </sheetData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April 2012-13 Allocation"/>
    </sheetNames>
    <sheetDataSet>
      <sheetData sheetId="0" refreshError="1"/>
      <sheetData sheetId="1">
        <row r="66">
          <cell r="AV66">
            <v>12685204.505000003</v>
          </cell>
        </row>
        <row r="75">
          <cell r="AO75">
            <v>-16867.802500000165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 for Option A"/>
      <sheetName val="totalled for Table 3"/>
      <sheetName val="Orig"/>
    </sheetNames>
    <sheetDataSet>
      <sheetData sheetId="0">
        <row r="4">
          <cell r="AD4">
            <v>6580</v>
          </cell>
        </row>
        <row r="5">
          <cell r="AD5">
            <v>2644</v>
          </cell>
        </row>
        <row r="6">
          <cell r="AD6">
            <v>9750</v>
          </cell>
        </row>
        <row r="7">
          <cell r="AD7">
            <v>2491</v>
          </cell>
        </row>
        <row r="8">
          <cell r="AD8">
            <v>4879</v>
          </cell>
        </row>
        <row r="9">
          <cell r="AD9">
            <v>3256</v>
          </cell>
        </row>
        <row r="10">
          <cell r="AD10">
            <v>1572</v>
          </cell>
        </row>
        <row r="11">
          <cell r="AD11">
            <v>9571</v>
          </cell>
        </row>
        <row r="12">
          <cell r="AD12">
            <v>27527</v>
          </cell>
        </row>
        <row r="13">
          <cell r="AD13">
            <v>19207</v>
          </cell>
        </row>
        <row r="14">
          <cell r="AD14">
            <v>1097</v>
          </cell>
        </row>
        <row r="15">
          <cell r="AD15">
            <v>570</v>
          </cell>
        </row>
        <row r="16">
          <cell r="AD16">
            <v>1144</v>
          </cell>
        </row>
        <row r="17">
          <cell r="AD17">
            <v>1448</v>
          </cell>
        </row>
        <row r="18">
          <cell r="AD18">
            <v>2818</v>
          </cell>
        </row>
        <row r="19">
          <cell r="AD19">
            <v>3020</v>
          </cell>
        </row>
        <row r="20">
          <cell r="AD20">
            <v>36753</v>
          </cell>
        </row>
        <row r="21">
          <cell r="AD21">
            <v>1081</v>
          </cell>
        </row>
        <row r="22">
          <cell r="AD22">
            <v>1675</v>
          </cell>
        </row>
        <row r="23">
          <cell r="AD23">
            <v>4669</v>
          </cell>
        </row>
        <row r="24">
          <cell r="AD24">
            <v>2425</v>
          </cell>
        </row>
        <row r="25">
          <cell r="AD25">
            <v>2173</v>
          </cell>
        </row>
        <row r="26">
          <cell r="AD26">
            <v>9669</v>
          </cell>
        </row>
        <row r="27">
          <cell r="AD27">
            <v>3658</v>
          </cell>
        </row>
        <row r="28">
          <cell r="AD28">
            <v>1398</v>
          </cell>
        </row>
        <row r="29">
          <cell r="AD29">
            <v>34561</v>
          </cell>
        </row>
        <row r="30">
          <cell r="AD30">
            <v>3307</v>
          </cell>
        </row>
        <row r="31">
          <cell r="AD31">
            <v>18097</v>
          </cell>
        </row>
        <row r="32">
          <cell r="AD32">
            <v>8258</v>
          </cell>
        </row>
        <row r="33">
          <cell r="AD33">
            <v>1317</v>
          </cell>
        </row>
        <row r="34">
          <cell r="AD34">
            <v>3873</v>
          </cell>
        </row>
        <row r="35">
          <cell r="AD35">
            <v>12225</v>
          </cell>
        </row>
        <row r="36">
          <cell r="AD36">
            <v>1712</v>
          </cell>
        </row>
        <row r="37">
          <cell r="AD37">
            <v>3711</v>
          </cell>
        </row>
        <row r="38">
          <cell r="AD38">
            <v>4792</v>
          </cell>
        </row>
        <row r="39">
          <cell r="AD39">
            <v>36584</v>
          </cell>
        </row>
        <row r="40">
          <cell r="AD40">
            <v>11303</v>
          </cell>
        </row>
        <row r="41">
          <cell r="AD41">
            <v>2446</v>
          </cell>
        </row>
        <row r="42">
          <cell r="AD42">
            <v>2435</v>
          </cell>
        </row>
        <row r="43">
          <cell r="AD43">
            <v>16227</v>
          </cell>
        </row>
        <row r="44">
          <cell r="AD44">
            <v>1226</v>
          </cell>
        </row>
        <row r="45">
          <cell r="AD45">
            <v>2857</v>
          </cell>
        </row>
        <row r="46">
          <cell r="AD46">
            <v>2761</v>
          </cell>
        </row>
        <row r="47">
          <cell r="AD47">
            <v>4443</v>
          </cell>
        </row>
        <row r="48">
          <cell r="AD48">
            <v>4842</v>
          </cell>
        </row>
        <row r="49">
          <cell r="AD49">
            <v>1023</v>
          </cell>
        </row>
        <row r="50">
          <cell r="AD50">
            <v>2585</v>
          </cell>
        </row>
        <row r="51">
          <cell r="AD51">
            <v>5305</v>
          </cell>
        </row>
        <row r="52">
          <cell r="AD52">
            <v>11388</v>
          </cell>
        </row>
        <row r="53">
          <cell r="AD53">
            <v>6061</v>
          </cell>
        </row>
        <row r="54">
          <cell r="AD54">
            <v>6631</v>
          </cell>
        </row>
        <row r="55">
          <cell r="AD55">
            <v>16961</v>
          </cell>
        </row>
        <row r="56">
          <cell r="AD56">
            <v>14411</v>
          </cell>
        </row>
        <row r="57">
          <cell r="AD57">
            <v>667</v>
          </cell>
        </row>
        <row r="58">
          <cell r="AD58">
            <v>11814</v>
          </cell>
        </row>
        <row r="59">
          <cell r="AD59">
            <v>2107</v>
          </cell>
        </row>
        <row r="60">
          <cell r="AD60">
            <v>5206</v>
          </cell>
        </row>
        <row r="61">
          <cell r="AD61">
            <v>5586</v>
          </cell>
        </row>
        <row r="62">
          <cell r="AD62">
            <v>4345</v>
          </cell>
        </row>
        <row r="63">
          <cell r="AD63">
            <v>3933</v>
          </cell>
        </row>
        <row r="64">
          <cell r="AD64">
            <v>2496</v>
          </cell>
        </row>
        <row r="65">
          <cell r="AD65">
            <v>1596</v>
          </cell>
        </row>
        <row r="66">
          <cell r="AD66">
            <v>1043</v>
          </cell>
        </row>
        <row r="67">
          <cell r="AD67">
            <v>1757</v>
          </cell>
        </row>
        <row r="68">
          <cell r="AD68">
            <v>6873</v>
          </cell>
        </row>
        <row r="69">
          <cell r="AD69">
            <v>1924</v>
          </cell>
        </row>
        <row r="70">
          <cell r="AD70">
            <v>2267</v>
          </cell>
        </row>
        <row r="71">
          <cell r="AD71">
            <v>1400</v>
          </cell>
        </row>
        <row r="72">
          <cell r="AD72">
            <v>1983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 Option A"/>
      <sheetName val="Units-Corrected_for Table 3"/>
      <sheetName val="Units-Corrected_orig"/>
      <sheetName val="Units-Original-old don't use"/>
    </sheetNames>
    <sheetDataSet>
      <sheetData sheetId="0">
        <row r="12">
          <cell r="T12">
            <v>2695</v>
          </cell>
        </row>
        <row r="13">
          <cell r="T13">
            <v>1201</v>
          </cell>
        </row>
        <row r="14">
          <cell r="T14">
            <v>6719</v>
          </cell>
        </row>
        <row r="15">
          <cell r="T15">
            <v>1958.5</v>
          </cell>
        </row>
        <row r="16">
          <cell r="T16">
            <v>2213</v>
          </cell>
        </row>
        <row r="17">
          <cell r="T17">
            <v>1772.5</v>
          </cell>
        </row>
        <row r="18">
          <cell r="T18">
            <v>824</v>
          </cell>
        </row>
        <row r="19">
          <cell r="T19">
            <v>5749</v>
          </cell>
        </row>
        <row r="20">
          <cell r="T20">
            <v>10908</v>
          </cell>
        </row>
        <row r="21">
          <cell r="T21">
            <v>7918.5</v>
          </cell>
        </row>
        <row r="22">
          <cell r="T22">
            <v>641.5</v>
          </cell>
        </row>
        <row r="23">
          <cell r="T23">
            <v>432.5</v>
          </cell>
        </row>
        <row r="24">
          <cell r="T24">
            <v>701.5</v>
          </cell>
        </row>
        <row r="25">
          <cell r="T25">
            <v>523.5</v>
          </cell>
        </row>
        <row r="26">
          <cell r="T26">
            <v>1159</v>
          </cell>
        </row>
        <row r="27">
          <cell r="T27">
            <v>1342.5</v>
          </cell>
        </row>
        <row r="28">
          <cell r="T28">
            <v>13818.5</v>
          </cell>
        </row>
        <row r="29">
          <cell r="T29">
            <v>450.5</v>
          </cell>
        </row>
        <row r="30">
          <cell r="T30">
            <v>674</v>
          </cell>
        </row>
        <row r="31">
          <cell r="T31">
            <v>1939</v>
          </cell>
        </row>
        <row r="32">
          <cell r="T32">
            <v>1206</v>
          </cell>
        </row>
        <row r="33">
          <cell r="T33">
            <v>839.5</v>
          </cell>
        </row>
        <row r="34">
          <cell r="T34">
            <v>5556</v>
          </cell>
        </row>
        <row r="35">
          <cell r="T35">
            <v>1202.5</v>
          </cell>
        </row>
        <row r="36">
          <cell r="T36">
            <v>1195</v>
          </cell>
        </row>
        <row r="37">
          <cell r="T37">
            <v>12291.5</v>
          </cell>
        </row>
        <row r="38">
          <cell r="T38">
            <v>1877.5</v>
          </cell>
        </row>
        <row r="39">
          <cell r="T39">
            <v>7350.5</v>
          </cell>
        </row>
        <row r="40">
          <cell r="T40">
            <v>6266.5</v>
          </cell>
        </row>
        <row r="41">
          <cell r="T41">
            <v>854</v>
          </cell>
        </row>
        <row r="42">
          <cell r="T42">
            <v>2066.5</v>
          </cell>
        </row>
        <row r="43">
          <cell r="T43">
            <v>10246.5</v>
          </cell>
        </row>
        <row r="44">
          <cell r="T44">
            <v>709.5</v>
          </cell>
        </row>
        <row r="45">
          <cell r="T45">
            <v>1388.5</v>
          </cell>
        </row>
        <row r="46">
          <cell r="T46">
            <v>1791</v>
          </cell>
        </row>
        <row r="47">
          <cell r="T47">
            <v>6353.5</v>
          </cell>
        </row>
        <row r="48">
          <cell r="T48">
            <v>4203</v>
          </cell>
        </row>
        <row r="49">
          <cell r="T49">
            <v>807</v>
          </cell>
        </row>
        <row r="50">
          <cell r="T50">
            <v>840</v>
          </cell>
        </row>
        <row r="51">
          <cell r="T51">
            <v>9886</v>
          </cell>
        </row>
        <row r="52">
          <cell r="T52">
            <v>773.5</v>
          </cell>
        </row>
        <row r="53">
          <cell r="T53">
            <v>1024</v>
          </cell>
        </row>
        <row r="54">
          <cell r="T54">
            <v>1657</v>
          </cell>
        </row>
        <row r="55">
          <cell r="T55">
            <v>1610.5</v>
          </cell>
        </row>
        <row r="56">
          <cell r="T56">
            <v>3795</v>
          </cell>
        </row>
        <row r="57">
          <cell r="T57">
            <v>515.5</v>
          </cell>
        </row>
        <row r="58">
          <cell r="T58">
            <v>1659.5</v>
          </cell>
        </row>
        <row r="59">
          <cell r="T59">
            <v>1962.5</v>
          </cell>
        </row>
        <row r="60">
          <cell r="T60">
            <v>4463.5</v>
          </cell>
        </row>
        <row r="61">
          <cell r="T61">
            <v>3204</v>
          </cell>
        </row>
        <row r="62">
          <cell r="T62">
            <v>2989.5</v>
          </cell>
        </row>
        <row r="63">
          <cell r="T63">
            <v>15918.5</v>
          </cell>
        </row>
        <row r="64">
          <cell r="T64">
            <v>6982.5</v>
          </cell>
        </row>
        <row r="65">
          <cell r="T65">
            <v>257</v>
          </cell>
        </row>
        <row r="66">
          <cell r="T66">
            <v>6445.5</v>
          </cell>
        </row>
        <row r="67">
          <cell r="T67">
            <v>798.5</v>
          </cell>
        </row>
        <row r="68">
          <cell r="T68">
            <v>3017.5</v>
          </cell>
        </row>
        <row r="69">
          <cell r="T69">
            <v>2853</v>
          </cell>
        </row>
        <row r="70">
          <cell r="T70">
            <v>1955.5</v>
          </cell>
        </row>
        <row r="71">
          <cell r="T71">
            <v>2786</v>
          </cell>
        </row>
        <row r="72">
          <cell r="T72">
            <v>1081.5</v>
          </cell>
        </row>
        <row r="73">
          <cell r="T73">
            <v>696</v>
          </cell>
        </row>
        <row r="74">
          <cell r="T74">
            <v>718.5</v>
          </cell>
        </row>
        <row r="75">
          <cell r="T75">
            <v>1166</v>
          </cell>
        </row>
        <row r="76">
          <cell r="T76">
            <v>1951.5</v>
          </cell>
        </row>
        <row r="77">
          <cell r="T77">
            <v>478</v>
          </cell>
        </row>
        <row r="78">
          <cell r="T78">
            <v>1416</v>
          </cell>
        </row>
        <row r="79">
          <cell r="T79">
            <v>607</v>
          </cell>
        </row>
        <row r="80">
          <cell r="T80">
            <v>1301.5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ftedTalented-Option a"/>
      <sheetName val="SWD_Option A"/>
      <sheetName val="Disabling_Exceptionalities"/>
      <sheetName val="GiftedTalented"/>
      <sheetName val="Sheet3"/>
    </sheetNames>
    <sheetDataSet>
      <sheetData sheetId="0">
        <row r="6">
          <cell r="AA6">
            <v>84</v>
          </cell>
        </row>
        <row r="7">
          <cell r="AA7">
            <v>59</v>
          </cell>
        </row>
        <row r="8">
          <cell r="AA8">
            <v>529</v>
          </cell>
        </row>
        <row r="9">
          <cell r="AA9">
            <v>98</v>
          </cell>
        </row>
        <row r="10">
          <cell r="AA10">
            <v>9</v>
          </cell>
        </row>
        <row r="11">
          <cell r="AA11">
            <v>70</v>
          </cell>
        </row>
        <row r="12">
          <cell r="AA12">
            <v>21</v>
          </cell>
        </row>
        <row r="13">
          <cell r="AA13">
            <v>873</v>
          </cell>
        </row>
        <row r="14">
          <cell r="AA14">
            <v>1719</v>
          </cell>
        </row>
        <row r="15">
          <cell r="AA15">
            <v>1253</v>
          </cell>
        </row>
        <row r="16">
          <cell r="AA16">
            <v>30</v>
          </cell>
        </row>
        <row r="17">
          <cell r="AA17">
            <v>99</v>
          </cell>
        </row>
        <row r="18">
          <cell r="AA18">
            <v>31</v>
          </cell>
        </row>
        <row r="19">
          <cell r="AA19">
            <v>96</v>
          </cell>
        </row>
        <row r="20">
          <cell r="AA20">
            <v>70</v>
          </cell>
        </row>
        <row r="21">
          <cell r="AA21">
            <v>175</v>
          </cell>
        </row>
        <row r="22">
          <cell r="AA22">
            <v>1746</v>
          </cell>
        </row>
        <row r="23">
          <cell r="AA23">
            <v>0</v>
          </cell>
        </row>
        <row r="24">
          <cell r="AA24">
            <v>19</v>
          </cell>
        </row>
        <row r="25">
          <cell r="AA25">
            <v>68</v>
          </cell>
        </row>
        <row r="26">
          <cell r="AA26">
            <v>32</v>
          </cell>
        </row>
        <row r="27">
          <cell r="AA27">
            <v>25</v>
          </cell>
        </row>
        <row r="28">
          <cell r="AA28">
            <v>430</v>
          </cell>
        </row>
        <row r="29">
          <cell r="AA29">
            <v>111</v>
          </cell>
        </row>
        <row r="30">
          <cell r="AA30">
            <v>77</v>
          </cell>
        </row>
        <row r="31">
          <cell r="AA31">
            <v>3326</v>
          </cell>
        </row>
        <row r="32">
          <cell r="AA32">
            <v>147</v>
          </cell>
        </row>
        <row r="33">
          <cell r="AA33">
            <v>1309</v>
          </cell>
        </row>
        <row r="34">
          <cell r="AA34">
            <v>215</v>
          </cell>
        </row>
        <row r="35">
          <cell r="AA35">
            <v>29</v>
          </cell>
        </row>
        <row r="36">
          <cell r="AA36">
            <v>326</v>
          </cell>
        </row>
        <row r="37">
          <cell r="AA37">
            <v>1124</v>
          </cell>
        </row>
        <row r="38">
          <cell r="AA38">
            <v>9</v>
          </cell>
        </row>
        <row r="39">
          <cell r="AA39">
            <v>43</v>
          </cell>
        </row>
        <row r="40">
          <cell r="AA40">
            <v>234</v>
          </cell>
        </row>
        <row r="41">
          <cell r="AA41">
            <v>2748</v>
          </cell>
        </row>
        <row r="42">
          <cell r="AA42">
            <v>932</v>
          </cell>
        </row>
        <row r="43">
          <cell r="AA43">
            <v>179</v>
          </cell>
        </row>
        <row r="44">
          <cell r="AA44">
            <v>34</v>
          </cell>
        </row>
        <row r="45">
          <cell r="AA45">
            <v>637</v>
          </cell>
        </row>
        <row r="46">
          <cell r="AA46">
            <v>3</v>
          </cell>
        </row>
        <row r="47">
          <cell r="AA47">
            <v>52</v>
          </cell>
        </row>
        <row r="48">
          <cell r="AA48">
            <v>84</v>
          </cell>
        </row>
        <row r="49">
          <cell r="AA49">
            <v>144</v>
          </cell>
        </row>
        <row r="50">
          <cell r="AA50">
            <v>503</v>
          </cell>
        </row>
        <row r="51">
          <cell r="AA51">
            <v>29</v>
          </cell>
        </row>
        <row r="52">
          <cell r="AA52">
            <v>67</v>
          </cell>
        </row>
        <row r="53">
          <cell r="AA53">
            <v>130</v>
          </cell>
        </row>
        <row r="54">
          <cell r="AA54">
            <v>321</v>
          </cell>
        </row>
        <row r="55">
          <cell r="AA55">
            <v>152</v>
          </cell>
        </row>
        <row r="56">
          <cell r="AA56">
            <v>548</v>
          </cell>
        </row>
        <row r="57">
          <cell r="AA57">
            <v>3464</v>
          </cell>
        </row>
        <row r="58">
          <cell r="AA58">
            <v>385</v>
          </cell>
        </row>
        <row r="59">
          <cell r="AA59">
            <v>25</v>
          </cell>
        </row>
        <row r="60">
          <cell r="AA60">
            <v>718</v>
          </cell>
        </row>
        <row r="61">
          <cell r="AA61">
            <v>20</v>
          </cell>
        </row>
        <row r="62">
          <cell r="AA62">
            <v>171</v>
          </cell>
        </row>
        <row r="63">
          <cell r="AA63">
            <v>232</v>
          </cell>
        </row>
        <row r="64">
          <cell r="AA64">
            <v>302</v>
          </cell>
        </row>
        <row r="65">
          <cell r="AA65">
            <v>316</v>
          </cell>
        </row>
        <row r="66">
          <cell r="AA66">
            <v>131</v>
          </cell>
        </row>
        <row r="67">
          <cell r="AA67">
            <v>21</v>
          </cell>
        </row>
        <row r="68">
          <cell r="AA68">
            <v>129</v>
          </cell>
        </row>
        <row r="69">
          <cell r="AA69">
            <v>75</v>
          </cell>
        </row>
        <row r="70">
          <cell r="AA70">
            <v>565</v>
          </cell>
        </row>
        <row r="71">
          <cell r="AA71">
            <v>112</v>
          </cell>
        </row>
        <row r="72">
          <cell r="AA72">
            <v>380</v>
          </cell>
        </row>
        <row r="73">
          <cell r="AA73">
            <v>1</v>
          </cell>
        </row>
        <row r="74">
          <cell r="AA74">
            <v>218</v>
          </cell>
        </row>
      </sheetData>
      <sheetData sheetId="1">
        <row r="6">
          <cell r="Z6">
            <v>999</v>
          </cell>
        </row>
        <row r="7">
          <cell r="Z7">
            <v>428</v>
          </cell>
        </row>
        <row r="8">
          <cell r="Z8">
            <v>2284</v>
          </cell>
        </row>
        <row r="9">
          <cell r="Z9">
            <v>461</v>
          </cell>
        </row>
        <row r="10">
          <cell r="Z10">
            <v>548</v>
          </cell>
        </row>
        <row r="11">
          <cell r="Z11">
            <v>956</v>
          </cell>
        </row>
        <row r="12">
          <cell r="Z12">
            <v>201</v>
          </cell>
        </row>
        <row r="13">
          <cell r="Z13">
            <v>2362</v>
          </cell>
        </row>
        <row r="14">
          <cell r="Z14">
            <v>4159</v>
          </cell>
        </row>
        <row r="15">
          <cell r="Z15">
            <v>4892</v>
          </cell>
        </row>
        <row r="16">
          <cell r="Z16">
            <v>283</v>
          </cell>
        </row>
        <row r="17">
          <cell r="Z17">
            <v>153</v>
          </cell>
        </row>
        <row r="18">
          <cell r="Z18">
            <v>167</v>
          </cell>
        </row>
        <row r="19">
          <cell r="Z19">
            <v>356</v>
          </cell>
        </row>
        <row r="20">
          <cell r="Z20">
            <v>368</v>
          </cell>
        </row>
        <row r="21">
          <cell r="Z21">
            <v>505</v>
          </cell>
        </row>
        <row r="22">
          <cell r="Z22">
            <v>4679</v>
          </cell>
        </row>
        <row r="23">
          <cell r="Z23">
            <v>134</v>
          </cell>
        </row>
        <row r="24">
          <cell r="Z24">
            <v>272</v>
          </cell>
        </row>
        <row r="25">
          <cell r="Z25">
            <v>822</v>
          </cell>
        </row>
        <row r="26">
          <cell r="Z26">
            <v>403</v>
          </cell>
        </row>
        <row r="27">
          <cell r="Z27">
            <v>520</v>
          </cell>
        </row>
        <row r="28">
          <cell r="Z28">
            <v>1575</v>
          </cell>
        </row>
        <row r="29">
          <cell r="Z29">
            <v>450</v>
          </cell>
        </row>
        <row r="30">
          <cell r="Z30">
            <v>201</v>
          </cell>
        </row>
        <row r="31">
          <cell r="Z31">
            <v>5508</v>
          </cell>
        </row>
        <row r="32">
          <cell r="Z32">
            <v>838</v>
          </cell>
        </row>
        <row r="33">
          <cell r="Z33">
            <v>2884</v>
          </cell>
        </row>
        <row r="34">
          <cell r="Z34">
            <v>1221</v>
          </cell>
        </row>
        <row r="35">
          <cell r="Z35">
            <v>205</v>
          </cell>
        </row>
        <row r="36">
          <cell r="Z36">
            <v>716</v>
          </cell>
        </row>
        <row r="37">
          <cell r="Z37">
            <v>3194</v>
          </cell>
        </row>
        <row r="38">
          <cell r="Z38">
            <v>211</v>
          </cell>
        </row>
        <row r="39">
          <cell r="Z39">
            <v>703</v>
          </cell>
        </row>
        <row r="40">
          <cell r="Z40">
            <v>777</v>
          </cell>
        </row>
        <row r="41">
          <cell r="Z41">
            <v>4478</v>
          </cell>
        </row>
        <row r="42">
          <cell r="Z42">
            <v>2493</v>
          </cell>
        </row>
        <row r="43">
          <cell r="Z43">
            <v>454</v>
          </cell>
        </row>
        <row r="44">
          <cell r="Z44">
            <v>507</v>
          </cell>
        </row>
        <row r="45">
          <cell r="Z45">
            <v>2605</v>
          </cell>
        </row>
        <row r="46">
          <cell r="Z46">
            <v>128</v>
          </cell>
        </row>
        <row r="47">
          <cell r="Z47">
            <v>404</v>
          </cell>
        </row>
        <row r="48">
          <cell r="Z48">
            <v>541</v>
          </cell>
        </row>
        <row r="49">
          <cell r="Z49">
            <v>651</v>
          </cell>
        </row>
        <row r="50">
          <cell r="Z50">
            <v>906</v>
          </cell>
        </row>
        <row r="51">
          <cell r="Z51">
            <v>160</v>
          </cell>
        </row>
        <row r="52">
          <cell r="Z52">
            <v>505</v>
          </cell>
        </row>
        <row r="53">
          <cell r="Z53">
            <v>825</v>
          </cell>
        </row>
        <row r="54">
          <cell r="Z54">
            <v>1804</v>
          </cell>
        </row>
        <row r="55">
          <cell r="Z55">
            <v>906</v>
          </cell>
        </row>
        <row r="56">
          <cell r="Z56">
            <v>1359</v>
          </cell>
        </row>
        <row r="57">
          <cell r="Z57">
            <v>6206</v>
          </cell>
        </row>
        <row r="58">
          <cell r="Z58">
            <v>2250</v>
          </cell>
        </row>
        <row r="59">
          <cell r="Z59">
            <v>121</v>
          </cell>
        </row>
        <row r="60">
          <cell r="Z60">
            <v>2120</v>
          </cell>
        </row>
        <row r="61">
          <cell r="Z61">
            <v>398</v>
          </cell>
        </row>
        <row r="62">
          <cell r="Z62">
            <v>1083</v>
          </cell>
        </row>
        <row r="63">
          <cell r="Z63">
            <v>1049</v>
          </cell>
        </row>
        <row r="64">
          <cell r="Z64">
            <v>833</v>
          </cell>
        </row>
        <row r="65">
          <cell r="Z65">
            <v>714</v>
          </cell>
        </row>
        <row r="66">
          <cell r="Z66">
            <v>352</v>
          </cell>
        </row>
        <row r="67">
          <cell r="Z67">
            <v>224</v>
          </cell>
        </row>
        <row r="68">
          <cell r="Z68">
            <v>247</v>
          </cell>
        </row>
        <row r="69">
          <cell r="Z69">
            <v>320</v>
          </cell>
        </row>
        <row r="70">
          <cell r="Z70">
            <v>1309</v>
          </cell>
        </row>
        <row r="71">
          <cell r="Z71">
            <v>506</v>
          </cell>
        </row>
        <row r="72">
          <cell r="Z72">
            <v>424</v>
          </cell>
        </row>
        <row r="73">
          <cell r="Z73">
            <v>214</v>
          </cell>
        </row>
        <row r="74">
          <cell r="Z74">
            <v>266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7"/>
  <sheetViews>
    <sheetView showGridLines="0" tabSelected="1" view="pageBreakPreview" zoomScale="80" zoomScaleNormal="80" zoomScaleSheetLayoutView="80" workbookViewId="0">
      <pane xSplit="3" ySplit="9" topLeftCell="D10" activePane="bottomRight" state="frozen"/>
      <selection activeCell="A8" sqref="A8:A9"/>
      <selection pane="topRight" activeCell="A8" sqref="A8:A9"/>
      <selection pane="bottomLeft" activeCell="A8" sqref="A8:A9"/>
      <selection pane="bottomRight" activeCell="D89" sqref="D89"/>
    </sheetView>
  </sheetViews>
  <sheetFormatPr defaultRowHeight="12.75"/>
  <cols>
    <col min="1" max="1" width="3.7109375" bestFit="1" customWidth="1"/>
    <col min="2" max="2" width="6.42578125" customWidth="1"/>
    <col min="3" max="3" width="65" customWidth="1"/>
    <col min="4" max="5" width="20" bestFit="1" customWidth="1"/>
    <col min="6" max="6" width="1.7109375" customWidth="1"/>
    <col min="7" max="7" width="19.85546875" customWidth="1"/>
    <col min="8" max="8" width="10.85546875" customWidth="1"/>
    <col min="9" max="9" width="3" customWidth="1"/>
    <col min="10" max="10" width="11.7109375" bestFit="1" customWidth="1"/>
  </cols>
  <sheetData>
    <row r="1" spans="1:10" ht="7.5" customHeight="1"/>
    <row r="2" spans="1:10" ht="24" customHeight="1">
      <c r="A2" s="1761" t="s">
        <v>1448</v>
      </c>
      <c r="B2" s="1762"/>
      <c r="C2" s="1762"/>
      <c r="D2" s="1762"/>
      <c r="E2" s="1762"/>
      <c r="F2" s="1762"/>
      <c r="G2" s="1762"/>
      <c r="H2" s="1762"/>
    </row>
    <row r="3" spans="1:10" ht="29.25" customHeight="1">
      <c r="A3" s="1763" t="s">
        <v>1429</v>
      </c>
      <c r="B3" s="1763"/>
      <c r="C3" s="1763"/>
      <c r="D3" s="1763"/>
      <c r="E3" s="1763"/>
      <c r="F3" s="1763"/>
      <c r="G3" s="1763"/>
      <c r="H3" s="1763"/>
    </row>
    <row r="4" spans="1:10" ht="6.75" customHeight="1" thickBot="1">
      <c r="A4" s="1764"/>
      <c r="B4" s="1765"/>
      <c r="C4" s="1765"/>
      <c r="D4" s="1765"/>
      <c r="E4" s="1765"/>
      <c r="F4" s="1765"/>
      <c r="G4" s="1765"/>
      <c r="H4" s="1765"/>
      <c r="J4" s="804"/>
    </row>
    <row r="5" spans="1:10" s="35" customFormat="1" ht="12" customHeight="1" thickTop="1">
      <c r="A5" s="24"/>
      <c r="B5" s="25"/>
      <c r="C5" s="41"/>
      <c r="D5" s="1766" t="s">
        <v>1380</v>
      </c>
      <c r="E5" s="1775" t="s">
        <v>1449</v>
      </c>
      <c r="F5" s="1776"/>
      <c r="G5" s="1769" t="s">
        <v>1079</v>
      </c>
      <c r="H5" s="1772" t="s">
        <v>21</v>
      </c>
    </row>
    <row r="6" spans="1:10" ht="24" customHeight="1">
      <c r="A6" s="183"/>
      <c r="B6" s="177"/>
      <c r="C6" s="178"/>
      <c r="D6" s="1767"/>
      <c r="E6" s="1777"/>
      <c r="F6" s="1778"/>
      <c r="G6" s="1770"/>
      <c r="H6" s="1773"/>
    </row>
    <row r="7" spans="1:10" s="35" customFormat="1" ht="20.100000000000001" customHeight="1">
      <c r="A7" s="183"/>
      <c r="B7" s="177"/>
      <c r="C7" s="42"/>
      <c r="D7" s="1767"/>
      <c r="E7" s="1777"/>
      <c r="F7" s="1778"/>
      <c r="G7" s="1770"/>
      <c r="H7" s="1773"/>
    </row>
    <row r="8" spans="1:10" s="35" customFormat="1" ht="50.25" customHeight="1" thickBot="1">
      <c r="A8" s="184"/>
      <c r="B8" s="26"/>
      <c r="C8" s="113" t="s">
        <v>194</v>
      </c>
      <c r="D8" s="1768"/>
      <c r="E8" s="1779"/>
      <c r="F8" s="1780"/>
      <c r="G8" s="1771"/>
      <c r="H8" s="1774"/>
    </row>
    <row r="9" spans="1:10" s="35" customFormat="1" ht="18.75" customHeight="1" thickTop="1" thickBot="1">
      <c r="A9" s="185" t="s">
        <v>183</v>
      </c>
      <c r="B9" s="50" t="s">
        <v>172</v>
      </c>
      <c r="C9" s="51"/>
      <c r="D9" s="858">
        <v>3855</v>
      </c>
      <c r="E9" s="858">
        <f>'Table 3 Levels 1&amp;2'!Q77</f>
        <v>3855</v>
      </c>
      <c r="F9" s="859"/>
      <c r="G9" s="220">
        <f>E9-D9</f>
        <v>0</v>
      </c>
      <c r="H9" s="521">
        <f t="shared" ref="H9:H24" si="0">ROUND((E9/D9)-1,4)</f>
        <v>0</v>
      </c>
    </row>
    <row r="10" spans="1:10" s="35" customFormat="1" ht="39.75" customHeight="1">
      <c r="A10" s="792" t="s">
        <v>184</v>
      </c>
      <c r="B10" s="1752" t="s">
        <v>1391</v>
      </c>
      <c r="C10" s="1753"/>
      <c r="D10" s="1149">
        <v>944883</v>
      </c>
      <c r="E10" s="1149">
        <f>E12+E20+E21+E22+E23+E24</f>
        <v>938768</v>
      </c>
      <c r="F10" s="1150"/>
      <c r="G10" s="1151">
        <f>E10-D10</f>
        <v>-6115</v>
      </c>
      <c r="H10" s="522">
        <f t="shared" si="0"/>
        <v>-6.4999999999999997E-3</v>
      </c>
    </row>
    <row r="11" spans="1:10" s="35" customFormat="1" ht="21.75" customHeight="1">
      <c r="A11" s="186"/>
      <c r="B11" s="30" t="s">
        <v>173</v>
      </c>
      <c r="C11" s="29" t="s">
        <v>802</v>
      </c>
      <c r="D11" s="860"/>
      <c r="E11" s="860"/>
      <c r="F11" s="861"/>
      <c r="G11" s="140"/>
      <c r="H11" s="523"/>
    </row>
    <row r="12" spans="1:10" s="35" customFormat="1" ht="33.75" customHeight="1">
      <c r="A12" s="186"/>
      <c r="B12" s="1152" t="s">
        <v>766</v>
      </c>
      <c r="C12" s="1153" t="s">
        <v>1392</v>
      </c>
      <c r="D12" s="1147">
        <v>676830</v>
      </c>
      <c r="E12" s="1147">
        <f>'Table 3 Levels 1&amp;2'!C77</f>
        <v>672250</v>
      </c>
      <c r="F12" s="1148"/>
      <c r="G12" s="209">
        <f t="shared" ref="G12:G24" si="1">E12-D12</f>
        <v>-4580</v>
      </c>
      <c r="H12" s="523">
        <f t="shared" si="0"/>
        <v>-6.7999999999999996E-3</v>
      </c>
    </row>
    <row r="13" spans="1:10" s="35" customFormat="1" ht="21.75" customHeight="1">
      <c r="A13" s="186"/>
      <c r="B13" s="1146" t="s">
        <v>759</v>
      </c>
      <c r="C13" s="29" t="s">
        <v>576</v>
      </c>
      <c r="D13" s="860">
        <v>1625</v>
      </c>
      <c r="E13" s="860">
        <f>'Table 5A1 Labs '!B10</f>
        <v>1625</v>
      </c>
      <c r="F13" s="861"/>
      <c r="G13" s="140">
        <f t="shared" si="1"/>
        <v>0</v>
      </c>
      <c r="H13" s="523">
        <f t="shared" si="0"/>
        <v>0</v>
      </c>
    </row>
    <row r="14" spans="1:10" s="35" customFormat="1" ht="18" customHeight="1">
      <c r="A14" s="186"/>
      <c r="B14" s="1146" t="s">
        <v>760</v>
      </c>
      <c r="C14" s="29" t="s">
        <v>577</v>
      </c>
      <c r="D14" s="860">
        <v>310.69909400000006</v>
      </c>
      <c r="E14" s="860">
        <f>'Table 5E_OJJ'!C76</f>
        <v>310.69909400000006</v>
      </c>
      <c r="F14" s="861"/>
      <c r="G14" s="140">
        <f t="shared" si="1"/>
        <v>0</v>
      </c>
      <c r="H14" s="523">
        <f t="shared" si="0"/>
        <v>0</v>
      </c>
    </row>
    <row r="15" spans="1:10" s="35" customFormat="1" ht="18" customHeight="1">
      <c r="A15" s="186"/>
      <c r="B15" s="1146" t="s">
        <v>761</v>
      </c>
      <c r="C15" s="29" t="s">
        <v>599</v>
      </c>
      <c r="D15" s="860">
        <v>0</v>
      </c>
      <c r="E15" s="860">
        <f>'Table 5C- Legacy Type 2'!C18</f>
        <v>4073</v>
      </c>
      <c r="F15" s="861"/>
      <c r="G15" s="140">
        <f t="shared" si="1"/>
        <v>4073</v>
      </c>
      <c r="H15" s="523" t="e">
        <f t="shared" si="0"/>
        <v>#DIV/0!</v>
      </c>
    </row>
    <row r="16" spans="1:10" s="35" customFormat="1" ht="18" customHeight="1">
      <c r="A16" s="186"/>
      <c r="B16" s="1146" t="s">
        <v>762</v>
      </c>
      <c r="C16" s="29" t="s">
        <v>996</v>
      </c>
      <c r="D16" s="860">
        <v>630</v>
      </c>
      <c r="E16" s="860">
        <f>'Table 5C1H-Southwest LA Charter'!C16+'Table 5C1G-JS Clark Academy'!C55</f>
        <v>630</v>
      </c>
      <c r="F16" s="861"/>
      <c r="G16" s="140">
        <f t="shared" si="1"/>
        <v>0</v>
      </c>
      <c r="H16" s="523">
        <f t="shared" si="0"/>
        <v>0</v>
      </c>
    </row>
    <row r="17" spans="1:8" s="35" customFormat="1" ht="18" customHeight="1">
      <c r="A17" s="186"/>
      <c r="B17" s="1146" t="s">
        <v>763</v>
      </c>
      <c r="C17" s="29" t="s">
        <v>600</v>
      </c>
      <c r="D17" s="860">
        <v>294.99442900000003</v>
      </c>
      <c r="E17" s="860">
        <f>'Table 5A2 LSMSA'!C108</f>
        <v>295</v>
      </c>
      <c r="F17" s="861"/>
      <c r="G17" s="140">
        <f t="shared" si="1"/>
        <v>5.5709999999749016E-3</v>
      </c>
      <c r="H17" s="523">
        <f t="shared" si="0"/>
        <v>0</v>
      </c>
    </row>
    <row r="18" spans="1:8" s="35" customFormat="1" ht="18" customHeight="1">
      <c r="A18" s="186"/>
      <c r="B18" s="1146" t="s">
        <v>764</v>
      </c>
      <c r="C18" s="29" t="s">
        <v>601</v>
      </c>
      <c r="D18" s="860">
        <v>112</v>
      </c>
      <c r="E18" s="860">
        <f>'Table 5A3 NOCCA'!C107</f>
        <v>112</v>
      </c>
      <c r="F18" s="861"/>
      <c r="G18" s="140">
        <f t="shared" si="1"/>
        <v>0</v>
      </c>
      <c r="H18" s="523">
        <f t="shared" si="0"/>
        <v>0</v>
      </c>
    </row>
    <row r="19" spans="1:8" s="35" customFormat="1" ht="18" customHeight="1">
      <c r="A19" s="186"/>
      <c r="B19" s="1146" t="s">
        <v>765</v>
      </c>
      <c r="C19" s="29" t="s">
        <v>575</v>
      </c>
      <c r="D19" s="1147">
        <v>679802.69352299999</v>
      </c>
      <c r="E19" s="1147">
        <f>SUM(E12:E18)</f>
        <v>679295.69909400004</v>
      </c>
      <c r="F19" s="1148"/>
      <c r="G19" s="209">
        <f t="shared" si="1"/>
        <v>-506.99442899995483</v>
      </c>
      <c r="H19" s="523">
        <f t="shared" si="0"/>
        <v>-6.9999999999999999E-4</v>
      </c>
    </row>
    <row r="20" spans="1:8" s="35" customFormat="1" ht="18.75" customHeight="1">
      <c r="A20" s="186"/>
      <c r="B20" s="212" t="s">
        <v>174</v>
      </c>
      <c r="C20" s="29" t="s">
        <v>212</v>
      </c>
      <c r="D20" s="860">
        <v>101295</v>
      </c>
      <c r="E20" s="860">
        <f>'Table 3 Levels 1&amp;2'!E77</f>
        <v>100632</v>
      </c>
      <c r="F20" s="861"/>
      <c r="G20" s="140">
        <f t="shared" si="1"/>
        <v>-663</v>
      </c>
      <c r="H20" s="524">
        <f t="shared" si="0"/>
        <v>-6.4999999999999997E-3</v>
      </c>
    </row>
    <row r="21" spans="1:8" s="35" customFormat="1" ht="18.75" customHeight="1">
      <c r="A21" s="186"/>
      <c r="B21" s="30" t="s">
        <v>175</v>
      </c>
      <c r="C21" s="29" t="s">
        <v>213</v>
      </c>
      <c r="D21" s="860">
        <v>12888</v>
      </c>
      <c r="E21" s="860">
        <f>'Table 3 Levels 1&amp;2'!G77</f>
        <v>12874</v>
      </c>
      <c r="F21" s="861"/>
      <c r="G21" s="140">
        <f t="shared" si="1"/>
        <v>-14</v>
      </c>
      <c r="H21" s="523">
        <f t="shared" si="0"/>
        <v>-1.1000000000000001E-3</v>
      </c>
    </row>
    <row r="22" spans="1:8" s="35" customFormat="1" ht="18.75" customHeight="1">
      <c r="A22" s="186"/>
      <c r="B22" s="30" t="s">
        <v>176</v>
      </c>
      <c r="C22" s="29" t="s">
        <v>177</v>
      </c>
      <c r="D22" s="860">
        <v>123582</v>
      </c>
      <c r="E22" s="860">
        <f>'Table 3 Levels 1&amp;2'!I77</f>
        <v>122713</v>
      </c>
      <c r="F22" s="861"/>
      <c r="G22" s="140">
        <f t="shared" si="1"/>
        <v>-869</v>
      </c>
      <c r="H22" s="523">
        <f t="shared" si="0"/>
        <v>-7.0000000000000001E-3</v>
      </c>
    </row>
    <row r="23" spans="1:8" s="35" customFormat="1" ht="18.75" customHeight="1">
      <c r="A23" s="186"/>
      <c r="B23" s="30" t="s">
        <v>178</v>
      </c>
      <c r="C23" s="29" t="s">
        <v>179</v>
      </c>
      <c r="D23" s="860">
        <v>17047</v>
      </c>
      <c r="E23" s="860">
        <f>'Table 3 Levels 1&amp;2'!K77</f>
        <v>16986</v>
      </c>
      <c r="F23" s="861"/>
      <c r="G23" s="140">
        <f t="shared" si="1"/>
        <v>-61</v>
      </c>
      <c r="H23" s="523">
        <f t="shared" si="0"/>
        <v>-3.5999999999999999E-3</v>
      </c>
    </row>
    <row r="24" spans="1:8" s="35" customFormat="1" ht="16.5" thickBot="1">
      <c r="A24" s="187"/>
      <c r="B24" s="55" t="s">
        <v>180</v>
      </c>
      <c r="C24" s="862" t="s">
        <v>195</v>
      </c>
      <c r="D24" s="863">
        <v>13241</v>
      </c>
      <c r="E24" s="863">
        <f>'Table 3 Levels 1&amp;2'!N77</f>
        <v>13313</v>
      </c>
      <c r="F24" s="864"/>
      <c r="G24" s="865">
        <f t="shared" si="1"/>
        <v>72</v>
      </c>
      <c r="H24" s="527">
        <f t="shared" si="0"/>
        <v>5.4000000000000003E-3</v>
      </c>
    </row>
    <row r="25" spans="1:8" s="35" customFormat="1" ht="15.75">
      <c r="A25" s="186" t="s">
        <v>185</v>
      </c>
      <c r="B25" s="27" t="s">
        <v>181</v>
      </c>
      <c r="C25" s="32"/>
      <c r="D25" s="885">
        <v>3642523965</v>
      </c>
      <c r="E25" s="885">
        <f>'Table 3 Levels 1&amp;2'!R77</f>
        <v>3618950640</v>
      </c>
      <c r="F25" s="886"/>
      <c r="G25" s="28">
        <f t="shared" ref="G25:G37" si="2">E25-D25</f>
        <v>-23573325</v>
      </c>
      <c r="H25" s="523">
        <f t="shared" ref="H25:H37" si="3">ROUND((E25/D25)-1,4)</f>
        <v>-6.4999999999999997E-3</v>
      </c>
    </row>
    <row r="26" spans="1:8" s="35" customFormat="1" ht="21.75" customHeight="1">
      <c r="A26" s="186"/>
      <c r="B26" s="85" t="s">
        <v>173</v>
      </c>
      <c r="C26" s="86" t="s">
        <v>253</v>
      </c>
      <c r="D26" s="887">
        <v>2367547410</v>
      </c>
      <c r="E26" s="887">
        <f>'Table 3 Levels 1&amp;2'!U77</f>
        <v>2352342007.75</v>
      </c>
      <c r="F26" s="888"/>
      <c r="G26" s="87">
        <f t="shared" si="2"/>
        <v>-15205402.25</v>
      </c>
      <c r="H26" s="526">
        <f t="shared" si="3"/>
        <v>-6.4000000000000003E-3</v>
      </c>
    </row>
    <row r="27" spans="1:8" s="35" customFormat="1" ht="18.75" customHeight="1" thickBot="1">
      <c r="A27" s="187"/>
      <c r="B27" s="52" t="s">
        <v>174</v>
      </c>
      <c r="C27" s="53" t="s">
        <v>254</v>
      </c>
      <c r="D27" s="889">
        <v>1274976555</v>
      </c>
      <c r="E27" s="889">
        <f>'Table 3 Levels 1&amp;2'!T77</f>
        <v>1266608632.25</v>
      </c>
      <c r="F27" s="890"/>
      <c r="G27" s="54">
        <f t="shared" si="2"/>
        <v>-8367922.75</v>
      </c>
      <c r="H27" s="525">
        <f t="shared" si="3"/>
        <v>-6.6E-3</v>
      </c>
    </row>
    <row r="28" spans="1:8" s="35" customFormat="1" ht="18.75" customHeight="1">
      <c r="A28" s="188" t="s">
        <v>186</v>
      </c>
      <c r="B28" s="27" t="s">
        <v>196</v>
      </c>
      <c r="C28" s="72"/>
      <c r="D28" s="885">
        <v>2990718502.5</v>
      </c>
      <c r="E28" s="885">
        <f>'Table 7 Local Revenue'!AQ77</f>
        <v>2990718502.5</v>
      </c>
      <c r="F28" s="886"/>
      <c r="G28" s="28">
        <f t="shared" si="2"/>
        <v>0</v>
      </c>
      <c r="H28" s="523">
        <f t="shared" si="3"/>
        <v>0</v>
      </c>
    </row>
    <row r="29" spans="1:8" s="35" customFormat="1" ht="19.5" customHeight="1">
      <c r="A29" s="186"/>
      <c r="B29" s="33" t="s">
        <v>173</v>
      </c>
      <c r="C29" s="27" t="s">
        <v>251</v>
      </c>
      <c r="D29" s="891">
        <v>32368249012.300007</v>
      </c>
      <c r="E29" s="891">
        <f>'Table 7 Local Revenue'!H77</f>
        <v>32368249012.300007</v>
      </c>
      <c r="F29" s="892"/>
      <c r="G29" s="28">
        <f t="shared" si="2"/>
        <v>0</v>
      </c>
      <c r="H29" s="523">
        <f t="shared" si="3"/>
        <v>0</v>
      </c>
    </row>
    <row r="30" spans="1:8" s="35" customFormat="1" ht="18.75" customHeight="1">
      <c r="A30" s="186"/>
      <c r="B30" s="33" t="s">
        <v>174</v>
      </c>
      <c r="C30" s="27" t="s">
        <v>252</v>
      </c>
      <c r="D30" s="891">
        <v>81720840432.400009</v>
      </c>
      <c r="E30" s="891">
        <f>'Table 7 Local Revenue'!AM77</f>
        <v>81720840432.400009</v>
      </c>
      <c r="F30" s="892"/>
      <c r="G30" s="28">
        <f t="shared" si="2"/>
        <v>0</v>
      </c>
      <c r="H30" s="523">
        <f t="shared" si="3"/>
        <v>0</v>
      </c>
    </row>
    <row r="31" spans="1:8" s="35" customFormat="1" ht="18.75" customHeight="1">
      <c r="A31" s="186"/>
      <c r="B31" s="33" t="s">
        <v>175</v>
      </c>
      <c r="C31" s="27" t="s">
        <v>197</v>
      </c>
      <c r="D31" s="866" t="s">
        <v>1072</v>
      </c>
      <c r="E31" s="866" t="s">
        <v>1390</v>
      </c>
      <c r="F31" s="893"/>
      <c r="G31" s="138"/>
      <c r="H31" s="523"/>
    </row>
    <row r="32" spans="1:8" s="35" customFormat="1" ht="15.75">
      <c r="A32" s="186"/>
      <c r="B32" s="33" t="s">
        <v>176</v>
      </c>
      <c r="C32" s="27" t="s">
        <v>198</v>
      </c>
      <c r="D32" s="867" t="s">
        <v>732</v>
      </c>
      <c r="E32" s="867" t="s">
        <v>732</v>
      </c>
      <c r="F32" s="894"/>
      <c r="G32" s="137"/>
      <c r="H32" s="523"/>
    </row>
    <row r="33" spans="1:8" s="35" customFormat="1" ht="15.75">
      <c r="A33" s="186"/>
      <c r="B33" s="33" t="s">
        <v>178</v>
      </c>
      <c r="C33" s="27" t="s">
        <v>199</v>
      </c>
      <c r="D33" s="891">
        <v>1308298117</v>
      </c>
      <c r="E33" s="891">
        <f>'Table 7 Local Revenue'!AE77</f>
        <v>1308298117</v>
      </c>
      <c r="F33" s="892"/>
      <c r="G33" s="28">
        <f t="shared" si="2"/>
        <v>0</v>
      </c>
      <c r="H33" s="523">
        <f t="shared" si="3"/>
        <v>0</v>
      </c>
    </row>
    <row r="34" spans="1:8" s="35" customFormat="1" ht="18.75" customHeight="1">
      <c r="A34" s="186"/>
      <c r="B34" s="33" t="s">
        <v>180</v>
      </c>
      <c r="C34" s="27" t="s">
        <v>200</v>
      </c>
      <c r="D34" s="891">
        <v>1644278388</v>
      </c>
      <c r="E34" s="891">
        <f>'Table 7 Local Revenue'!AI77</f>
        <v>1644278388</v>
      </c>
      <c r="F34" s="892"/>
      <c r="G34" s="28">
        <f t="shared" si="2"/>
        <v>0</v>
      </c>
      <c r="H34" s="523">
        <f t="shared" si="3"/>
        <v>0</v>
      </c>
    </row>
    <row r="35" spans="1:8" s="35" customFormat="1" ht="18.75" customHeight="1" thickBot="1">
      <c r="A35" s="187"/>
      <c r="B35" s="55" t="s">
        <v>201</v>
      </c>
      <c r="C35" s="56" t="s">
        <v>202</v>
      </c>
      <c r="D35" s="889">
        <v>38141997.5</v>
      </c>
      <c r="E35" s="889">
        <f>'Table 7 Local Revenue'!AP77</f>
        <v>38141997.5</v>
      </c>
      <c r="F35" s="890"/>
      <c r="G35" s="57">
        <f t="shared" si="2"/>
        <v>0</v>
      </c>
      <c r="H35" s="527">
        <f t="shared" si="3"/>
        <v>0</v>
      </c>
    </row>
    <row r="36" spans="1:8" s="35" customFormat="1" ht="18.75" customHeight="1">
      <c r="A36" s="186" t="s">
        <v>187</v>
      </c>
      <c r="B36" s="31" t="s">
        <v>182</v>
      </c>
      <c r="C36" s="27"/>
      <c r="D36" s="885">
        <v>1098298863.3000002</v>
      </c>
      <c r="E36" s="885">
        <f>'Table 3 Levels 1&amp;2'!AC77</f>
        <v>1094532865.6999998</v>
      </c>
      <c r="F36" s="886"/>
      <c r="G36" s="28">
        <f t="shared" si="2"/>
        <v>-3765997.6000003815</v>
      </c>
      <c r="H36" s="523">
        <f t="shared" si="3"/>
        <v>-3.3999999999999998E-3</v>
      </c>
    </row>
    <row r="37" spans="1:8" s="35" customFormat="1" ht="23.25" customHeight="1" thickBot="1">
      <c r="A37" s="189"/>
      <c r="B37" s="85" t="s">
        <v>173</v>
      </c>
      <c r="C37" s="88" t="s">
        <v>255</v>
      </c>
      <c r="D37" s="895">
        <v>415212961.69691807</v>
      </c>
      <c r="E37" s="895">
        <f>'Table 3 Levels 1&amp;2'!AE77</f>
        <v>414494348.78068721</v>
      </c>
      <c r="F37" s="896"/>
      <c r="G37" s="87">
        <f t="shared" si="2"/>
        <v>-718612.91623085737</v>
      </c>
      <c r="H37" s="526">
        <f t="shared" si="3"/>
        <v>-1.6999999999999999E-3</v>
      </c>
    </row>
    <row r="38" spans="1:8" s="35" customFormat="1" ht="18.75" customHeight="1" thickBot="1">
      <c r="A38" s="190" t="s">
        <v>220</v>
      </c>
      <c r="B38" s="89" t="s">
        <v>219</v>
      </c>
      <c r="C38" s="90"/>
      <c r="D38" s="897">
        <v>2782760371.696918</v>
      </c>
      <c r="E38" s="897">
        <f>E26+E37</f>
        <v>2766836356.5306873</v>
      </c>
      <c r="F38" s="898"/>
      <c r="G38" s="91">
        <f>E38-D38</f>
        <v>-15924015.166230679</v>
      </c>
      <c r="H38" s="528">
        <f>ROUND((E38/D38)-1,4)</f>
        <v>-5.7000000000000002E-3</v>
      </c>
    </row>
    <row r="39" spans="1:8" s="35" customFormat="1" ht="27.75" customHeight="1">
      <c r="A39" s="191" t="s">
        <v>188</v>
      </c>
      <c r="B39" s="1754" t="s">
        <v>34</v>
      </c>
      <c r="C39" s="1755"/>
      <c r="D39" s="899">
        <v>622165098.84266078</v>
      </c>
      <c r="E39" s="899">
        <f>E40+E41+E42+E43</f>
        <v>622380014.09629679</v>
      </c>
      <c r="F39" s="900"/>
      <c r="G39" s="469">
        <f>E39-D39</f>
        <v>214915.25363600254</v>
      </c>
      <c r="H39" s="529">
        <f>ROUND((E39/D39)-1,4)</f>
        <v>2.9999999999999997E-4</v>
      </c>
    </row>
    <row r="40" spans="1:8" s="35" customFormat="1" ht="27" customHeight="1">
      <c r="A40" s="192"/>
      <c r="B40" s="283" t="s">
        <v>173</v>
      </c>
      <c r="C40" s="168" t="s">
        <v>561</v>
      </c>
      <c r="D40" s="901">
        <v>477048859.84266078</v>
      </c>
      <c r="E40" s="901">
        <f>+'Table 4 Level 3'!Q75</f>
        <v>474002077.09629679</v>
      </c>
      <c r="F40" s="902"/>
      <c r="G40" s="79">
        <f>E40-D40</f>
        <v>-3046782.7463639975</v>
      </c>
      <c r="H40" s="530">
        <f>ROUND((E40/D40)-1,4)</f>
        <v>-6.4000000000000003E-3</v>
      </c>
    </row>
    <row r="41" spans="1:8" s="35" customFormat="1" ht="18" customHeight="1">
      <c r="A41" s="192"/>
      <c r="B41" s="283" t="s">
        <v>174</v>
      </c>
      <c r="C41" s="169" t="s">
        <v>32</v>
      </c>
      <c r="D41" s="901">
        <v>4360000</v>
      </c>
      <c r="E41" s="901">
        <f>'Table 4 Level 3'!L75</f>
        <v>4360000</v>
      </c>
      <c r="F41" s="902"/>
      <c r="G41" s="79">
        <f t="shared" ref="G41:G47" si="4">E41-D41</f>
        <v>0</v>
      </c>
      <c r="H41" s="530">
        <f>ROUND((E41/D41)-1,4)</f>
        <v>0</v>
      </c>
    </row>
    <row r="42" spans="1:8" s="35" customFormat="1" ht="18" customHeight="1">
      <c r="A42" s="192"/>
      <c r="B42" s="283" t="s">
        <v>175</v>
      </c>
      <c r="C42" s="206" t="s">
        <v>214</v>
      </c>
      <c r="D42" s="903">
        <v>67683000</v>
      </c>
      <c r="E42" s="903">
        <f>'Table 4 Level 3'!N75</f>
        <v>67225000</v>
      </c>
      <c r="F42" s="904"/>
      <c r="G42" s="208">
        <f t="shared" si="4"/>
        <v>-458000</v>
      </c>
      <c r="H42" s="530">
        <f t="shared" ref="H42:H89" si="5">ROUND((E42/D42)-1,4)</f>
        <v>-6.7999999999999996E-3</v>
      </c>
    </row>
    <row r="43" spans="1:8" s="35" customFormat="1" ht="18" customHeight="1">
      <c r="A43" s="192"/>
      <c r="B43" s="283" t="s">
        <v>176</v>
      </c>
      <c r="C43" s="206" t="s">
        <v>242</v>
      </c>
      <c r="D43" s="905">
        <v>73073239</v>
      </c>
      <c r="E43" s="905">
        <f>SUM(E44:E47)</f>
        <v>76792937</v>
      </c>
      <c r="F43" s="906"/>
      <c r="G43" s="208">
        <f t="shared" si="4"/>
        <v>3719698</v>
      </c>
      <c r="H43" s="530">
        <f t="shared" si="5"/>
        <v>5.0900000000000001E-2</v>
      </c>
    </row>
    <row r="44" spans="1:8" s="35" customFormat="1" ht="18" customHeight="1">
      <c r="A44" s="192"/>
      <c r="B44" s="465"/>
      <c r="C44" s="540" t="s">
        <v>292</v>
      </c>
      <c r="D44" s="907">
        <v>38336714</v>
      </c>
      <c r="E44" s="907">
        <f>'Table 4 Level 3'!D75</f>
        <v>38336714</v>
      </c>
      <c r="F44" s="908"/>
      <c r="G44" s="541">
        <f t="shared" si="4"/>
        <v>0</v>
      </c>
      <c r="H44" s="542">
        <f t="shared" si="5"/>
        <v>0</v>
      </c>
    </row>
    <row r="45" spans="1:8" s="35" customFormat="1" ht="18" customHeight="1">
      <c r="A45" s="192"/>
      <c r="B45" s="465"/>
      <c r="C45" s="540" t="s">
        <v>293</v>
      </c>
      <c r="D45" s="909">
        <v>38456219</v>
      </c>
      <c r="E45" s="909">
        <f>'Table 4 Level 3'!E75</f>
        <v>38456219</v>
      </c>
      <c r="F45" s="910"/>
      <c r="G45" s="541">
        <f t="shared" si="4"/>
        <v>0</v>
      </c>
      <c r="H45" s="542">
        <f t="shared" si="5"/>
        <v>0</v>
      </c>
    </row>
    <row r="46" spans="1:8" s="35" customFormat="1" ht="26.25" customHeight="1">
      <c r="A46" s="192"/>
      <c r="B46" s="465"/>
      <c r="C46" s="545" t="s">
        <v>651</v>
      </c>
      <c r="D46" s="909">
        <v>-23577426</v>
      </c>
      <c r="E46" s="909">
        <f>'Table 4 Level 3'!F75+'Table 4 Level 3'!H75</f>
        <v>-23577426</v>
      </c>
      <c r="F46" s="910"/>
      <c r="G46" s="546">
        <f t="shared" si="4"/>
        <v>0</v>
      </c>
      <c r="H46" s="547">
        <f t="shared" si="5"/>
        <v>0</v>
      </c>
    </row>
    <row r="47" spans="1:8" s="35" customFormat="1" ht="18" customHeight="1" thickBot="1">
      <c r="A47" s="192"/>
      <c r="B47" s="464"/>
      <c r="C47" s="206" t="s">
        <v>294</v>
      </c>
      <c r="D47" s="911">
        <v>19857732</v>
      </c>
      <c r="E47" s="911">
        <f>'Table 4 Level 3'!J75</f>
        <v>23577430</v>
      </c>
      <c r="F47" s="912"/>
      <c r="G47" s="207">
        <f t="shared" si="4"/>
        <v>3719698</v>
      </c>
      <c r="H47" s="530">
        <f t="shared" si="5"/>
        <v>0.18729999999999999</v>
      </c>
    </row>
    <row r="48" spans="1:8" s="35" customFormat="1" ht="17.25" customHeight="1">
      <c r="A48" s="730" t="s">
        <v>189</v>
      </c>
      <c r="B48" s="347" t="s">
        <v>590</v>
      </c>
      <c r="C48" s="348"/>
      <c r="D48" s="913">
        <v>3404925470.5395789</v>
      </c>
      <c r="E48" s="913">
        <f>SUM(E38:E39)</f>
        <v>3389216370.6269841</v>
      </c>
      <c r="F48" s="914"/>
      <c r="G48" s="728">
        <f>E48-D48</f>
        <v>-15709099.912594795</v>
      </c>
      <c r="H48" s="729">
        <f t="shared" si="5"/>
        <v>-4.5999999999999999E-3</v>
      </c>
    </row>
    <row r="49" spans="1:8" s="35" customFormat="1" ht="16.5" thickBot="1">
      <c r="A49" s="193"/>
      <c r="B49" s="92"/>
      <c r="C49" s="93" t="s">
        <v>248</v>
      </c>
      <c r="D49" s="872">
        <v>5030.6952566221626</v>
      </c>
      <c r="E49" s="872">
        <f>'Table 3 Levels 1&amp;2'!AP77</f>
        <v>5041.6011463398772</v>
      </c>
      <c r="F49" s="873"/>
      <c r="G49" s="337">
        <f>E49-D49</f>
        <v>10.905889717714672</v>
      </c>
      <c r="H49" s="531">
        <f t="shared" si="5"/>
        <v>2.2000000000000001E-3</v>
      </c>
    </row>
    <row r="50" spans="1:8" s="35" customFormat="1" ht="15.75">
      <c r="A50" s="468" t="s">
        <v>190</v>
      </c>
      <c r="B50" s="1756" t="s">
        <v>589</v>
      </c>
      <c r="C50" s="1756"/>
      <c r="D50" s="941"/>
      <c r="E50" s="939"/>
      <c r="F50" s="940"/>
      <c r="G50" s="175"/>
      <c r="H50" s="532"/>
    </row>
    <row r="51" spans="1:8" s="35" customFormat="1" ht="17.25" customHeight="1">
      <c r="A51" s="194"/>
      <c r="B51" s="174" t="s">
        <v>223</v>
      </c>
      <c r="C51" s="86"/>
      <c r="D51" s="87">
        <v>8039438.7114330698</v>
      </c>
      <c r="E51" s="870">
        <f>E53+E52</f>
        <v>8057313.7114330698</v>
      </c>
      <c r="F51" s="871"/>
      <c r="G51" s="87">
        <f t="shared" ref="G51:G77" si="6">E51-D51</f>
        <v>17875</v>
      </c>
      <c r="H51" s="526">
        <f t="shared" si="5"/>
        <v>2.2000000000000001E-3</v>
      </c>
    </row>
    <row r="52" spans="1:8" s="35" customFormat="1" ht="19.5" customHeight="1">
      <c r="A52" s="195"/>
      <c r="B52" s="444" t="s">
        <v>173</v>
      </c>
      <c r="C52" s="445" t="s">
        <v>587</v>
      </c>
      <c r="D52" s="446">
        <v>6702549.7560223052</v>
      </c>
      <c r="E52" s="874">
        <f>'Table 5A1 Labs, LSMSA, NOCCA '!G8</f>
        <v>6717498.7560223052</v>
      </c>
      <c r="F52" s="875"/>
      <c r="G52" s="446">
        <f t="shared" si="6"/>
        <v>14949</v>
      </c>
      <c r="H52" s="533">
        <f t="shared" si="5"/>
        <v>2.2000000000000001E-3</v>
      </c>
    </row>
    <row r="53" spans="1:8" s="35" customFormat="1" ht="15.75">
      <c r="A53" s="195"/>
      <c r="B53" s="180" t="s">
        <v>174</v>
      </c>
      <c r="C53" s="173" t="s">
        <v>588</v>
      </c>
      <c r="D53" s="447">
        <v>1336888.9554107648</v>
      </c>
      <c r="E53" s="915">
        <f>'Table 5A1 Labs, LSMSA, NOCCA '!G9</f>
        <v>1339814.9554107648</v>
      </c>
      <c r="F53" s="927"/>
      <c r="G53" s="876">
        <f t="shared" si="6"/>
        <v>2926</v>
      </c>
      <c r="H53" s="534">
        <f t="shared" si="5"/>
        <v>2.2000000000000001E-3</v>
      </c>
    </row>
    <row r="54" spans="1:8" s="35" customFormat="1" ht="15.75">
      <c r="A54" s="468" t="s">
        <v>191</v>
      </c>
      <c r="B54" s="181" t="s">
        <v>86</v>
      </c>
      <c r="C54" s="176"/>
      <c r="D54" s="87">
        <v>139518605.8923862</v>
      </c>
      <c r="E54" s="916">
        <f>SUM(E55:E59)</f>
        <v>138127016.8923862</v>
      </c>
      <c r="F54" s="928"/>
      <c r="G54" s="877">
        <f t="shared" si="6"/>
        <v>-1391589</v>
      </c>
      <c r="H54" s="526">
        <f t="shared" si="5"/>
        <v>-0.01</v>
      </c>
    </row>
    <row r="55" spans="1:8" s="35" customFormat="1" ht="15.75">
      <c r="A55" s="195"/>
      <c r="B55" s="444" t="s">
        <v>173</v>
      </c>
      <c r="C55" s="445" t="s">
        <v>137</v>
      </c>
      <c r="D55" s="446">
        <v>120265434.00631183</v>
      </c>
      <c r="E55" s="868">
        <f>'Table 5B1_RSD_Orleans'!H70</f>
        <v>118826173.00631183</v>
      </c>
      <c r="F55" s="929"/>
      <c r="G55" s="869">
        <f t="shared" si="6"/>
        <v>-1439261</v>
      </c>
      <c r="H55" s="533">
        <f t="shared" si="5"/>
        <v>-1.2E-2</v>
      </c>
    </row>
    <row r="56" spans="1:8" s="35" customFormat="1" ht="15.75">
      <c r="A56" s="195"/>
      <c r="B56" s="448" t="s">
        <v>174</v>
      </c>
      <c r="C56" s="449" t="s">
        <v>118</v>
      </c>
      <c r="D56" s="450">
        <v>12606029.648745883</v>
      </c>
      <c r="E56" s="917">
        <f>'Table 5B2_RSD_LA'!H18</f>
        <v>12633577.648745883</v>
      </c>
      <c r="F56" s="930"/>
      <c r="G56" s="878">
        <f t="shared" si="6"/>
        <v>27548</v>
      </c>
      <c r="H56" s="535">
        <f t="shared" si="5"/>
        <v>2.2000000000000001E-3</v>
      </c>
    </row>
    <row r="57" spans="1:8" s="35" customFormat="1" ht="15.75">
      <c r="A57" s="195"/>
      <c r="B57" s="448" t="s">
        <v>175</v>
      </c>
      <c r="C57" s="449" t="s">
        <v>140</v>
      </c>
      <c r="D57" s="450">
        <v>1237038.6373284906</v>
      </c>
      <c r="E57" s="917">
        <f>'Table 5B2_RSD_LA'!H23</f>
        <v>1238812.6373284906</v>
      </c>
      <c r="F57" s="930"/>
      <c r="G57" s="878">
        <f t="shared" si="6"/>
        <v>1774</v>
      </c>
      <c r="H57" s="535">
        <f t="shared" si="5"/>
        <v>1.4E-3</v>
      </c>
    </row>
    <row r="58" spans="1:8" s="35" customFormat="1" ht="15.75">
      <c r="A58" s="195"/>
      <c r="B58" s="448" t="s">
        <v>176</v>
      </c>
      <c r="C58" s="449" t="s">
        <v>110</v>
      </c>
      <c r="D58" s="450">
        <v>3228424.44</v>
      </c>
      <c r="E58" s="917">
        <f>'Table 5B2_RSD_LA'!H30</f>
        <v>3240531.44</v>
      </c>
      <c r="F58" s="930"/>
      <c r="G58" s="878">
        <f t="shared" si="6"/>
        <v>12107</v>
      </c>
      <c r="H58" s="535">
        <f t="shared" si="5"/>
        <v>3.8E-3</v>
      </c>
    </row>
    <row r="59" spans="1:8" s="35" customFormat="1" ht="15.75">
      <c r="A59" s="195"/>
      <c r="B59" s="180" t="s">
        <v>178</v>
      </c>
      <c r="C59" s="173" t="s">
        <v>147</v>
      </c>
      <c r="D59" s="726">
        <v>2181679.16</v>
      </c>
      <c r="E59" s="918">
        <f>'Table 5B2_RSD_LA'!H35</f>
        <v>2187922.16</v>
      </c>
      <c r="F59" s="927"/>
      <c r="G59" s="879">
        <f t="shared" si="6"/>
        <v>6243</v>
      </c>
      <c r="H59" s="727">
        <f t="shared" si="5"/>
        <v>2.8999999999999998E-3</v>
      </c>
    </row>
    <row r="60" spans="1:8" s="35" customFormat="1" ht="15.75">
      <c r="A60" s="197" t="s">
        <v>66</v>
      </c>
      <c r="B60" s="181" t="s">
        <v>649</v>
      </c>
      <c r="C60" s="176"/>
      <c r="D60" s="87">
        <v>16420619.42228598</v>
      </c>
      <c r="E60" s="919">
        <f>'Table 5C1A-Madison Prep'!H76+'Table 5C1B-DArbonne'!H77+'Table 5C1C-Intl_VIBE'!H77+'Table 5C1D-NOMMA'!H76+'Table 5C1E-LFNO'!H76+'Table 5C1F-Lake Charles Charter'!H76+'Table 5C2 - LA Virtual Admy'!H74+'Table 5C3 - LA Connections EBR'!H74</f>
        <v>16441846.377630644</v>
      </c>
      <c r="F60" s="936"/>
      <c r="G60" s="877">
        <f t="shared" si="6"/>
        <v>21226.955344663933</v>
      </c>
      <c r="H60" s="526">
        <f t="shared" si="5"/>
        <v>1.2999999999999999E-3</v>
      </c>
    </row>
    <row r="61" spans="1:8" s="35" customFormat="1" ht="15.75">
      <c r="A61" s="197" t="s">
        <v>522</v>
      </c>
      <c r="B61" s="181" t="s">
        <v>648</v>
      </c>
      <c r="C61" s="176"/>
      <c r="D61" s="87">
        <v>3176086.9604448481</v>
      </c>
      <c r="E61" s="919">
        <f>'Table 5C1G-JS Clark Academy'!H55+'Table 5C1H-Southwest LA Charter'!H16</f>
        <v>3188548.4169831206</v>
      </c>
      <c r="F61" s="936"/>
      <c r="G61" s="877">
        <f t="shared" si="6"/>
        <v>12461.456538272556</v>
      </c>
      <c r="H61" s="526">
        <f t="shared" si="5"/>
        <v>3.8999999999999998E-3</v>
      </c>
    </row>
    <row r="62" spans="1:8" s="35" customFormat="1" ht="15.75">
      <c r="A62" s="197" t="s">
        <v>192</v>
      </c>
      <c r="B62" s="181" t="s">
        <v>523</v>
      </c>
      <c r="C62" s="176"/>
      <c r="D62" s="87">
        <v>2434331.2008444211</v>
      </c>
      <c r="E62" s="920">
        <f>'Table 5E_OJJ'!G76</f>
        <v>2436398.4398358227</v>
      </c>
      <c r="F62" s="936"/>
      <c r="G62" s="877">
        <f t="shared" si="6"/>
        <v>2067.2389914016239</v>
      </c>
      <c r="H62" s="526">
        <f t="shared" si="5"/>
        <v>8.0000000000000004E-4</v>
      </c>
    </row>
    <row r="63" spans="1:8" s="35" customFormat="1" ht="15.75">
      <c r="A63" s="197" t="s">
        <v>1073</v>
      </c>
      <c r="B63" s="181" t="s">
        <v>67</v>
      </c>
      <c r="C63" s="176"/>
      <c r="D63" s="87">
        <v>656000</v>
      </c>
      <c r="E63" s="916">
        <f>'Table 4A Stipends'!G77</f>
        <v>656000</v>
      </c>
      <c r="F63" s="928"/>
      <c r="G63" s="877">
        <f t="shared" si="6"/>
        <v>0</v>
      </c>
      <c r="H63" s="526">
        <f t="shared" si="5"/>
        <v>0</v>
      </c>
    </row>
    <row r="64" spans="1:8" s="791" customFormat="1" ht="15.75">
      <c r="A64" s="1109" t="s">
        <v>92</v>
      </c>
      <c r="B64" s="1110" t="s">
        <v>652</v>
      </c>
      <c r="C64" s="1111"/>
      <c r="D64" s="1112">
        <v>23207772.492751442</v>
      </c>
      <c r="E64" s="1113">
        <f>'Table 5C- Legacy Type 2'!H18</f>
        <v>39687419</v>
      </c>
      <c r="F64" s="1114"/>
      <c r="G64" s="1115">
        <f t="shared" si="6"/>
        <v>16479646.507248558</v>
      </c>
      <c r="H64" s="1116">
        <f t="shared" si="5"/>
        <v>0.71009999999999995</v>
      </c>
    </row>
    <row r="65" spans="1:8" s="791" customFormat="1" ht="15.75">
      <c r="A65" s="1109" t="s">
        <v>94</v>
      </c>
      <c r="B65" s="1110" t="s">
        <v>598</v>
      </c>
      <c r="C65" s="1111"/>
      <c r="D65" s="1112">
        <v>992132.68253089651</v>
      </c>
      <c r="E65" s="1113">
        <f>'Table 5A1 Labs, LSMSA, NOCCA '!D20</f>
        <v>1487272.3381702637</v>
      </c>
      <c r="F65" s="1114"/>
      <c r="G65" s="1115">
        <f t="shared" si="6"/>
        <v>495139.65563936718</v>
      </c>
      <c r="H65" s="1116">
        <f t="shared" si="5"/>
        <v>0.49909999999999999</v>
      </c>
    </row>
    <row r="66" spans="1:8" s="791" customFormat="1" ht="15.75">
      <c r="A66" s="1109" t="s">
        <v>295</v>
      </c>
      <c r="B66" s="1110" t="s">
        <v>602</v>
      </c>
      <c r="C66" s="1111"/>
      <c r="D66" s="1112">
        <v>291081.05824341497</v>
      </c>
      <c r="E66" s="1113">
        <f>'Table 5A1 Labs, LSMSA, NOCCA '!D21</f>
        <v>564659.32839006628</v>
      </c>
      <c r="F66" s="1114"/>
      <c r="G66" s="1115">
        <f t="shared" si="6"/>
        <v>273578.27014665131</v>
      </c>
      <c r="H66" s="1116">
        <f t="shared" si="5"/>
        <v>0.93989999999999996</v>
      </c>
    </row>
    <row r="67" spans="1:8" s="791" customFormat="1" ht="15.75">
      <c r="A67" s="1109" t="s">
        <v>306</v>
      </c>
      <c r="B67" s="1110" t="s">
        <v>722</v>
      </c>
      <c r="C67" s="1111"/>
      <c r="D67" s="1112">
        <v>1099327.8311734488</v>
      </c>
      <c r="E67" s="1113">
        <v>0</v>
      </c>
      <c r="F67" s="1114"/>
      <c r="G67" s="1115">
        <f t="shared" si="6"/>
        <v>-1099327.8311734488</v>
      </c>
      <c r="H67" s="1116">
        <f t="shared" si="5"/>
        <v>-1</v>
      </c>
    </row>
    <row r="68" spans="1:8" s="791" customFormat="1" ht="15.75">
      <c r="A68" s="1109" t="s">
        <v>603</v>
      </c>
      <c r="B68" s="1110" t="s">
        <v>729</v>
      </c>
      <c r="C68" s="1111"/>
      <c r="D68" s="1112">
        <v>1453552.0165221815</v>
      </c>
      <c r="E68" s="1113">
        <v>0</v>
      </c>
      <c r="F68" s="1114"/>
      <c r="G68" s="1115">
        <f t="shared" si="6"/>
        <v>-1453552.0165221815</v>
      </c>
      <c r="H68" s="1116">
        <f t="shared" si="5"/>
        <v>-1</v>
      </c>
    </row>
    <row r="69" spans="1:8" s="791" customFormat="1" ht="15.75">
      <c r="A69" s="1109" t="s">
        <v>604</v>
      </c>
      <c r="B69" s="1110" t="s">
        <v>1178</v>
      </c>
      <c r="C69" s="1111"/>
      <c r="D69" s="1112">
        <v>21239525.171499614</v>
      </c>
      <c r="E69" s="1113">
        <v>0</v>
      </c>
      <c r="F69" s="1114"/>
      <c r="G69" s="1115">
        <f t="shared" si="6"/>
        <v>-21239525.171499614</v>
      </c>
      <c r="H69" s="1116">
        <f t="shared" si="5"/>
        <v>-1</v>
      </c>
    </row>
    <row r="70" spans="1:8" s="791" customFormat="1" ht="16.5" thickBot="1">
      <c r="A70" s="1117" t="s">
        <v>730</v>
      </c>
      <c r="B70" s="1118" t="s">
        <v>997</v>
      </c>
      <c r="C70" s="1119"/>
      <c r="D70" s="1120">
        <v>3719696</v>
      </c>
      <c r="E70" s="1121">
        <v>0</v>
      </c>
      <c r="F70" s="1122"/>
      <c r="G70" s="1115">
        <f t="shared" si="6"/>
        <v>-3719696</v>
      </c>
      <c r="H70" s="1116">
        <f t="shared" si="5"/>
        <v>-1</v>
      </c>
    </row>
    <row r="71" spans="1:8" s="35" customFormat="1" ht="16.5" thickBot="1">
      <c r="A71" s="196" t="s">
        <v>647</v>
      </c>
      <c r="B71" s="100" t="s">
        <v>733</v>
      </c>
      <c r="C71" s="95"/>
      <c r="D71" s="94">
        <v>3627173639.9796948</v>
      </c>
      <c r="E71" s="921">
        <f>E48+E51+E54+E60+E61+E62+E63+E64+E65+E66+E67+E68+E69+E70</f>
        <v>3599862845.1318135</v>
      </c>
      <c r="F71" s="931"/>
      <c r="G71" s="880">
        <f t="shared" si="6"/>
        <v>-27310794.847881317</v>
      </c>
      <c r="H71" s="536">
        <f t="shared" si="5"/>
        <v>-7.4999999999999997E-3</v>
      </c>
    </row>
    <row r="72" spans="1:8" s="35" customFormat="1" ht="23.25" customHeight="1">
      <c r="A72" s="197" t="s">
        <v>720</v>
      </c>
      <c r="B72" s="86" t="s">
        <v>93</v>
      </c>
      <c r="C72" s="86"/>
      <c r="D72" s="1129">
        <f>SUM(D73:D88)</f>
        <v>-176849030.0087021</v>
      </c>
      <c r="E72" s="916">
        <f>SUM(E73:F88)</f>
        <v>-143149086.04729986</v>
      </c>
      <c r="F72" s="928"/>
      <c r="G72" s="877">
        <f t="shared" si="6"/>
        <v>33699943.961402237</v>
      </c>
      <c r="H72" s="537">
        <f t="shared" si="5"/>
        <v>-0.19059999999999999</v>
      </c>
    </row>
    <row r="73" spans="1:8" s="35" customFormat="1" ht="20.25" customHeight="1">
      <c r="A73" s="186"/>
      <c r="B73" s="33" t="s">
        <v>173</v>
      </c>
      <c r="C73" s="27" t="s">
        <v>578</v>
      </c>
      <c r="D73" s="1130">
        <v>-2944326.8587162076</v>
      </c>
      <c r="E73" s="922">
        <f>'Table 2_State with Midyear Adjs'!F76</f>
        <v>-2944326.8587162076</v>
      </c>
      <c r="F73" s="932"/>
      <c r="G73" s="881">
        <f t="shared" si="6"/>
        <v>0</v>
      </c>
      <c r="H73" s="523">
        <f t="shared" si="5"/>
        <v>0</v>
      </c>
    </row>
    <row r="74" spans="1:8" s="35" customFormat="1" ht="20.25" customHeight="1">
      <c r="A74" s="186"/>
      <c r="B74" s="202" t="s">
        <v>174</v>
      </c>
      <c r="C74" s="357" t="s">
        <v>285</v>
      </c>
      <c r="D74" s="1131">
        <v>-2510.7525593164992</v>
      </c>
      <c r="E74" s="922">
        <f>'Table 5A1 Labs, LSMSA, NOCCA '!L10</f>
        <v>-2510.7525593164992</v>
      </c>
      <c r="F74" s="1216"/>
      <c r="G74" s="881">
        <f t="shared" si="6"/>
        <v>0</v>
      </c>
      <c r="H74" s="523">
        <f t="shared" si="5"/>
        <v>0</v>
      </c>
    </row>
    <row r="75" spans="1:8" s="35" customFormat="1" ht="20.25" customHeight="1">
      <c r="A75" s="186"/>
      <c r="B75" s="202" t="s">
        <v>175</v>
      </c>
      <c r="C75" s="1127" t="s">
        <v>300</v>
      </c>
      <c r="D75" s="1673">
        <v>-896788.4189226086</v>
      </c>
      <c r="E75" s="922">
        <f>'Table 5B1_RSD_Orleans'!M70+'Table 5B2_RSD_LA'!Q38</f>
        <v>-896788.4189226086</v>
      </c>
      <c r="F75" s="1216"/>
      <c r="G75" s="881">
        <f t="shared" si="6"/>
        <v>0</v>
      </c>
      <c r="H75" s="523">
        <f t="shared" si="5"/>
        <v>0</v>
      </c>
    </row>
    <row r="76" spans="1:8" s="35" customFormat="1" ht="20.25" customHeight="1">
      <c r="A76" s="186"/>
      <c r="B76" s="202" t="s">
        <v>176</v>
      </c>
      <c r="C76" s="1127" t="s">
        <v>653</v>
      </c>
      <c r="D76" s="1132">
        <v>-52028.625194067157</v>
      </c>
      <c r="E76" s="922">
        <f>'Table 5C1A-Madison Prep'!O76+'Table 5C1B-DArbonne'!O77+'Table 5C1C-Intl_VIBE'!O77+'Table 5C1D-NOMMA'!O76+'Table 5C1E-LFNO'!O76+'Table 5C1F-Lake Charles Charter'!O76+'Table 5C2 - LA Virtual Admy'!P74+'Table 5C3 - LA Connections EBR'!P74</f>
        <v>-52028.625194067157</v>
      </c>
      <c r="F76" s="1216"/>
      <c r="G76" s="881">
        <f t="shared" si="6"/>
        <v>0</v>
      </c>
      <c r="H76" s="523">
        <f t="shared" si="5"/>
        <v>0</v>
      </c>
    </row>
    <row r="77" spans="1:8" s="35" customFormat="1" ht="20.25" customHeight="1">
      <c r="A77" s="186"/>
      <c r="B77" s="202" t="s">
        <v>178</v>
      </c>
      <c r="C77" s="1127" t="s">
        <v>665</v>
      </c>
      <c r="D77" s="1132">
        <v>8.3400291723955888</v>
      </c>
      <c r="E77" s="923">
        <f>'Table 5C- Legacy Type 2'!O18</f>
        <v>8</v>
      </c>
      <c r="F77" s="1216"/>
      <c r="G77" s="881">
        <f t="shared" si="6"/>
        <v>-0.34002917239558883</v>
      </c>
      <c r="H77" s="523">
        <f t="shared" si="5"/>
        <v>-4.0800000000000003E-2</v>
      </c>
    </row>
    <row r="78" spans="1:8" s="35" customFormat="1" ht="20.25" customHeight="1">
      <c r="A78" s="186"/>
      <c r="B78" s="202" t="s">
        <v>180</v>
      </c>
      <c r="C78" s="357" t="s">
        <v>993</v>
      </c>
      <c r="D78" s="1197">
        <v>-5928.4203465283663</v>
      </c>
      <c r="E78" s="915">
        <f>'Table 5E_OJJ'!M76</f>
        <v>-5928.4203465283663</v>
      </c>
      <c r="F78" s="933"/>
      <c r="G78" s="881"/>
      <c r="H78" s="523"/>
    </row>
    <row r="79" spans="1:8" s="35" customFormat="1" ht="20.25" customHeight="1">
      <c r="A79" s="186"/>
      <c r="B79" s="1744" t="s">
        <v>201</v>
      </c>
      <c r="C79" s="1745" t="s">
        <v>1381</v>
      </c>
      <c r="D79" s="1746">
        <v>44478698</v>
      </c>
      <c r="E79" s="1746">
        <f>'[1]Midyear Adjustment Summary'!$C$201</f>
        <v>24030510.265221488</v>
      </c>
      <c r="F79" s="1747"/>
      <c r="G79" s="1125">
        <f t="shared" ref="G79:G90" si="7">E79-D79</f>
        <v>-20448187.734778512</v>
      </c>
      <c r="H79" s="1748">
        <f t="shared" si="5"/>
        <v>-0.4597</v>
      </c>
    </row>
    <row r="80" spans="1:8" s="35" customFormat="1" ht="20.25" customHeight="1">
      <c r="A80" s="186"/>
      <c r="B80" s="1749" t="s">
        <v>1323</v>
      </c>
      <c r="C80" s="1745" t="s">
        <v>1382</v>
      </c>
      <c r="D80" s="1750">
        <v>-8224520</v>
      </c>
      <c r="E80" s="1750">
        <f>'[1]Midyear Adjustment Summary'!$D$201</f>
        <v>-7902040.0942693455</v>
      </c>
      <c r="F80" s="1751"/>
      <c r="G80" s="1125">
        <f t="shared" si="7"/>
        <v>322479.90573065449</v>
      </c>
      <c r="H80" s="1748">
        <f t="shared" si="5"/>
        <v>-3.9199999999999999E-2</v>
      </c>
    </row>
    <row r="81" spans="1:8" s="35" customFormat="1" ht="20.25" customHeight="1">
      <c r="A81" s="186"/>
      <c r="B81" s="1101" t="s">
        <v>646</v>
      </c>
      <c r="C81" s="1128" t="s">
        <v>735</v>
      </c>
      <c r="D81" s="1133"/>
      <c r="E81" s="924"/>
      <c r="F81" s="934"/>
      <c r="G81" s="882"/>
      <c r="H81" s="523"/>
    </row>
    <row r="82" spans="1:8" s="35" customFormat="1" ht="20.25" customHeight="1">
      <c r="A82" s="186"/>
      <c r="B82" s="180"/>
      <c r="C82" s="1134" t="s">
        <v>736</v>
      </c>
      <c r="D82" s="1135">
        <v>-139518605.8923862</v>
      </c>
      <c r="E82" s="1136">
        <f>-E54</f>
        <v>-138127016.8923862</v>
      </c>
      <c r="F82" s="1137"/>
      <c r="G82" s="1138">
        <f t="shared" si="7"/>
        <v>1391589</v>
      </c>
      <c r="H82" s="1139">
        <f>ROUND((E82/D82)-1,4)</f>
        <v>-0.01</v>
      </c>
    </row>
    <row r="83" spans="1:8" s="35" customFormat="1" ht="20.25" customHeight="1">
      <c r="A83" s="186"/>
      <c r="B83" s="180"/>
      <c r="C83" s="1140" t="s">
        <v>1324</v>
      </c>
      <c r="D83" s="1141">
        <v>-17354659.034030937</v>
      </c>
      <c r="E83" s="1224">
        <f>-('Table 5C1A-Madison Prep'!H76+'Table 5C1B-DArbonne'!H77+'Table 5C1C-Intl_VIBE'!H77+'Table 5C1D-NOMMA'!H76+'Table 5C1E-LFNO'!H76+'Table 5C1F-Lake Charles Charter'!H76+'Table 5C2 - LA Virtual Admy'!H74+'Table 5C3 - LA Connections EBR'!H74+'Table 5C3 - LA Connections EBR'!I74+'Table 5C2 - LA Virtual Admy'!I74)</f>
        <v>-17248964.250127066</v>
      </c>
      <c r="F83" s="1143"/>
      <c r="G83" s="1144">
        <f t="shared" si="7"/>
        <v>105694.78390387073</v>
      </c>
      <c r="H83" s="1145">
        <f t="shared" ref="H83:H88" si="8">ROUND((E83/D83)-1,4)</f>
        <v>-6.1000000000000004E-3</v>
      </c>
    </row>
    <row r="84" spans="1:8" s="35" customFormat="1" ht="20.25" customHeight="1">
      <c r="A84" s="186"/>
      <c r="B84" s="180"/>
      <c r="C84" s="1140" t="s">
        <v>737</v>
      </c>
      <c r="D84" s="1141">
        <v>-19197548.492751442</v>
      </c>
      <c r="E84" s="1224">
        <v>0</v>
      </c>
      <c r="F84" s="1143"/>
      <c r="G84" s="1144">
        <f t="shared" si="7"/>
        <v>19197548.492751442</v>
      </c>
      <c r="H84" s="1145">
        <f t="shared" si="8"/>
        <v>-1</v>
      </c>
    </row>
    <row r="85" spans="1:8" s="35" customFormat="1" ht="20.25" customHeight="1">
      <c r="A85" s="186"/>
      <c r="B85" s="180"/>
      <c r="C85" s="1140" t="s">
        <v>738</v>
      </c>
      <c r="D85" s="1141">
        <v>-1099327.8311734488</v>
      </c>
      <c r="E85" s="1142">
        <v>0</v>
      </c>
      <c r="F85" s="1143"/>
      <c r="G85" s="1144">
        <f t="shared" si="7"/>
        <v>1099327.8311734488</v>
      </c>
      <c r="H85" s="1145">
        <f t="shared" si="8"/>
        <v>-1</v>
      </c>
    </row>
    <row r="86" spans="1:8" s="35" customFormat="1" ht="20.25" customHeight="1">
      <c r="A86" s="186"/>
      <c r="B86" s="180"/>
      <c r="C86" s="1140" t="s">
        <v>739</v>
      </c>
      <c r="D86" s="1141">
        <v>-1453552.0165221815</v>
      </c>
      <c r="E86" s="1142">
        <v>0</v>
      </c>
      <c r="F86" s="1143"/>
      <c r="G86" s="1144">
        <f t="shared" si="7"/>
        <v>1453552.0165221815</v>
      </c>
      <c r="H86" s="1145">
        <f t="shared" si="8"/>
        <v>-1</v>
      </c>
    </row>
    <row r="87" spans="1:8" s="35" customFormat="1" ht="20.25" customHeight="1">
      <c r="A87" s="186"/>
      <c r="B87" s="180"/>
      <c r="C87" s="1140" t="s">
        <v>1177</v>
      </c>
      <c r="D87" s="1141">
        <v>-21239525.171499614</v>
      </c>
      <c r="E87" s="1217"/>
      <c r="F87" s="1218"/>
      <c r="G87" s="1144">
        <f t="shared" si="7"/>
        <v>21239525.171499614</v>
      </c>
      <c r="H87" s="1145">
        <f t="shared" si="8"/>
        <v>-1</v>
      </c>
    </row>
    <row r="88" spans="1:8" s="791" customFormat="1" ht="20.25" customHeight="1" thickBot="1">
      <c r="A88" s="1123"/>
      <c r="B88" s="1124" t="s">
        <v>994</v>
      </c>
      <c r="C88" s="1119" t="s">
        <v>1179</v>
      </c>
      <c r="D88" s="1268">
        <v>-9338414.8346287329</v>
      </c>
      <c r="E88" s="1267"/>
      <c r="F88" s="1219"/>
      <c r="G88" s="1125">
        <f t="shared" si="7"/>
        <v>9338414.8346287329</v>
      </c>
      <c r="H88" s="1126">
        <f t="shared" si="8"/>
        <v>-1</v>
      </c>
    </row>
    <row r="89" spans="1:8" s="35" customFormat="1" ht="23.25" customHeight="1" thickBot="1">
      <c r="A89" s="436" t="s">
        <v>721</v>
      </c>
      <c r="B89" s="1757" t="s">
        <v>655</v>
      </c>
      <c r="C89" s="1758"/>
      <c r="D89" s="437">
        <f>D71+D72</f>
        <v>3450324609.9709926</v>
      </c>
      <c r="E89" s="925">
        <f>E71+E72</f>
        <v>3456713759.0845137</v>
      </c>
      <c r="F89" s="1069"/>
      <c r="G89" s="883">
        <f t="shared" si="7"/>
        <v>6389149.1135210991</v>
      </c>
      <c r="H89" s="538">
        <f t="shared" si="5"/>
        <v>1.9E-3</v>
      </c>
    </row>
    <row r="90" spans="1:8" s="433" customFormat="1" ht="24" customHeight="1" thickBot="1">
      <c r="A90" s="543" t="s">
        <v>727</v>
      </c>
      <c r="B90" s="1759" t="s">
        <v>1000</v>
      </c>
      <c r="C90" s="1760"/>
      <c r="D90" s="544">
        <v>3422265205</v>
      </c>
      <c r="E90" s="926">
        <v>3422265205</v>
      </c>
      <c r="F90" s="935"/>
      <c r="G90" s="1096">
        <f t="shared" si="7"/>
        <v>0</v>
      </c>
      <c r="H90" s="1097"/>
    </row>
    <row r="91" spans="1:8" s="35" customFormat="1" ht="16.5" thickBot="1">
      <c r="A91" s="856" t="s">
        <v>731</v>
      </c>
      <c r="B91" s="39" t="s">
        <v>1001</v>
      </c>
      <c r="C91" s="39"/>
      <c r="D91" s="40">
        <f>D89-D90</f>
        <v>28059404.970992565</v>
      </c>
      <c r="E91" s="938">
        <f>E89-E90</f>
        <v>34448554.084513664</v>
      </c>
      <c r="F91" s="937"/>
      <c r="G91" s="884">
        <f>E91-D91</f>
        <v>6389149.1135210991</v>
      </c>
      <c r="H91" s="539"/>
    </row>
    <row r="92" spans="1:8" ht="15" thickTop="1">
      <c r="A92" s="857"/>
      <c r="B92" s="857"/>
      <c r="C92" s="857"/>
      <c r="D92" s="210"/>
      <c r="E92" s="435"/>
      <c r="F92" s="435"/>
      <c r="G92" s="804"/>
    </row>
    <row r="93" spans="1:8" ht="14.25">
      <c r="A93" s="857"/>
      <c r="B93" s="857"/>
      <c r="C93" s="857"/>
      <c r="D93" s="210"/>
      <c r="E93" s="435"/>
      <c r="F93" s="435"/>
      <c r="G93" s="804"/>
    </row>
    <row r="94" spans="1:8" ht="14.25">
      <c r="A94" s="857"/>
      <c r="B94" s="857"/>
      <c r="C94" s="857"/>
      <c r="D94" s="1710"/>
      <c r="E94" s="435"/>
      <c r="F94" s="435"/>
      <c r="G94" s="945"/>
    </row>
    <row r="95" spans="1:8" ht="14.25">
      <c r="A95" s="857"/>
      <c r="B95" s="857"/>
      <c r="C95" s="857"/>
      <c r="D95" s="1711"/>
      <c r="E95" s="435"/>
      <c r="F95" s="435"/>
      <c r="G95" s="945"/>
    </row>
    <row r="96" spans="1:8" ht="14.25">
      <c r="A96" s="857"/>
      <c r="B96" s="857"/>
      <c r="C96" s="857"/>
      <c r="D96" s="1711"/>
      <c r="E96" s="1711"/>
      <c r="F96" s="435"/>
      <c r="G96" s="945"/>
    </row>
    <row r="97" spans="1:11" ht="14.25">
      <c r="A97" s="857"/>
      <c r="B97" s="857"/>
      <c r="C97" s="857"/>
      <c r="D97" s="1711"/>
      <c r="E97" s="1711"/>
      <c r="F97" s="435"/>
    </row>
    <row r="98" spans="1:11" ht="14.25">
      <c r="A98" s="857"/>
      <c r="B98" s="857"/>
      <c r="C98" s="857"/>
      <c r="D98" s="1712"/>
      <c r="E98" s="435"/>
      <c r="F98" s="435"/>
    </row>
    <row r="99" spans="1:11" ht="14.25">
      <c r="A99" s="857"/>
      <c r="B99" s="857"/>
      <c r="C99" s="857"/>
      <c r="D99" s="210"/>
      <c r="E99" s="435"/>
      <c r="F99" s="435"/>
    </row>
    <row r="100" spans="1:11" ht="14.25">
      <c r="A100" s="857"/>
      <c r="B100" s="857"/>
      <c r="C100" s="857"/>
      <c r="D100" s="210"/>
      <c r="E100" s="434">
        <f>'Table 3 Levels 1&amp;2'!V77</f>
        <v>0.65</v>
      </c>
      <c r="F100" s="434"/>
      <c r="G100" s="434">
        <f>'Table 3 Levels 1&amp;2'!W77</f>
        <v>0.35</v>
      </c>
    </row>
    <row r="101" spans="1:11" ht="14.25">
      <c r="A101" s="857"/>
      <c r="B101" s="857"/>
      <c r="C101" s="857"/>
      <c r="D101" s="210"/>
      <c r="E101" s="435"/>
      <c r="F101" s="435"/>
    </row>
    <row r="102" spans="1:11" ht="14.25">
      <c r="A102" s="857"/>
      <c r="B102" s="857"/>
      <c r="C102" s="857"/>
      <c r="D102" s="210"/>
      <c r="E102" s="435"/>
      <c r="F102" s="435"/>
    </row>
    <row r="103" spans="1:11" ht="14.25">
      <c r="A103" s="857"/>
      <c r="B103" s="857"/>
      <c r="C103" s="857"/>
      <c r="D103" s="210"/>
      <c r="E103" s="435"/>
      <c r="F103" s="435"/>
    </row>
    <row r="104" spans="1:11" ht="14.25">
      <c r="A104" s="857"/>
      <c r="B104" s="857"/>
      <c r="C104" s="857"/>
      <c r="D104" s="210"/>
      <c r="E104" s="435"/>
      <c r="F104" s="435"/>
    </row>
    <row r="105" spans="1:11">
      <c r="D105" s="59"/>
      <c r="J105" s="1706"/>
    </row>
    <row r="106" spans="1:11" s="426" customFormat="1" ht="15.75">
      <c r="B106" s="427"/>
      <c r="C106" s="1389"/>
      <c r="D106" s="1706"/>
      <c r="E106" s="1706"/>
      <c r="F106" s="1706"/>
      <c r="G106" s="35"/>
      <c r="H106" s="35"/>
      <c r="I106" s="35"/>
      <c r="J106" s="433"/>
      <c r="K106" s="433"/>
    </row>
    <row r="107" spans="1:11" s="426" customFormat="1">
      <c r="A107"/>
      <c r="B107"/>
      <c r="C107" s="1731"/>
      <c r="D107" s="1706"/>
      <c r="E107" s="35"/>
      <c r="F107" s="35"/>
      <c r="G107" s="35"/>
      <c r="H107" s="35"/>
      <c r="I107" s="35"/>
      <c r="J107" s="1732"/>
      <c r="K107" s="35"/>
    </row>
    <row r="108" spans="1:11" ht="20.25">
      <c r="B108" s="712"/>
      <c r="C108" s="1278"/>
      <c r="D108" s="1706"/>
      <c r="E108" s="64"/>
      <c r="F108" s="64"/>
      <c r="G108" s="35"/>
      <c r="H108" s="35"/>
      <c r="I108" s="35"/>
      <c r="J108" s="1706"/>
      <c r="K108" s="35"/>
    </row>
    <row r="109" spans="1:11">
      <c r="C109" s="1733"/>
      <c r="D109" s="1391"/>
      <c r="E109" s="64"/>
      <c r="F109" s="64"/>
      <c r="G109" s="35"/>
      <c r="H109" s="35"/>
      <c r="I109" s="35"/>
      <c r="J109" s="1706"/>
      <c r="K109" s="35"/>
    </row>
    <row r="110" spans="1:11">
      <c r="C110" s="1734"/>
      <c r="D110" s="1706"/>
      <c r="E110" s="1735"/>
      <c r="F110" s="1735"/>
      <c r="G110" s="1735"/>
      <c r="H110" s="1735"/>
      <c r="I110" s="35"/>
      <c r="J110" s="1706"/>
      <c r="K110" s="35"/>
    </row>
    <row r="111" spans="1:11">
      <c r="C111" s="1707"/>
      <c r="D111" s="35"/>
      <c r="E111" s="1735"/>
      <c r="F111" s="1735"/>
      <c r="G111" s="1735"/>
      <c r="H111" s="1735"/>
      <c r="I111" s="35"/>
      <c r="J111" s="1706"/>
      <c r="K111" s="64"/>
    </row>
    <row r="112" spans="1:11">
      <c r="C112" s="1707"/>
      <c r="D112" s="1706"/>
      <c r="E112" s="1736"/>
      <c r="F112" s="1736"/>
      <c r="G112" s="35"/>
      <c r="H112" s="35"/>
      <c r="I112" s="35"/>
      <c r="J112" s="1706"/>
      <c r="K112" s="35"/>
    </row>
    <row r="113" spans="3:11">
      <c r="C113" s="1707"/>
      <c r="D113" s="1706"/>
      <c r="E113" s="1707"/>
      <c r="F113" s="1707"/>
      <c r="G113" s="35"/>
      <c r="H113" s="35"/>
      <c r="I113" s="35"/>
      <c r="J113" s="35"/>
      <c r="K113" s="35"/>
    </row>
    <row r="114" spans="3:11">
      <c r="C114" s="1707"/>
      <c r="D114" s="1706"/>
      <c r="E114" s="1707"/>
      <c r="F114" s="1707"/>
      <c r="G114" s="35"/>
      <c r="H114" s="35"/>
      <c r="I114" s="35"/>
      <c r="J114" s="35"/>
      <c r="K114" s="35"/>
    </row>
    <row r="115" spans="3:11">
      <c r="C115" s="1707"/>
      <c r="D115" s="35"/>
      <c r="E115" s="1707"/>
      <c r="F115" s="1707"/>
      <c r="G115" s="35"/>
      <c r="H115" s="35"/>
      <c r="I115" s="35"/>
      <c r="J115" s="35"/>
      <c r="K115" s="35"/>
    </row>
    <row r="116" spans="3:11">
      <c r="C116" s="1707"/>
      <c r="D116" s="35"/>
      <c r="E116" s="35"/>
      <c r="F116" s="35"/>
      <c r="G116" s="179"/>
      <c r="H116" s="35"/>
      <c r="I116" s="35"/>
      <c r="J116" s="35"/>
      <c r="K116" s="35"/>
    </row>
    <row r="117" spans="3:11">
      <c r="C117" s="35"/>
      <c r="D117" s="35"/>
      <c r="E117" s="35"/>
      <c r="F117" s="35"/>
      <c r="G117" s="35"/>
      <c r="H117" s="35"/>
      <c r="I117" s="35"/>
      <c r="J117" s="35"/>
      <c r="K117" s="35"/>
    </row>
  </sheetData>
  <mergeCells count="12">
    <mergeCell ref="A2:H2"/>
    <mergeCell ref="A3:H3"/>
    <mergeCell ref="A4:H4"/>
    <mergeCell ref="D5:D8"/>
    <mergeCell ref="G5:G8"/>
    <mergeCell ref="H5:H8"/>
    <mergeCell ref="E5:F8"/>
    <mergeCell ref="B10:C10"/>
    <mergeCell ref="B39:C39"/>
    <mergeCell ref="B50:C50"/>
    <mergeCell ref="B89:C89"/>
    <mergeCell ref="B90:C90"/>
  </mergeCells>
  <printOptions horizontalCentered="1"/>
  <pageMargins left="0.25" right="0.25" top="0.19" bottom="0.16" header="0.17" footer="0.16"/>
  <pageSetup paperSize="5" scale="70" orientation="portrait" useFirstPageNumber="1" r:id="rId1"/>
  <headerFooter alignWithMargins="0">
    <oddFooter>&amp;R&amp;12&amp;P</oddFooter>
  </headerFooter>
  <rowBreaks count="1" manualBreakCount="1">
    <brk id="71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B111"/>
  <sheetViews>
    <sheetView view="pageBreakPreview" zoomScale="90" zoomScaleNormal="100" zoomScaleSheetLayoutView="90" workbookViewId="0">
      <pane xSplit="2" ySplit="6" topLeftCell="C67" activePane="bottomRight" state="frozen"/>
      <selection activeCell="A5" sqref="A5:A6"/>
      <selection pane="topRight" activeCell="A5" sqref="A5:A6"/>
      <selection pane="bottomLeft" activeCell="A5" sqref="A5:A6"/>
      <selection pane="bottomRight" activeCell="X7" sqref="X7:X77"/>
    </sheetView>
  </sheetViews>
  <sheetFormatPr defaultColWidth="12.5703125" defaultRowHeight="12.75"/>
  <cols>
    <col min="1" max="1" width="3.85546875" style="961" customWidth="1"/>
    <col min="2" max="2" width="17.85546875" style="961" bestFit="1" customWidth="1"/>
    <col min="3" max="3" width="11" style="962" customWidth="1"/>
    <col min="4" max="4" width="14.42578125" style="962" customWidth="1"/>
    <col min="5" max="6" width="10.42578125" style="962" bestFit="1" customWidth="1"/>
    <col min="7" max="7" width="9.42578125" style="962" bestFit="1" customWidth="1"/>
    <col min="8" max="8" width="11.42578125" style="962" customWidth="1"/>
    <col min="9" max="9" width="12.7109375" style="962" bestFit="1" customWidth="1"/>
    <col min="10" max="10" width="13.85546875" style="962" bestFit="1" customWidth="1"/>
    <col min="11" max="11" width="11.140625" style="962" bestFit="1" customWidth="1"/>
    <col min="12" max="15" width="12.28515625" style="962" customWidth="1"/>
    <col min="16" max="16" width="14.28515625" style="962" customWidth="1"/>
    <col min="17" max="17" width="12" style="962" customWidth="1"/>
    <col min="18" max="18" width="15.28515625" style="962" customWidth="1"/>
    <col min="19" max="19" width="12" style="962" customWidth="1"/>
    <col min="20" max="20" width="15.28515625" style="962" customWidth="1"/>
    <col min="21" max="21" width="14.42578125" style="962" customWidth="1"/>
    <col min="22" max="25" width="12" style="962" customWidth="1"/>
    <col min="26" max="26" width="10.85546875" style="962" bestFit="1" customWidth="1"/>
    <col min="27" max="27" width="10.85546875" style="962" customWidth="1"/>
    <col min="28" max="29" width="12.5703125" style="961" customWidth="1"/>
    <col min="30" max="16384" width="12.5703125" style="961"/>
  </cols>
  <sheetData>
    <row r="1" spans="1:28" ht="36.75" customHeight="1">
      <c r="A1" s="1627" t="s">
        <v>1348</v>
      </c>
      <c r="B1" s="1628"/>
      <c r="C1" s="1629"/>
      <c r="D1" s="1629"/>
      <c r="E1" s="1432"/>
      <c r="F1" s="1432"/>
      <c r="I1" s="1920" t="s">
        <v>690</v>
      </c>
      <c r="J1" s="1921"/>
      <c r="K1" s="1921"/>
      <c r="L1" s="1921"/>
      <c r="M1" s="1921"/>
      <c r="N1" s="1921"/>
      <c r="O1" s="1921"/>
      <c r="P1" s="1508"/>
    </row>
    <row r="2" spans="1:28" s="963" customFormat="1" ht="39.75" customHeight="1">
      <c r="A2" s="1905" t="s">
        <v>689</v>
      </c>
      <c r="B2" s="1906"/>
      <c r="C2" s="1899" t="s">
        <v>690</v>
      </c>
      <c r="D2" s="1900"/>
      <c r="E2" s="1900"/>
      <c r="F2" s="1900"/>
      <c r="G2" s="1900"/>
      <c r="H2" s="1901"/>
      <c r="I2" s="1902" t="s">
        <v>1188</v>
      </c>
      <c r="J2" s="1903"/>
      <c r="K2" s="1904"/>
      <c r="P2" s="1926" t="s">
        <v>719</v>
      </c>
      <c r="Q2" s="1927"/>
      <c r="R2" s="1927"/>
      <c r="S2" s="1927"/>
      <c r="T2" s="1927"/>
      <c r="U2" s="1927"/>
      <c r="V2" s="1927"/>
      <c r="W2" s="1927"/>
      <c r="X2" s="1927"/>
      <c r="Y2" s="1927"/>
      <c r="Z2" s="1928"/>
      <c r="AA2" s="1914" t="s">
        <v>1102</v>
      </c>
      <c r="AB2" s="1914" t="s">
        <v>1103</v>
      </c>
    </row>
    <row r="3" spans="1:28" ht="89.25" customHeight="1">
      <c r="A3" s="1907"/>
      <c r="B3" s="1908"/>
      <c r="C3" s="1911" t="s">
        <v>806</v>
      </c>
      <c r="D3" s="1913" t="s">
        <v>715</v>
      </c>
      <c r="E3" s="1911" t="s">
        <v>693</v>
      </c>
      <c r="F3" s="1911" t="s">
        <v>694</v>
      </c>
      <c r="G3" s="1911" t="s">
        <v>695</v>
      </c>
      <c r="H3" s="1911" t="s">
        <v>1145</v>
      </c>
      <c r="I3" s="1922" t="s">
        <v>1209</v>
      </c>
      <c r="J3" s="1922" t="s">
        <v>1210</v>
      </c>
      <c r="K3" s="1922" t="s">
        <v>1208</v>
      </c>
      <c r="L3" s="1924" t="s">
        <v>1211</v>
      </c>
      <c r="M3" s="1911" t="s">
        <v>1329</v>
      </c>
      <c r="N3" s="1911" t="s">
        <v>1403</v>
      </c>
      <c r="O3" s="1924" t="s">
        <v>1125</v>
      </c>
      <c r="P3" s="1929" t="s">
        <v>716</v>
      </c>
      <c r="Q3" s="1919" t="s">
        <v>1101</v>
      </c>
      <c r="R3" s="1917" t="s">
        <v>1218</v>
      </c>
      <c r="S3" s="1917" t="s">
        <v>1196</v>
      </c>
      <c r="T3" s="1917" t="s">
        <v>1226</v>
      </c>
      <c r="U3" s="1917" t="s">
        <v>1220</v>
      </c>
      <c r="V3" s="1917" t="s">
        <v>1194</v>
      </c>
      <c r="W3" s="1917" t="s">
        <v>1199</v>
      </c>
      <c r="X3" s="1917" t="s">
        <v>1330</v>
      </c>
      <c r="Y3" s="1917" t="s">
        <v>1403</v>
      </c>
      <c r="Z3" s="1919" t="s">
        <v>1126</v>
      </c>
      <c r="AA3" s="1915"/>
      <c r="AB3" s="1915"/>
    </row>
    <row r="4" spans="1:28" ht="68.25" customHeight="1">
      <c r="A4" s="1909"/>
      <c r="B4" s="1910"/>
      <c r="C4" s="1912"/>
      <c r="D4" s="1913"/>
      <c r="E4" s="1912"/>
      <c r="F4" s="1912"/>
      <c r="G4" s="1912"/>
      <c r="H4" s="1912"/>
      <c r="I4" s="1923"/>
      <c r="J4" s="1923"/>
      <c r="K4" s="1923"/>
      <c r="L4" s="1925"/>
      <c r="M4" s="1912"/>
      <c r="N4" s="1912"/>
      <c r="O4" s="1925"/>
      <c r="P4" s="1930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6"/>
      <c r="AB4" s="1916"/>
    </row>
    <row r="5" spans="1:28" s="967" customFormat="1" ht="14.25" customHeight="1">
      <c r="A5" s="964"/>
      <c r="B5" s="965"/>
      <c r="C5" s="966">
        <v>1</v>
      </c>
      <c r="D5" s="966">
        <f t="shared" ref="D5:H5" si="0">C5+1</f>
        <v>2</v>
      </c>
      <c r="E5" s="966">
        <f t="shared" si="0"/>
        <v>3</v>
      </c>
      <c r="F5" s="966">
        <f t="shared" si="0"/>
        <v>4</v>
      </c>
      <c r="G5" s="966">
        <f t="shared" si="0"/>
        <v>5</v>
      </c>
      <c r="H5" s="966">
        <f t="shared" si="0"/>
        <v>6</v>
      </c>
      <c r="I5" s="966">
        <f t="shared" ref="I5" si="1">H5+1</f>
        <v>7</v>
      </c>
      <c r="J5" s="966">
        <f t="shared" ref="J5" si="2">I5+1</f>
        <v>8</v>
      </c>
      <c r="K5" s="966">
        <f t="shared" ref="K5" si="3">J5+1</f>
        <v>9</v>
      </c>
      <c r="L5" s="966">
        <f t="shared" ref="L5" si="4">K5+1</f>
        <v>10</v>
      </c>
      <c r="M5" s="966">
        <f t="shared" ref="M5" si="5">L5+1</f>
        <v>11</v>
      </c>
      <c r="N5" s="966">
        <f t="shared" ref="N5" si="6">M5+1</f>
        <v>12</v>
      </c>
      <c r="O5" s="966">
        <f t="shared" ref="O5" si="7">N5+1</f>
        <v>13</v>
      </c>
      <c r="P5" s="966">
        <f t="shared" ref="P5" si="8">O5+1</f>
        <v>14</v>
      </c>
      <c r="Q5" s="966">
        <f t="shared" ref="Q5" si="9">P5+1</f>
        <v>15</v>
      </c>
      <c r="R5" s="966">
        <f t="shared" ref="R5" si="10">Q5+1</f>
        <v>16</v>
      </c>
      <c r="S5" s="966">
        <f t="shared" ref="S5" si="11">R5+1</f>
        <v>17</v>
      </c>
      <c r="T5" s="966">
        <f t="shared" ref="T5" si="12">S5+1</f>
        <v>18</v>
      </c>
      <c r="U5" s="966">
        <f t="shared" ref="U5" si="13">T5+1</f>
        <v>19</v>
      </c>
      <c r="V5" s="966">
        <f t="shared" ref="V5" si="14">U5+1</f>
        <v>20</v>
      </c>
      <c r="W5" s="966">
        <f t="shared" ref="W5" si="15">V5+1</f>
        <v>21</v>
      </c>
      <c r="X5" s="966">
        <f t="shared" ref="X5" si="16">W5+1</f>
        <v>22</v>
      </c>
      <c r="Y5" s="966">
        <f t="shared" ref="Y5" si="17">X5+1</f>
        <v>23</v>
      </c>
      <c r="Z5" s="966">
        <f t="shared" ref="Z5" si="18">Y5+1</f>
        <v>24</v>
      </c>
      <c r="AA5" s="966">
        <f t="shared" ref="AA5" si="19">Z5+1</f>
        <v>25</v>
      </c>
      <c r="AB5" s="966">
        <f t="shared" ref="AB5" si="20">AA5+1</f>
        <v>26</v>
      </c>
    </row>
    <row r="6" spans="1:28" s="1025" customFormat="1" ht="27" customHeight="1">
      <c r="A6" s="1021"/>
      <c r="B6" s="1022"/>
      <c r="C6" s="1023" t="s">
        <v>611</v>
      </c>
      <c r="D6" s="1024" t="s">
        <v>529</v>
      </c>
      <c r="E6" s="1024" t="s">
        <v>529</v>
      </c>
      <c r="F6" s="1024" t="s">
        <v>529</v>
      </c>
      <c r="G6" s="1024" t="s">
        <v>691</v>
      </c>
      <c r="H6" s="1024" t="s">
        <v>692</v>
      </c>
      <c r="I6" s="1395"/>
      <c r="J6" s="1395"/>
      <c r="K6" s="1395" t="s">
        <v>749</v>
      </c>
      <c r="L6" s="1395" t="s">
        <v>1215</v>
      </c>
      <c r="M6" s="1024"/>
      <c r="N6" s="1024"/>
      <c r="O6" s="1024" t="s">
        <v>1420</v>
      </c>
      <c r="P6" s="1024" t="s">
        <v>697</v>
      </c>
      <c r="Q6" s="1024" t="s">
        <v>1227</v>
      </c>
      <c r="R6" s="1024"/>
      <c r="S6" s="1024" t="s">
        <v>1228</v>
      </c>
      <c r="T6" s="1024"/>
      <c r="U6" s="1024" t="s">
        <v>1229</v>
      </c>
      <c r="V6" s="1024" t="s">
        <v>1230</v>
      </c>
      <c r="W6" s="1024" t="s">
        <v>1231</v>
      </c>
      <c r="X6" s="1024"/>
      <c r="Y6" s="1024" t="s">
        <v>1232</v>
      </c>
      <c r="Z6" s="1024" t="s">
        <v>1422</v>
      </c>
      <c r="AA6" s="1024" t="s">
        <v>1213</v>
      </c>
      <c r="AB6" s="1024" t="s">
        <v>1214</v>
      </c>
    </row>
    <row r="7" spans="1:28">
      <c r="A7" s="968">
        <v>1</v>
      </c>
      <c r="B7" s="969" t="s">
        <v>102</v>
      </c>
      <c r="C7" s="970"/>
      <c r="D7" s="971">
        <f>'Table 3 Levels 1&amp;2'!$AP$77</f>
        <v>5041.6011463398772</v>
      </c>
      <c r="E7" s="1049">
        <f>'Table 3 Levels 1&amp;2'!V8</f>
        <v>0.77039999999999997</v>
      </c>
      <c r="F7" s="1049">
        <f>'Table 3 Levels 1&amp;2'!W8</f>
        <v>0.2296</v>
      </c>
      <c r="G7" s="971">
        <f>D7*E7</f>
        <v>3884.0495231402415</v>
      </c>
      <c r="H7" s="972">
        <f>G7*C7</f>
        <v>0</v>
      </c>
      <c r="I7" s="972"/>
      <c r="J7" s="972"/>
      <c r="K7" s="972"/>
      <c r="L7" s="972">
        <f t="shared" ref="L7:L38" si="21">H7+K7</f>
        <v>0</v>
      </c>
      <c r="M7" s="972"/>
      <c r="N7" s="1213">
        <f>L7-M7</f>
        <v>0</v>
      </c>
      <c r="O7" s="1213">
        <f>ROUND(N7/2,0)</f>
        <v>0</v>
      </c>
      <c r="P7" s="971">
        <f t="shared" ref="P7:P38" si="22">F7*D7</f>
        <v>1157.5516231996357</v>
      </c>
      <c r="Q7" s="1053">
        <f t="shared" ref="Q7:Q38" si="23">P7*C7</f>
        <v>0</v>
      </c>
      <c r="R7" s="1509"/>
      <c r="S7" s="1414"/>
      <c r="T7" s="1509"/>
      <c r="U7" s="1414"/>
      <c r="V7" s="1414">
        <f>S7+U7</f>
        <v>0</v>
      </c>
      <c r="W7" s="1414">
        <f>Q7+V7</f>
        <v>0</v>
      </c>
      <c r="X7" s="1414"/>
      <c r="Y7" s="1414">
        <f>W7-X7</f>
        <v>0</v>
      </c>
      <c r="Z7" s="1414">
        <f>ROUND(Y7/2,0)</f>
        <v>0</v>
      </c>
      <c r="AA7" s="1061">
        <f>L7+W7</f>
        <v>0</v>
      </c>
      <c r="AB7" s="1519">
        <f t="shared" ref="AB7:AB38" si="24">O7+Z7</f>
        <v>0</v>
      </c>
    </row>
    <row r="8" spans="1:28">
      <c r="A8" s="975">
        <v>2</v>
      </c>
      <c r="B8" s="976" t="s">
        <v>103</v>
      </c>
      <c r="C8" s="977"/>
      <c r="D8" s="978">
        <f>'Table 3 Levels 1&amp;2'!$AP$77</f>
        <v>5041.6011463398772</v>
      </c>
      <c r="E8" s="1050">
        <f>'Table 3 Levels 1&amp;2'!V9</f>
        <v>0.85099999999999998</v>
      </c>
      <c r="F8" s="1050">
        <f>'Table 3 Levels 1&amp;2'!W9</f>
        <v>0.14899999999999999</v>
      </c>
      <c r="G8" s="978">
        <f t="shared" ref="G8:G71" si="25">D8*E8</f>
        <v>4290.402575535235</v>
      </c>
      <c r="H8" s="1030">
        <f t="shared" ref="H8:H71" si="26">G8*C8</f>
        <v>0</v>
      </c>
      <c r="I8" s="1426"/>
      <c r="J8" s="1426"/>
      <c r="K8" s="1426"/>
      <c r="L8" s="1396">
        <f t="shared" si="21"/>
        <v>0</v>
      </c>
      <c r="M8" s="1030"/>
      <c r="N8" s="1434">
        <f t="shared" ref="N8:N71" si="27">L8-M8</f>
        <v>0</v>
      </c>
      <c r="O8" s="1434">
        <f t="shared" ref="O8:O71" si="28">ROUND(N8/2,0)</f>
        <v>0</v>
      </c>
      <c r="P8" s="978">
        <f t="shared" si="22"/>
        <v>751.19857080464169</v>
      </c>
      <c r="Q8" s="1054">
        <f t="shared" si="23"/>
        <v>0</v>
      </c>
      <c r="R8" s="1510"/>
      <c r="S8" s="1415"/>
      <c r="T8" s="1510"/>
      <c r="U8" s="1415"/>
      <c r="V8" s="1415">
        <f t="shared" ref="V8:V71" si="29">S8+U8</f>
        <v>0</v>
      </c>
      <c r="W8" s="1415">
        <f>Q8+V8</f>
        <v>0</v>
      </c>
      <c r="X8" s="1415"/>
      <c r="Y8" s="1415">
        <f t="shared" ref="Y8:Y71" si="30">W8-X8</f>
        <v>0</v>
      </c>
      <c r="Z8" s="1415">
        <f t="shared" ref="Z8:Z71" si="31">ROUND(Y8/2,0)</f>
        <v>0</v>
      </c>
      <c r="AA8" s="1062">
        <f t="shared" ref="AA8:AA71" si="32">L8+W8</f>
        <v>0</v>
      </c>
      <c r="AB8" s="1520">
        <f t="shared" si="24"/>
        <v>0</v>
      </c>
    </row>
    <row r="9" spans="1:28" ht="12.75" customHeight="1">
      <c r="A9" s="975">
        <v>3</v>
      </c>
      <c r="B9" s="976" t="s">
        <v>104</v>
      </c>
      <c r="C9" s="977"/>
      <c r="D9" s="978">
        <f>'Table 3 Levels 1&amp;2'!$AP$77</f>
        <v>5041.6011463398772</v>
      </c>
      <c r="E9" s="1050">
        <f>'Table 3 Levels 1&amp;2'!V10</f>
        <v>0.67800000000000005</v>
      </c>
      <c r="F9" s="1050">
        <f>'Table 3 Levels 1&amp;2'!W10</f>
        <v>0.32200000000000001</v>
      </c>
      <c r="G9" s="978">
        <f t="shared" si="25"/>
        <v>3418.2055772184372</v>
      </c>
      <c r="H9" s="1030">
        <f t="shared" si="26"/>
        <v>0</v>
      </c>
      <c r="I9" s="1426"/>
      <c r="J9" s="1426"/>
      <c r="K9" s="1426"/>
      <c r="L9" s="1396">
        <f t="shared" si="21"/>
        <v>0</v>
      </c>
      <c r="M9" s="1030"/>
      <c r="N9" s="1434">
        <f t="shared" si="27"/>
        <v>0</v>
      </c>
      <c r="O9" s="1434">
        <f t="shared" si="28"/>
        <v>0</v>
      </c>
      <c r="P9" s="978">
        <f t="shared" si="22"/>
        <v>1623.3955691214405</v>
      </c>
      <c r="Q9" s="1054">
        <f t="shared" si="23"/>
        <v>0</v>
      </c>
      <c r="R9" s="1510"/>
      <c r="S9" s="1415"/>
      <c r="T9" s="1510"/>
      <c r="U9" s="1415"/>
      <c r="V9" s="1415">
        <f t="shared" si="29"/>
        <v>0</v>
      </c>
      <c r="W9" s="1415">
        <f t="shared" ref="W9:W71" si="33">Q9+V9</f>
        <v>0</v>
      </c>
      <c r="X9" s="1415"/>
      <c r="Y9" s="1415">
        <f t="shared" si="30"/>
        <v>0</v>
      </c>
      <c r="Z9" s="1415">
        <f t="shared" si="31"/>
        <v>0</v>
      </c>
      <c r="AA9" s="1062">
        <f t="shared" si="32"/>
        <v>0</v>
      </c>
      <c r="AB9" s="1520">
        <f t="shared" si="24"/>
        <v>0</v>
      </c>
    </row>
    <row r="10" spans="1:28" ht="12.75" customHeight="1">
      <c r="A10" s="975">
        <v>4</v>
      </c>
      <c r="B10" s="976" t="s">
        <v>105</v>
      </c>
      <c r="C10" s="977"/>
      <c r="D10" s="978">
        <f>'Table 3 Levels 1&amp;2'!$AP$77</f>
        <v>5041.6011463398772</v>
      </c>
      <c r="E10" s="1050">
        <f>'Table 3 Levels 1&amp;2'!V11</f>
        <v>0.79959999999999998</v>
      </c>
      <c r="F10" s="1050">
        <f>'Table 3 Levels 1&amp;2'!W11</f>
        <v>0.20039999999999999</v>
      </c>
      <c r="G10" s="978">
        <f t="shared" si="25"/>
        <v>4031.2642766133658</v>
      </c>
      <c r="H10" s="1030">
        <f t="shared" si="26"/>
        <v>0</v>
      </c>
      <c r="I10" s="1426"/>
      <c r="J10" s="1426"/>
      <c r="K10" s="1426"/>
      <c r="L10" s="1396">
        <f t="shared" si="21"/>
        <v>0</v>
      </c>
      <c r="M10" s="1030"/>
      <c r="N10" s="1434">
        <f t="shared" si="27"/>
        <v>0</v>
      </c>
      <c r="O10" s="1434">
        <f t="shared" si="28"/>
        <v>0</v>
      </c>
      <c r="P10" s="978">
        <f t="shared" si="22"/>
        <v>1010.3368697265114</v>
      </c>
      <c r="Q10" s="1054">
        <f t="shared" si="23"/>
        <v>0</v>
      </c>
      <c r="R10" s="1510"/>
      <c r="S10" s="1415"/>
      <c r="T10" s="1510"/>
      <c r="U10" s="1415"/>
      <c r="V10" s="1415">
        <f t="shared" si="29"/>
        <v>0</v>
      </c>
      <c r="W10" s="1415">
        <f t="shared" si="33"/>
        <v>0</v>
      </c>
      <c r="X10" s="1415"/>
      <c r="Y10" s="1415">
        <f t="shared" si="30"/>
        <v>0</v>
      </c>
      <c r="Z10" s="1415">
        <f t="shared" si="31"/>
        <v>0</v>
      </c>
      <c r="AA10" s="1062">
        <f t="shared" si="32"/>
        <v>0</v>
      </c>
      <c r="AB10" s="1520">
        <f t="shared" si="24"/>
        <v>0</v>
      </c>
    </row>
    <row r="11" spans="1:28">
      <c r="A11" s="979">
        <v>5</v>
      </c>
      <c r="B11" s="980" t="s">
        <v>106</v>
      </c>
      <c r="C11" s="981"/>
      <c r="D11" s="982">
        <f>'Table 3 Levels 1&amp;2'!$AP$77</f>
        <v>5041.6011463398772</v>
      </c>
      <c r="E11" s="1051">
        <f>'Table 3 Levels 1&amp;2'!V12</f>
        <v>0.82699999999999996</v>
      </c>
      <c r="F11" s="1051">
        <f>'Table 3 Levels 1&amp;2'!W12</f>
        <v>0.17299999999999999</v>
      </c>
      <c r="G11" s="982">
        <f t="shared" si="25"/>
        <v>4169.4041480230781</v>
      </c>
      <c r="H11" s="1033">
        <f t="shared" si="26"/>
        <v>0</v>
      </c>
      <c r="I11" s="1427"/>
      <c r="J11" s="1427"/>
      <c r="K11" s="1427"/>
      <c r="L11" s="1397">
        <f t="shared" si="21"/>
        <v>0</v>
      </c>
      <c r="M11" s="1033"/>
      <c r="N11" s="1435">
        <f t="shared" si="27"/>
        <v>0</v>
      </c>
      <c r="O11" s="1435">
        <f t="shared" si="28"/>
        <v>0</v>
      </c>
      <c r="P11" s="982">
        <f t="shared" si="22"/>
        <v>872.19699831679873</v>
      </c>
      <c r="Q11" s="1055">
        <f t="shared" si="23"/>
        <v>0</v>
      </c>
      <c r="R11" s="1511"/>
      <c r="S11" s="1416"/>
      <c r="T11" s="1511"/>
      <c r="U11" s="1416"/>
      <c r="V11" s="1416">
        <f t="shared" si="29"/>
        <v>0</v>
      </c>
      <c r="W11" s="1416">
        <f t="shared" si="33"/>
        <v>0</v>
      </c>
      <c r="X11" s="1416"/>
      <c r="Y11" s="1416">
        <f t="shared" si="30"/>
        <v>0</v>
      </c>
      <c r="Z11" s="1416">
        <f t="shared" si="31"/>
        <v>0</v>
      </c>
      <c r="AA11" s="1063">
        <f t="shared" si="32"/>
        <v>0</v>
      </c>
      <c r="AB11" s="1521">
        <f t="shared" si="24"/>
        <v>0</v>
      </c>
    </row>
    <row r="12" spans="1:28" ht="12.75" customHeight="1">
      <c r="A12" s="968">
        <v>6</v>
      </c>
      <c r="B12" s="969" t="s">
        <v>107</v>
      </c>
      <c r="C12" s="970"/>
      <c r="D12" s="971">
        <f>'Table 3 Levels 1&amp;2'!$AP$77</f>
        <v>5041.6011463398772</v>
      </c>
      <c r="E12" s="1049">
        <f>'Table 3 Levels 1&amp;2'!V13</f>
        <v>0.77800000000000002</v>
      </c>
      <c r="F12" s="1049">
        <f>'Table 3 Levels 1&amp;2'!W13</f>
        <v>0.222</v>
      </c>
      <c r="G12" s="971">
        <f t="shared" si="25"/>
        <v>3922.3656918524248</v>
      </c>
      <c r="H12" s="972">
        <f t="shared" si="26"/>
        <v>0</v>
      </c>
      <c r="I12" s="1213"/>
      <c r="J12" s="1213"/>
      <c r="K12" s="1213"/>
      <c r="L12" s="972">
        <f t="shared" si="21"/>
        <v>0</v>
      </c>
      <c r="M12" s="972"/>
      <c r="N12" s="1213">
        <f t="shared" si="27"/>
        <v>0</v>
      </c>
      <c r="O12" s="1213">
        <f t="shared" si="28"/>
        <v>0</v>
      </c>
      <c r="P12" s="971">
        <f t="shared" si="22"/>
        <v>1119.2354544874527</v>
      </c>
      <c r="Q12" s="1053">
        <f t="shared" si="23"/>
        <v>0</v>
      </c>
      <c r="R12" s="1509"/>
      <c r="S12" s="1414"/>
      <c r="T12" s="1509"/>
      <c r="U12" s="1414"/>
      <c r="V12" s="1414">
        <f t="shared" si="29"/>
        <v>0</v>
      </c>
      <c r="W12" s="1414">
        <f t="shared" si="33"/>
        <v>0</v>
      </c>
      <c r="X12" s="1414"/>
      <c r="Y12" s="1414">
        <f t="shared" si="30"/>
        <v>0</v>
      </c>
      <c r="Z12" s="1414">
        <f t="shared" si="31"/>
        <v>0</v>
      </c>
      <c r="AA12" s="1061">
        <f t="shared" si="32"/>
        <v>0</v>
      </c>
      <c r="AB12" s="1519">
        <f t="shared" si="24"/>
        <v>0</v>
      </c>
    </row>
    <row r="13" spans="1:28">
      <c r="A13" s="975">
        <v>7</v>
      </c>
      <c r="B13" s="976" t="s">
        <v>108</v>
      </c>
      <c r="C13" s="977"/>
      <c r="D13" s="978">
        <f>'Table 3 Levels 1&amp;2'!$AP$77</f>
        <v>5041.6011463398772</v>
      </c>
      <c r="E13" s="1050">
        <f>'Table 3 Levels 1&amp;2'!V14</f>
        <v>0.25</v>
      </c>
      <c r="F13" s="1050">
        <f>'Table 3 Levels 1&amp;2'!W14</f>
        <v>0.75</v>
      </c>
      <c r="G13" s="978">
        <f t="shared" si="25"/>
        <v>1260.4002865849693</v>
      </c>
      <c r="H13" s="1030">
        <f t="shared" si="26"/>
        <v>0</v>
      </c>
      <c r="I13" s="1426"/>
      <c r="J13" s="1426"/>
      <c r="K13" s="1426"/>
      <c r="L13" s="1396">
        <f t="shared" si="21"/>
        <v>0</v>
      </c>
      <c r="M13" s="1030"/>
      <c r="N13" s="1434">
        <f t="shared" si="27"/>
        <v>0</v>
      </c>
      <c r="O13" s="1434">
        <f t="shared" si="28"/>
        <v>0</v>
      </c>
      <c r="P13" s="978">
        <f t="shared" si="22"/>
        <v>3781.2008597549079</v>
      </c>
      <c r="Q13" s="1054">
        <f t="shared" si="23"/>
        <v>0</v>
      </c>
      <c r="R13" s="1510"/>
      <c r="S13" s="1415"/>
      <c r="T13" s="1510"/>
      <c r="U13" s="1415"/>
      <c r="V13" s="1415">
        <f t="shared" si="29"/>
        <v>0</v>
      </c>
      <c r="W13" s="1415">
        <f t="shared" si="33"/>
        <v>0</v>
      </c>
      <c r="X13" s="1415"/>
      <c r="Y13" s="1415">
        <f t="shared" si="30"/>
        <v>0</v>
      </c>
      <c r="Z13" s="1415">
        <f t="shared" si="31"/>
        <v>0</v>
      </c>
      <c r="AA13" s="1062">
        <f t="shared" si="32"/>
        <v>0</v>
      </c>
      <c r="AB13" s="1520">
        <f t="shared" si="24"/>
        <v>0</v>
      </c>
    </row>
    <row r="14" spans="1:28">
      <c r="A14" s="975">
        <v>8</v>
      </c>
      <c r="B14" s="976" t="s">
        <v>109</v>
      </c>
      <c r="C14" s="977"/>
      <c r="D14" s="978">
        <f>'Table 3 Levels 1&amp;2'!$AP$77</f>
        <v>5041.6011463398772</v>
      </c>
      <c r="E14" s="1050">
        <f>'Table 3 Levels 1&amp;2'!V15</f>
        <v>0.64159999999999995</v>
      </c>
      <c r="F14" s="1050">
        <f>'Table 3 Levels 1&amp;2'!W15</f>
        <v>0.3584</v>
      </c>
      <c r="G14" s="978">
        <f t="shared" si="25"/>
        <v>3234.6912954916652</v>
      </c>
      <c r="H14" s="1030">
        <f t="shared" si="26"/>
        <v>0</v>
      </c>
      <c r="I14" s="1426"/>
      <c r="J14" s="1426"/>
      <c r="K14" s="1426"/>
      <c r="L14" s="1396">
        <f t="shared" si="21"/>
        <v>0</v>
      </c>
      <c r="M14" s="1030"/>
      <c r="N14" s="1434">
        <f t="shared" si="27"/>
        <v>0</v>
      </c>
      <c r="O14" s="1434">
        <f t="shared" si="28"/>
        <v>0</v>
      </c>
      <c r="P14" s="978">
        <f t="shared" si="22"/>
        <v>1806.909850848212</v>
      </c>
      <c r="Q14" s="1054">
        <f t="shared" si="23"/>
        <v>0</v>
      </c>
      <c r="R14" s="1510"/>
      <c r="S14" s="1415"/>
      <c r="T14" s="1510"/>
      <c r="U14" s="1415"/>
      <c r="V14" s="1415">
        <f t="shared" si="29"/>
        <v>0</v>
      </c>
      <c r="W14" s="1415">
        <f t="shared" si="33"/>
        <v>0</v>
      </c>
      <c r="X14" s="1415"/>
      <c r="Y14" s="1415">
        <f t="shared" si="30"/>
        <v>0</v>
      </c>
      <c r="Z14" s="1415">
        <f t="shared" si="31"/>
        <v>0</v>
      </c>
      <c r="AA14" s="1062">
        <f t="shared" si="32"/>
        <v>0</v>
      </c>
      <c r="AB14" s="1520">
        <f t="shared" si="24"/>
        <v>0</v>
      </c>
    </row>
    <row r="15" spans="1:28">
      <c r="A15" s="975">
        <v>9</v>
      </c>
      <c r="B15" s="976" t="s">
        <v>110</v>
      </c>
      <c r="C15" s="977"/>
      <c r="D15" s="978">
        <f>'Table 3 Levels 1&amp;2'!$AP$77</f>
        <v>5041.6011463398772</v>
      </c>
      <c r="E15" s="1050">
        <f>'Table 3 Levels 1&amp;2'!V16</f>
        <v>0.66069999999999995</v>
      </c>
      <c r="F15" s="1050">
        <f>'Table 3 Levels 1&amp;2'!W16</f>
        <v>0.33929999999999999</v>
      </c>
      <c r="G15" s="978">
        <f t="shared" si="25"/>
        <v>3330.9858773867568</v>
      </c>
      <c r="H15" s="1030">
        <f t="shared" si="26"/>
        <v>0</v>
      </c>
      <c r="I15" s="1426"/>
      <c r="J15" s="1426"/>
      <c r="K15" s="1426"/>
      <c r="L15" s="1396">
        <f t="shared" si="21"/>
        <v>0</v>
      </c>
      <c r="M15" s="1030"/>
      <c r="N15" s="1434">
        <f t="shared" si="27"/>
        <v>0</v>
      </c>
      <c r="O15" s="1434">
        <f t="shared" si="28"/>
        <v>0</v>
      </c>
      <c r="P15" s="978">
        <f t="shared" si="22"/>
        <v>1710.6152689531202</v>
      </c>
      <c r="Q15" s="1054">
        <f t="shared" si="23"/>
        <v>0</v>
      </c>
      <c r="R15" s="1510"/>
      <c r="S15" s="1415"/>
      <c r="T15" s="1510"/>
      <c r="U15" s="1415"/>
      <c r="V15" s="1415">
        <f t="shared" si="29"/>
        <v>0</v>
      </c>
      <c r="W15" s="1415">
        <f t="shared" si="33"/>
        <v>0</v>
      </c>
      <c r="X15" s="1415"/>
      <c r="Y15" s="1415">
        <f t="shared" si="30"/>
        <v>0</v>
      </c>
      <c r="Z15" s="1415">
        <f t="shared" si="31"/>
        <v>0</v>
      </c>
      <c r="AA15" s="1062">
        <f t="shared" si="32"/>
        <v>0</v>
      </c>
      <c r="AB15" s="1520">
        <f t="shared" si="24"/>
        <v>0</v>
      </c>
    </row>
    <row r="16" spans="1:28">
      <c r="A16" s="979">
        <v>10</v>
      </c>
      <c r="B16" s="980" t="s">
        <v>111</v>
      </c>
      <c r="C16" s="981"/>
      <c r="D16" s="982">
        <f>'Table 3 Levels 1&amp;2'!$AP$77</f>
        <v>5041.6011463398772</v>
      </c>
      <c r="E16" s="1051">
        <f>'Table 3 Levels 1&amp;2'!V17</f>
        <v>0.63980000000000004</v>
      </c>
      <c r="F16" s="1051">
        <f>'Table 3 Levels 1&amp;2'!W17</f>
        <v>0.36020000000000002</v>
      </c>
      <c r="G16" s="982">
        <f t="shared" si="25"/>
        <v>3225.6164134282535</v>
      </c>
      <c r="H16" s="1033">
        <f t="shared" si="26"/>
        <v>0</v>
      </c>
      <c r="I16" s="1427"/>
      <c r="J16" s="1427"/>
      <c r="K16" s="1427"/>
      <c r="L16" s="1397">
        <f t="shared" si="21"/>
        <v>0</v>
      </c>
      <c r="M16" s="1033"/>
      <c r="N16" s="1435">
        <f t="shared" si="27"/>
        <v>0</v>
      </c>
      <c r="O16" s="1435">
        <f t="shared" si="28"/>
        <v>0</v>
      </c>
      <c r="P16" s="982">
        <f t="shared" si="22"/>
        <v>1815.984732911624</v>
      </c>
      <c r="Q16" s="1055">
        <f t="shared" si="23"/>
        <v>0</v>
      </c>
      <c r="R16" s="1511"/>
      <c r="S16" s="1416"/>
      <c r="T16" s="1511"/>
      <c r="U16" s="1416"/>
      <c r="V16" s="1416">
        <f t="shared" si="29"/>
        <v>0</v>
      </c>
      <c r="W16" s="1416">
        <f t="shared" si="33"/>
        <v>0</v>
      </c>
      <c r="X16" s="1416"/>
      <c r="Y16" s="1416">
        <f t="shared" si="30"/>
        <v>0</v>
      </c>
      <c r="Z16" s="1416">
        <f t="shared" si="31"/>
        <v>0</v>
      </c>
      <c r="AA16" s="1063">
        <f t="shared" si="32"/>
        <v>0</v>
      </c>
      <c r="AB16" s="1521">
        <f t="shared" si="24"/>
        <v>0</v>
      </c>
    </row>
    <row r="17" spans="1:28">
      <c r="A17" s="968">
        <v>11</v>
      </c>
      <c r="B17" s="969" t="s">
        <v>112</v>
      </c>
      <c r="C17" s="970"/>
      <c r="D17" s="971">
        <f>'Table 3 Levels 1&amp;2'!$AP$77</f>
        <v>5041.6011463398772</v>
      </c>
      <c r="E17" s="1049">
        <f>'Table 3 Levels 1&amp;2'!V18</f>
        <v>0.82399999999999995</v>
      </c>
      <c r="F17" s="1049">
        <f>'Table 3 Levels 1&amp;2'!W18</f>
        <v>0.17599999999999999</v>
      </c>
      <c r="G17" s="971">
        <f t="shared" si="25"/>
        <v>4154.2793445840589</v>
      </c>
      <c r="H17" s="972">
        <f t="shared" si="26"/>
        <v>0</v>
      </c>
      <c r="I17" s="1213"/>
      <c r="J17" s="1213"/>
      <c r="K17" s="1213"/>
      <c r="L17" s="972">
        <f t="shared" si="21"/>
        <v>0</v>
      </c>
      <c r="M17" s="972"/>
      <c r="N17" s="1213">
        <f t="shared" si="27"/>
        <v>0</v>
      </c>
      <c r="O17" s="1213">
        <f t="shared" si="28"/>
        <v>0</v>
      </c>
      <c r="P17" s="971">
        <f t="shared" si="22"/>
        <v>887.32180175581834</v>
      </c>
      <c r="Q17" s="1053">
        <f t="shared" si="23"/>
        <v>0</v>
      </c>
      <c r="R17" s="1509"/>
      <c r="S17" s="1414"/>
      <c r="T17" s="1509"/>
      <c r="U17" s="1414"/>
      <c r="V17" s="1414">
        <f t="shared" si="29"/>
        <v>0</v>
      </c>
      <c r="W17" s="1414">
        <f t="shared" si="33"/>
        <v>0</v>
      </c>
      <c r="X17" s="1414"/>
      <c r="Y17" s="1414">
        <f t="shared" si="30"/>
        <v>0</v>
      </c>
      <c r="Z17" s="1414">
        <f t="shared" si="31"/>
        <v>0</v>
      </c>
      <c r="AA17" s="1061">
        <f t="shared" si="32"/>
        <v>0</v>
      </c>
      <c r="AB17" s="1519">
        <f t="shared" si="24"/>
        <v>0</v>
      </c>
    </row>
    <row r="18" spans="1:28">
      <c r="A18" s="975">
        <v>12</v>
      </c>
      <c r="B18" s="976" t="s">
        <v>113</v>
      </c>
      <c r="C18" s="977"/>
      <c r="D18" s="978">
        <f>'Table 3 Levels 1&amp;2'!$AP$77</f>
        <v>5041.6011463398772</v>
      </c>
      <c r="E18" s="1050">
        <f>'Table 3 Levels 1&amp;2'!V19</f>
        <v>0.28299999999999997</v>
      </c>
      <c r="F18" s="1050">
        <f>'Table 3 Levels 1&amp;2'!W19</f>
        <v>0.71699999999999997</v>
      </c>
      <c r="G18" s="978">
        <f t="shared" si="25"/>
        <v>1426.7731244141851</v>
      </c>
      <c r="H18" s="1030">
        <f t="shared" si="26"/>
        <v>0</v>
      </c>
      <c r="I18" s="1426"/>
      <c r="J18" s="1426"/>
      <c r="K18" s="1426"/>
      <c r="L18" s="1396">
        <f t="shared" si="21"/>
        <v>0</v>
      </c>
      <c r="M18" s="1030"/>
      <c r="N18" s="1434">
        <f t="shared" si="27"/>
        <v>0</v>
      </c>
      <c r="O18" s="1434">
        <f t="shared" si="28"/>
        <v>0</v>
      </c>
      <c r="P18" s="978">
        <f t="shared" si="22"/>
        <v>3614.8280219256917</v>
      </c>
      <c r="Q18" s="1054">
        <f t="shared" si="23"/>
        <v>0</v>
      </c>
      <c r="R18" s="1510"/>
      <c r="S18" s="1415"/>
      <c r="T18" s="1510"/>
      <c r="U18" s="1415"/>
      <c r="V18" s="1415">
        <f t="shared" si="29"/>
        <v>0</v>
      </c>
      <c r="W18" s="1415">
        <f t="shared" si="33"/>
        <v>0</v>
      </c>
      <c r="X18" s="1415"/>
      <c r="Y18" s="1415">
        <f t="shared" si="30"/>
        <v>0</v>
      </c>
      <c r="Z18" s="1415">
        <f t="shared" si="31"/>
        <v>0</v>
      </c>
      <c r="AA18" s="1062">
        <f t="shared" si="32"/>
        <v>0</v>
      </c>
      <c r="AB18" s="1520">
        <f t="shared" si="24"/>
        <v>0</v>
      </c>
    </row>
    <row r="19" spans="1:28">
      <c r="A19" s="975">
        <v>13</v>
      </c>
      <c r="B19" s="976" t="s">
        <v>114</v>
      </c>
      <c r="C19" s="977"/>
      <c r="D19" s="978">
        <f>'Table 3 Levels 1&amp;2'!$AP$77</f>
        <v>5041.6011463398772</v>
      </c>
      <c r="E19" s="1050">
        <f>'Table 3 Levels 1&amp;2'!V20</f>
        <v>0.83599999999999997</v>
      </c>
      <c r="F19" s="1050">
        <f>'Table 3 Levels 1&amp;2'!W20</f>
        <v>0.16400000000000001</v>
      </c>
      <c r="G19" s="978">
        <f t="shared" si="25"/>
        <v>4214.7785583401374</v>
      </c>
      <c r="H19" s="1030">
        <f t="shared" si="26"/>
        <v>0</v>
      </c>
      <c r="I19" s="1426"/>
      <c r="J19" s="1426"/>
      <c r="K19" s="1426"/>
      <c r="L19" s="1396">
        <f t="shared" si="21"/>
        <v>0</v>
      </c>
      <c r="M19" s="1030"/>
      <c r="N19" s="1434">
        <f t="shared" si="27"/>
        <v>0</v>
      </c>
      <c r="O19" s="1434">
        <f t="shared" si="28"/>
        <v>0</v>
      </c>
      <c r="P19" s="978">
        <f t="shared" si="22"/>
        <v>826.82258799973988</v>
      </c>
      <c r="Q19" s="1054">
        <f t="shared" si="23"/>
        <v>0</v>
      </c>
      <c r="R19" s="1510"/>
      <c r="S19" s="1415"/>
      <c r="T19" s="1510"/>
      <c r="U19" s="1415"/>
      <c r="V19" s="1415">
        <f t="shared" si="29"/>
        <v>0</v>
      </c>
      <c r="W19" s="1415">
        <f t="shared" si="33"/>
        <v>0</v>
      </c>
      <c r="X19" s="1415"/>
      <c r="Y19" s="1415">
        <f t="shared" si="30"/>
        <v>0</v>
      </c>
      <c r="Z19" s="1415">
        <f t="shared" si="31"/>
        <v>0</v>
      </c>
      <c r="AA19" s="1062">
        <f t="shared" si="32"/>
        <v>0</v>
      </c>
      <c r="AB19" s="1520">
        <f t="shared" si="24"/>
        <v>0</v>
      </c>
    </row>
    <row r="20" spans="1:28" ht="12.75" customHeight="1">
      <c r="A20" s="975">
        <v>14</v>
      </c>
      <c r="B20" s="976" t="s">
        <v>115</v>
      </c>
      <c r="C20" s="977"/>
      <c r="D20" s="978">
        <f>'Table 3 Levels 1&amp;2'!$AP$77</f>
        <v>5041.6011463398772</v>
      </c>
      <c r="E20" s="1050">
        <f>'Table 3 Levels 1&amp;2'!V21</f>
        <v>0.69799999999999995</v>
      </c>
      <c r="F20" s="1050">
        <f>'Table 3 Levels 1&amp;2'!W21</f>
        <v>0.30199999999999999</v>
      </c>
      <c r="G20" s="978">
        <f t="shared" si="25"/>
        <v>3519.0376001452341</v>
      </c>
      <c r="H20" s="1030">
        <f t="shared" si="26"/>
        <v>0</v>
      </c>
      <c r="I20" s="1426"/>
      <c r="J20" s="1426"/>
      <c r="K20" s="1426"/>
      <c r="L20" s="1396">
        <f t="shared" si="21"/>
        <v>0</v>
      </c>
      <c r="M20" s="1030"/>
      <c r="N20" s="1434">
        <f t="shared" si="27"/>
        <v>0</v>
      </c>
      <c r="O20" s="1434">
        <f t="shared" si="28"/>
        <v>0</v>
      </c>
      <c r="P20" s="978">
        <f t="shared" si="22"/>
        <v>1522.5635461946429</v>
      </c>
      <c r="Q20" s="1054">
        <f t="shared" si="23"/>
        <v>0</v>
      </c>
      <c r="R20" s="1510"/>
      <c r="S20" s="1415"/>
      <c r="T20" s="1510"/>
      <c r="U20" s="1415"/>
      <c r="V20" s="1415">
        <f t="shared" si="29"/>
        <v>0</v>
      </c>
      <c r="W20" s="1415">
        <f t="shared" si="33"/>
        <v>0</v>
      </c>
      <c r="X20" s="1415"/>
      <c r="Y20" s="1415">
        <f t="shared" si="30"/>
        <v>0</v>
      </c>
      <c r="Z20" s="1415">
        <f t="shared" si="31"/>
        <v>0</v>
      </c>
      <c r="AA20" s="1062">
        <f t="shared" si="32"/>
        <v>0</v>
      </c>
      <c r="AB20" s="1520">
        <f t="shared" si="24"/>
        <v>0</v>
      </c>
    </row>
    <row r="21" spans="1:28">
      <c r="A21" s="979">
        <v>15</v>
      </c>
      <c r="B21" s="980" t="s">
        <v>116</v>
      </c>
      <c r="C21" s="981"/>
      <c r="D21" s="982">
        <f>'Table 3 Levels 1&amp;2'!$AP$77</f>
        <v>5041.6011463398772</v>
      </c>
      <c r="E21" s="1051">
        <f>'Table 3 Levels 1&amp;2'!V22</f>
        <v>0.78559999999999997</v>
      </c>
      <c r="F21" s="1051">
        <f>'Table 3 Levels 1&amp;2'!W22</f>
        <v>0.21440000000000001</v>
      </c>
      <c r="G21" s="982">
        <f t="shared" si="25"/>
        <v>3960.6818605646072</v>
      </c>
      <c r="H21" s="1033">
        <f t="shared" si="26"/>
        <v>0</v>
      </c>
      <c r="I21" s="1427"/>
      <c r="J21" s="1427"/>
      <c r="K21" s="1427"/>
      <c r="L21" s="1397">
        <f t="shared" si="21"/>
        <v>0</v>
      </c>
      <c r="M21" s="1033"/>
      <c r="N21" s="1435">
        <f t="shared" si="27"/>
        <v>0</v>
      </c>
      <c r="O21" s="1435">
        <f t="shared" si="28"/>
        <v>0</v>
      </c>
      <c r="P21" s="982">
        <f t="shared" si="22"/>
        <v>1080.9192857752698</v>
      </c>
      <c r="Q21" s="1055">
        <f t="shared" si="23"/>
        <v>0</v>
      </c>
      <c r="R21" s="1511"/>
      <c r="S21" s="1416"/>
      <c r="T21" s="1511"/>
      <c r="U21" s="1416"/>
      <c r="V21" s="1416">
        <f t="shared" si="29"/>
        <v>0</v>
      </c>
      <c r="W21" s="1416">
        <f t="shared" si="33"/>
        <v>0</v>
      </c>
      <c r="X21" s="1416"/>
      <c r="Y21" s="1416">
        <f t="shared" si="30"/>
        <v>0</v>
      </c>
      <c r="Z21" s="1416">
        <f t="shared" si="31"/>
        <v>0</v>
      </c>
      <c r="AA21" s="1063">
        <f t="shared" si="32"/>
        <v>0</v>
      </c>
      <c r="AB21" s="1521">
        <f t="shared" si="24"/>
        <v>0</v>
      </c>
    </row>
    <row r="22" spans="1:28">
      <c r="A22" s="968">
        <v>16</v>
      </c>
      <c r="B22" s="969" t="s">
        <v>117</v>
      </c>
      <c r="C22" s="970"/>
      <c r="D22" s="971">
        <f>'Table 3 Levels 1&amp;2'!$AP$77</f>
        <v>5041.6011463398772</v>
      </c>
      <c r="E22" s="1049">
        <f>'Table 3 Levels 1&amp;2'!V23</f>
        <v>0.25</v>
      </c>
      <c r="F22" s="1049">
        <f>'Table 3 Levels 1&amp;2'!W23</f>
        <v>0.75</v>
      </c>
      <c r="G22" s="971">
        <f t="shared" si="25"/>
        <v>1260.4002865849693</v>
      </c>
      <c r="H22" s="972">
        <f t="shared" si="26"/>
        <v>0</v>
      </c>
      <c r="I22" s="1213"/>
      <c r="J22" s="1213"/>
      <c r="K22" s="1213"/>
      <c r="L22" s="972">
        <f t="shared" si="21"/>
        <v>0</v>
      </c>
      <c r="M22" s="972"/>
      <c r="N22" s="1213">
        <f t="shared" si="27"/>
        <v>0</v>
      </c>
      <c r="O22" s="1213">
        <f t="shared" si="28"/>
        <v>0</v>
      </c>
      <c r="P22" s="971">
        <f t="shared" si="22"/>
        <v>3781.2008597549079</v>
      </c>
      <c r="Q22" s="1053">
        <f t="shared" si="23"/>
        <v>0</v>
      </c>
      <c r="R22" s="1509"/>
      <c r="S22" s="1414"/>
      <c r="T22" s="1509"/>
      <c r="U22" s="1414"/>
      <c r="V22" s="1414">
        <f t="shared" si="29"/>
        <v>0</v>
      </c>
      <c r="W22" s="1414">
        <f t="shared" si="33"/>
        <v>0</v>
      </c>
      <c r="X22" s="1414"/>
      <c r="Y22" s="1414">
        <f t="shared" si="30"/>
        <v>0</v>
      </c>
      <c r="Z22" s="1414">
        <f t="shared" si="31"/>
        <v>0</v>
      </c>
      <c r="AA22" s="1061">
        <f t="shared" si="32"/>
        <v>0</v>
      </c>
      <c r="AB22" s="1519">
        <f t="shared" si="24"/>
        <v>0</v>
      </c>
    </row>
    <row r="23" spans="1:28">
      <c r="A23" s="975">
        <v>17</v>
      </c>
      <c r="B23" s="976" t="s">
        <v>118</v>
      </c>
      <c r="C23" s="977"/>
      <c r="D23" s="978">
        <f>'Table 3 Levels 1&amp;2'!$AP$77</f>
        <v>5041.6011463398772</v>
      </c>
      <c r="E23" s="1050">
        <f>'Table 3 Levels 1&amp;2'!V24</f>
        <v>0.49280000000000002</v>
      </c>
      <c r="F23" s="1050">
        <f>'Table 3 Levels 1&amp;2'!W24</f>
        <v>0.50719999999999998</v>
      </c>
      <c r="G23" s="978">
        <f t="shared" si="25"/>
        <v>2484.5010449162914</v>
      </c>
      <c r="H23" s="1030">
        <f t="shared" si="26"/>
        <v>0</v>
      </c>
      <c r="I23" s="1426"/>
      <c r="J23" s="1426"/>
      <c r="K23" s="1426"/>
      <c r="L23" s="1396">
        <f t="shared" si="21"/>
        <v>0</v>
      </c>
      <c r="M23" s="1030"/>
      <c r="N23" s="1434">
        <f t="shared" si="27"/>
        <v>0</v>
      </c>
      <c r="O23" s="1434">
        <f t="shared" si="28"/>
        <v>0</v>
      </c>
      <c r="P23" s="978">
        <f t="shared" si="22"/>
        <v>2557.1001014235858</v>
      </c>
      <c r="Q23" s="1054">
        <f t="shared" si="23"/>
        <v>0</v>
      </c>
      <c r="R23" s="1510"/>
      <c r="S23" s="1415"/>
      <c r="T23" s="1510"/>
      <c r="U23" s="1415"/>
      <c r="V23" s="1415">
        <f t="shared" si="29"/>
        <v>0</v>
      </c>
      <c r="W23" s="1415">
        <f t="shared" si="33"/>
        <v>0</v>
      </c>
      <c r="X23" s="1415"/>
      <c r="Y23" s="1415">
        <f t="shared" si="30"/>
        <v>0</v>
      </c>
      <c r="Z23" s="1415">
        <f t="shared" si="31"/>
        <v>0</v>
      </c>
      <c r="AA23" s="1062">
        <f t="shared" si="32"/>
        <v>0</v>
      </c>
      <c r="AB23" s="1520">
        <f t="shared" si="24"/>
        <v>0</v>
      </c>
    </row>
    <row r="24" spans="1:28">
      <c r="A24" s="975">
        <v>18</v>
      </c>
      <c r="B24" s="976" t="s">
        <v>119</v>
      </c>
      <c r="C24" s="977"/>
      <c r="D24" s="978">
        <f>'Table 3 Levels 1&amp;2'!$AP$77</f>
        <v>5041.6011463398772</v>
      </c>
      <c r="E24" s="1050">
        <f>'Table 3 Levels 1&amp;2'!V25</f>
        <v>0.83309999999999995</v>
      </c>
      <c r="F24" s="1050">
        <f>'Table 3 Levels 1&amp;2'!W25</f>
        <v>0.16689999999999999</v>
      </c>
      <c r="G24" s="978">
        <f t="shared" si="25"/>
        <v>4200.1579150157513</v>
      </c>
      <c r="H24" s="1030">
        <f t="shared" si="26"/>
        <v>0</v>
      </c>
      <c r="I24" s="1426"/>
      <c r="J24" s="1426"/>
      <c r="K24" s="1426"/>
      <c r="L24" s="1396">
        <f t="shared" si="21"/>
        <v>0</v>
      </c>
      <c r="M24" s="1030"/>
      <c r="N24" s="1434">
        <f t="shared" si="27"/>
        <v>0</v>
      </c>
      <c r="O24" s="1434">
        <f t="shared" si="28"/>
        <v>0</v>
      </c>
      <c r="P24" s="978">
        <f t="shared" si="22"/>
        <v>841.44323132412546</v>
      </c>
      <c r="Q24" s="1054">
        <f t="shared" si="23"/>
        <v>0</v>
      </c>
      <c r="R24" s="1510"/>
      <c r="S24" s="1415"/>
      <c r="T24" s="1510"/>
      <c r="U24" s="1415"/>
      <c r="V24" s="1415">
        <f t="shared" si="29"/>
        <v>0</v>
      </c>
      <c r="W24" s="1415">
        <f t="shared" si="33"/>
        <v>0</v>
      </c>
      <c r="X24" s="1415"/>
      <c r="Y24" s="1415">
        <f t="shared" si="30"/>
        <v>0</v>
      </c>
      <c r="Z24" s="1415">
        <f t="shared" si="31"/>
        <v>0</v>
      </c>
      <c r="AA24" s="1062">
        <f t="shared" si="32"/>
        <v>0</v>
      </c>
      <c r="AB24" s="1520">
        <f t="shared" si="24"/>
        <v>0</v>
      </c>
    </row>
    <row r="25" spans="1:28">
      <c r="A25" s="975">
        <v>19</v>
      </c>
      <c r="B25" s="976" t="s">
        <v>120</v>
      </c>
      <c r="C25" s="977"/>
      <c r="D25" s="978">
        <f>'Table 3 Levels 1&amp;2'!$AP$77</f>
        <v>5041.6011463398772</v>
      </c>
      <c r="E25" s="1050">
        <f>'Table 3 Levels 1&amp;2'!V26</f>
        <v>0.75600000000000001</v>
      </c>
      <c r="F25" s="1050">
        <f>'Table 3 Levels 1&amp;2'!W26</f>
        <v>0.24399999999999999</v>
      </c>
      <c r="G25" s="978">
        <f t="shared" si="25"/>
        <v>3811.4504666329472</v>
      </c>
      <c r="H25" s="1030">
        <f t="shared" si="26"/>
        <v>0</v>
      </c>
      <c r="I25" s="1426"/>
      <c r="J25" s="1426"/>
      <c r="K25" s="1426"/>
      <c r="L25" s="1396">
        <f t="shared" si="21"/>
        <v>0</v>
      </c>
      <c r="M25" s="1030"/>
      <c r="N25" s="1434">
        <f t="shared" si="27"/>
        <v>0</v>
      </c>
      <c r="O25" s="1434">
        <f t="shared" si="28"/>
        <v>0</v>
      </c>
      <c r="P25" s="978">
        <f t="shared" si="22"/>
        <v>1230.1506797069301</v>
      </c>
      <c r="Q25" s="1054">
        <f t="shared" si="23"/>
        <v>0</v>
      </c>
      <c r="R25" s="1510"/>
      <c r="S25" s="1415"/>
      <c r="T25" s="1510"/>
      <c r="U25" s="1415"/>
      <c r="V25" s="1415">
        <f t="shared" si="29"/>
        <v>0</v>
      </c>
      <c r="W25" s="1415">
        <f t="shared" si="33"/>
        <v>0</v>
      </c>
      <c r="X25" s="1415"/>
      <c r="Y25" s="1415">
        <f t="shared" si="30"/>
        <v>0</v>
      </c>
      <c r="Z25" s="1415">
        <f t="shared" si="31"/>
        <v>0</v>
      </c>
      <c r="AA25" s="1062">
        <f t="shared" si="32"/>
        <v>0</v>
      </c>
      <c r="AB25" s="1520">
        <f t="shared" si="24"/>
        <v>0</v>
      </c>
    </row>
    <row r="26" spans="1:28">
      <c r="A26" s="979">
        <v>20</v>
      </c>
      <c r="B26" s="980" t="s">
        <v>121</v>
      </c>
      <c r="C26" s="981"/>
      <c r="D26" s="982">
        <f>'Table 3 Levels 1&amp;2'!$AP$77</f>
        <v>5041.6011463398772</v>
      </c>
      <c r="E26" s="1051">
        <f>'Table 3 Levels 1&amp;2'!V27</f>
        <v>0.80810000000000004</v>
      </c>
      <c r="F26" s="1051">
        <f>'Table 3 Levels 1&amp;2'!W27</f>
        <v>0.19189999999999999</v>
      </c>
      <c r="G26" s="982">
        <f t="shared" si="25"/>
        <v>4074.117886357255</v>
      </c>
      <c r="H26" s="1033">
        <f t="shared" si="26"/>
        <v>0</v>
      </c>
      <c r="I26" s="1427"/>
      <c r="J26" s="1427"/>
      <c r="K26" s="1427"/>
      <c r="L26" s="1397">
        <f t="shared" si="21"/>
        <v>0</v>
      </c>
      <c r="M26" s="1033"/>
      <c r="N26" s="1435">
        <f t="shared" si="27"/>
        <v>0</v>
      </c>
      <c r="O26" s="1435">
        <f t="shared" si="28"/>
        <v>0</v>
      </c>
      <c r="P26" s="982">
        <f t="shared" si="22"/>
        <v>967.48325998262237</v>
      </c>
      <c r="Q26" s="1055">
        <f t="shared" si="23"/>
        <v>0</v>
      </c>
      <c r="R26" s="1511"/>
      <c r="S26" s="1416"/>
      <c r="T26" s="1511"/>
      <c r="U26" s="1416"/>
      <c r="V26" s="1416">
        <f t="shared" si="29"/>
        <v>0</v>
      </c>
      <c r="W26" s="1416">
        <f t="shared" si="33"/>
        <v>0</v>
      </c>
      <c r="X26" s="1416"/>
      <c r="Y26" s="1416">
        <f t="shared" si="30"/>
        <v>0</v>
      </c>
      <c r="Z26" s="1416">
        <f t="shared" si="31"/>
        <v>0</v>
      </c>
      <c r="AA26" s="1063">
        <f t="shared" si="32"/>
        <v>0</v>
      </c>
      <c r="AB26" s="1521">
        <f t="shared" si="24"/>
        <v>0</v>
      </c>
    </row>
    <row r="27" spans="1:28">
      <c r="A27" s="968">
        <v>21</v>
      </c>
      <c r="B27" s="969" t="s">
        <v>122</v>
      </c>
      <c r="C27" s="970"/>
      <c r="D27" s="971">
        <f>'Table 3 Levels 1&amp;2'!$AP$77</f>
        <v>5041.6011463398772</v>
      </c>
      <c r="E27" s="1049">
        <f>'Table 3 Levels 1&amp;2'!V28</f>
        <v>0.82410000000000005</v>
      </c>
      <c r="F27" s="1049">
        <f>'Table 3 Levels 1&amp;2'!W28</f>
        <v>0.1759</v>
      </c>
      <c r="G27" s="971">
        <f t="shared" si="25"/>
        <v>4154.7835046986929</v>
      </c>
      <c r="H27" s="972">
        <f t="shared" si="26"/>
        <v>0</v>
      </c>
      <c r="I27" s="1213"/>
      <c r="J27" s="1213"/>
      <c r="K27" s="1213"/>
      <c r="L27" s="972">
        <f t="shared" si="21"/>
        <v>0</v>
      </c>
      <c r="M27" s="972"/>
      <c r="N27" s="1213">
        <f t="shared" si="27"/>
        <v>0</v>
      </c>
      <c r="O27" s="1213">
        <f t="shared" si="28"/>
        <v>0</v>
      </c>
      <c r="P27" s="971">
        <f t="shared" si="22"/>
        <v>886.81764164118442</v>
      </c>
      <c r="Q27" s="1053">
        <f t="shared" si="23"/>
        <v>0</v>
      </c>
      <c r="R27" s="1509"/>
      <c r="S27" s="1414"/>
      <c r="T27" s="1509"/>
      <c r="U27" s="1414"/>
      <c r="V27" s="1414">
        <f t="shared" si="29"/>
        <v>0</v>
      </c>
      <c r="W27" s="1414">
        <f t="shared" si="33"/>
        <v>0</v>
      </c>
      <c r="X27" s="1414"/>
      <c r="Y27" s="1414">
        <f t="shared" si="30"/>
        <v>0</v>
      </c>
      <c r="Z27" s="1414">
        <f t="shared" si="31"/>
        <v>0</v>
      </c>
      <c r="AA27" s="1061">
        <f t="shared" si="32"/>
        <v>0</v>
      </c>
      <c r="AB27" s="1519">
        <f t="shared" si="24"/>
        <v>0</v>
      </c>
    </row>
    <row r="28" spans="1:28">
      <c r="A28" s="975">
        <v>22</v>
      </c>
      <c r="B28" s="976" t="s">
        <v>123</v>
      </c>
      <c r="C28" s="977"/>
      <c r="D28" s="978">
        <f>'Table 3 Levels 1&amp;2'!$AP$77</f>
        <v>5041.6011463398772</v>
      </c>
      <c r="E28" s="1050">
        <f>'Table 3 Levels 1&amp;2'!V29</f>
        <v>0.89900000000000002</v>
      </c>
      <c r="F28" s="1050">
        <f>'Table 3 Levels 1&amp;2'!W29</f>
        <v>0.10100000000000001</v>
      </c>
      <c r="G28" s="978">
        <f t="shared" si="25"/>
        <v>4532.3994305595497</v>
      </c>
      <c r="H28" s="1030">
        <f t="shared" si="26"/>
        <v>0</v>
      </c>
      <c r="I28" s="1426"/>
      <c r="J28" s="1426"/>
      <c r="K28" s="1426"/>
      <c r="L28" s="1396">
        <f t="shared" si="21"/>
        <v>0</v>
      </c>
      <c r="M28" s="1030"/>
      <c r="N28" s="1434">
        <f t="shared" si="27"/>
        <v>0</v>
      </c>
      <c r="O28" s="1434">
        <f t="shared" si="28"/>
        <v>0</v>
      </c>
      <c r="P28" s="978">
        <f t="shared" si="22"/>
        <v>509.20171578032762</v>
      </c>
      <c r="Q28" s="1054">
        <f t="shared" si="23"/>
        <v>0</v>
      </c>
      <c r="R28" s="1510"/>
      <c r="S28" s="1415"/>
      <c r="T28" s="1510"/>
      <c r="U28" s="1415"/>
      <c r="V28" s="1415">
        <f t="shared" si="29"/>
        <v>0</v>
      </c>
      <c r="W28" s="1415">
        <f t="shared" si="33"/>
        <v>0</v>
      </c>
      <c r="X28" s="1415"/>
      <c r="Y28" s="1415">
        <f t="shared" si="30"/>
        <v>0</v>
      </c>
      <c r="Z28" s="1415">
        <f t="shared" si="31"/>
        <v>0</v>
      </c>
      <c r="AA28" s="1062">
        <f t="shared" si="32"/>
        <v>0</v>
      </c>
      <c r="AB28" s="1520">
        <f t="shared" si="24"/>
        <v>0</v>
      </c>
    </row>
    <row r="29" spans="1:28">
      <c r="A29" s="975">
        <v>23</v>
      </c>
      <c r="B29" s="976" t="s">
        <v>124</v>
      </c>
      <c r="C29" s="977"/>
      <c r="D29" s="978">
        <f>'Table 3 Levels 1&amp;2'!$AP$77</f>
        <v>5041.6011463398772</v>
      </c>
      <c r="E29" s="1050">
        <f>'Table 3 Levels 1&amp;2'!V30</f>
        <v>0.71740000000000004</v>
      </c>
      <c r="F29" s="1050">
        <f>'Table 3 Levels 1&amp;2'!W30</f>
        <v>0.28260000000000002</v>
      </c>
      <c r="G29" s="978">
        <f t="shared" si="25"/>
        <v>3616.8446623842283</v>
      </c>
      <c r="H29" s="1030">
        <f t="shared" si="26"/>
        <v>0</v>
      </c>
      <c r="I29" s="1426"/>
      <c r="J29" s="1426"/>
      <c r="K29" s="1426"/>
      <c r="L29" s="1396">
        <f t="shared" si="21"/>
        <v>0</v>
      </c>
      <c r="M29" s="1030"/>
      <c r="N29" s="1434">
        <f t="shared" si="27"/>
        <v>0</v>
      </c>
      <c r="O29" s="1434">
        <f t="shared" si="28"/>
        <v>0</v>
      </c>
      <c r="P29" s="978">
        <f t="shared" si="22"/>
        <v>1424.7564839556494</v>
      </c>
      <c r="Q29" s="1054">
        <f t="shared" si="23"/>
        <v>0</v>
      </c>
      <c r="R29" s="1510"/>
      <c r="S29" s="1415"/>
      <c r="T29" s="1510"/>
      <c r="U29" s="1415"/>
      <c r="V29" s="1415">
        <f t="shared" si="29"/>
        <v>0</v>
      </c>
      <c r="W29" s="1415">
        <f t="shared" si="33"/>
        <v>0</v>
      </c>
      <c r="X29" s="1415"/>
      <c r="Y29" s="1415">
        <f t="shared" si="30"/>
        <v>0</v>
      </c>
      <c r="Z29" s="1415">
        <f t="shared" si="31"/>
        <v>0</v>
      </c>
      <c r="AA29" s="1062">
        <f t="shared" si="32"/>
        <v>0</v>
      </c>
      <c r="AB29" s="1520">
        <f t="shared" si="24"/>
        <v>0</v>
      </c>
    </row>
    <row r="30" spans="1:28">
      <c r="A30" s="975">
        <v>24</v>
      </c>
      <c r="B30" s="976" t="s">
        <v>125</v>
      </c>
      <c r="C30" s="977"/>
      <c r="D30" s="978">
        <f>'Table 3 Levels 1&amp;2'!$AP$77</f>
        <v>5041.6011463398772</v>
      </c>
      <c r="E30" s="1050">
        <f>'Table 3 Levels 1&amp;2'!V31</f>
        <v>0.38040000000000002</v>
      </c>
      <c r="F30" s="1050">
        <f>'Table 3 Levels 1&amp;2'!W31</f>
        <v>0.61960000000000004</v>
      </c>
      <c r="G30" s="978">
        <f t="shared" si="25"/>
        <v>1917.8250760676895</v>
      </c>
      <c r="H30" s="1030">
        <f t="shared" si="26"/>
        <v>0</v>
      </c>
      <c r="I30" s="1426"/>
      <c r="J30" s="1426"/>
      <c r="K30" s="1426"/>
      <c r="L30" s="1396">
        <f t="shared" si="21"/>
        <v>0</v>
      </c>
      <c r="M30" s="1030"/>
      <c r="N30" s="1434">
        <f t="shared" si="27"/>
        <v>0</v>
      </c>
      <c r="O30" s="1434">
        <f t="shared" si="28"/>
        <v>0</v>
      </c>
      <c r="P30" s="978">
        <f t="shared" si="22"/>
        <v>3123.776070272188</v>
      </c>
      <c r="Q30" s="1054">
        <f t="shared" si="23"/>
        <v>0</v>
      </c>
      <c r="R30" s="1510"/>
      <c r="S30" s="1415"/>
      <c r="T30" s="1510"/>
      <c r="U30" s="1415"/>
      <c r="V30" s="1415">
        <f t="shared" si="29"/>
        <v>0</v>
      </c>
      <c r="W30" s="1415">
        <f t="shared" si="33"/>
        <v>0</v>
      </c>
      <c r="X30" s="1415"/>
      <c r="Y30" s="1415">
        <f t="shared" si="30"/>
        <v>0</v>
      </c>
      <c r="Z30" s="1415">
        <f t="shared" si="31"/>
        <v>0</v>
      </c>
      <c r="AA30" s="1062">
        <f t="shared" si="32"/>
        <v>0</v>
      </c>
      <c r="AB30" s="1520">
        <f t="shared" si="24"/>
        <v>0</v>
      </c>
    </row>
    <row r="31" spans="1:28">
      <c r="A31" s="979">
        <v>25</v>
      </c>
      <c r="B31" s="980" t="s">
        <v>126</v>
      </c>
      <c r="C31" s="981"/>
      <c r="D31" s="982">
        <f>'Table 3 Levels 1&amp;2'!$AP$77</f>
        <v>5041.6011463398772</v>
      </c>
      <c r="E31" s="1051">
        <f>'Table 3 Levels 1&amp;2'!V32</f>
        <v>0.57089999999999996</v>
      </c>
      <c r="F31" s="1051">
        <f>'Table 3 Levels 1&amp;2'!W32</f>
        <v>0.42909999999999998</v>
      </c>
      <c r="G31" s="982">
        <f t="shared" si="25"/>
        <v>2878.2500944454359</v>
      </c>
      <c r="H31" s="1033">
        <f t="shared" si="26"/>
        <v>0</v>
      </c>
      <c r="I31" s="1427"/>
      <c r="J31" s="1427"/>
      <c r="K31" s="1427"/>
      <c r="L31" s="1397">
        <f t="shared" si="21"/>
        <v>0</v>
      </c>
      <c r="M31" s="1033"/>
      <c r="N31" s="1435">
        <f t="shared" si="27"/>
        <v>0</v>
      </c>
      <c r="O31" s="1435">
        <f t="shared" si="28"/>
        <v>0</v>
      </c>
      <c r="P31" s="982">
        <f t="shared" si="22"/>
        <v>2163.3510518944413</v>
      </c>
      <c r="Q31" s="1055">
        <f t="shared" si="23"/>
        <v>0</v>
      </c>
      <c r="R31" s="1511"/>
      <c r="S31" s="1416"/>
      <c r="T31" s="1511"/>
      <c r="U31" s="1416"/>
      <c r="V31" s="1416">
        <f t="shared" si="29"/>
        <v>0</v>
      </c>
      <c r="W31" s="1416">
        <f t="shared" si="33"/>
        <v>0</v>
      </c>
      <c r="X31" s="1416"/>
      <c r="Y31" s="1416">
        <f t="shared" si="30"/>
        <v>0</v>
      </c>
      <c r="Z31" s="1416">
        <f t="shared" si="31"/>
        <v>0</v>
      </c>
      <c r="AA31" s="1063">
        <f t="shared" si="32"/>
        <v>0</v>
      </c>
      <c r="AB31" s="1521">
        <f t="shared" si="24"/>
        <v>0</v>
      </c>
    </row>
    <row r="32" spans="1:28">
      <c r="A32" s="968">
        <v>26</v>
      </c>
      <c r="B32" s="969" t="s">
        <v>127</v>
      </c>
      <c r="C32" s="970"/>
      <c r="D32" s="971">
        <f>'Table 3 Levels 1&amp;2'!$AP$77</f>
        <v>5041.6011463398772</v>
      </c>
      <c r="E32" s="1049">
        <f>'Table 3 Levels 1&amp;2'!V33</f>
        <v>0.4536</v>
      </c>
      <c r="F32" s="1049">
        <f>'Table 3 Levels 1&amp;2'!W33</f>
        <v>0.5464</v>
      </c>
      <c r="G32" s="971">
        <f t="shared" si="25"/>
        <v>2286.8702799797684</v>
      </c>
      <c r="H32" s="972">
        <f t="shared" si="26"/>
        <v>0</v>
      </c>
      <c r="I32" s="1213"/>
      <c r="J32" s="1213"/>
      <c r="K32" s="1213"/>
      <c r="L32" s="972">
        <f t="shared" si="21"/>
        <v>0</v>
      </c>
      <c r="M32" s="972"/>
      <c r="N32" s="1213">
        <f t="shared" si="27"/>
        <v>0</v>
      </c>
      <c r="O32" s="1213">
        <f t="shared" si="28"/>
        <v>0</v>
      </c>
      <c r="P32" s="971">
        <f t="shared" si="22"/>
        <v>2754.7308663601088</v>
      </c>
      <c r="Q32" s="1053">
        <f t="shared" si="23"/>
        <v>0</v>
      </c>
      <c r="R32" s="1509"/>
      <c r="S32" s="1414"/>
      <c r="T32" s="1509"/>
      <c r="U32" s="1414"/>
      <c r="V32" s="1414">
        <f t="shared" si="29"/>
        <v>0</v>
      </c>
      <c r="W32" s="1414">
        <f t="shared" si="33"/>
        <v>0</v>
      </c>
      <c r="X32" s="1414"/>
      <c r="Y32" s="1414">
        <f t="shared" si="30"/>
        <v>0</v>
      </c>
      <c r="Z32" s="1414">
        <f t="shared" si="31"/>
        <v>0</v>
      </c>
      <c r="AA32" s="1061">
        <f t="shared" si="32"/>
        <v>0</v>
      </c>
      <c r="AB32" s="1519">
        <f t="shared" si="24"/>
        <v>0</v>
      </c>
    </row>
    <row r="33" spans="1:28">
      <c r="A33" s="975">
        <v>27</v>
      </c>
      <c r="B33" s="976" t="s">
        <v>128</v>
      </c>
      <c r="C33" s="983"/>
      <c r="D33" s="984">
        <f>'Table 3 Levels 1&amp;2'!$AP$77</f>
        <v>5041.6011463398772</v>
      </c>
      <c r="E33" s="1050">
        <f>'Table 3 Levels 1&amp;2'!V34</f>
        <v>0.78490000000000004</v>
      </c>
      <c r="F33" s="1050">
        <f>'Table 3 Levels 1&amp;2'!W34</f>
        <v>0.21510000000000001</v>
      </c>
      <c r="G33" s="984">
        <f t="shared" si="25"/>
        <v>3957.1527397621699</v>
      </c>
      <c r="H33" s="1037">
        <f t="shared" si="26"/>
        <v>0</v>
      </c>
      <c r="I33" s="1428"/>
      <c r="J33" s="1428"/>
      <c r="K33" s="1428"/>
      <c r="L33" s="1398">
        <f t="shared" si="21"/>
        <v>0</v>
      </c>
      <c r="M33" s="1037"/>
      <c r="N33" s="1436">
        <f t="shared" si="27"/>
        <v>0</v>
      </c>
      <c r="O33" s="1436">
        <f t="shared" si="28"/>
        <v>0</v>
      </c>
      <c r="P33" s="984">
        <f t="shared" si="22"/>
        <v>1084.4484065777076</v>
      </c>
      <c r="Q33" s="1056">
        <f t="shared" si="23"/>
        <v>0</v>
      </c>
      <c r="R33" s="1512"/>
      <c r="S33" s="1417"/>
      <c r="T33" s="1512"/>
      <c r="U33" s="1417"/>
      <c r="V33" s="1417">
        <f t="shared" si="29"/>
        <v>0</v>
      </c>
      <c r="W33" s="1417">
        <f t="shared" si="33"/>
        <v>0</v>
      </c>
      <c r="X33" s="1417"/>
      <c r="Y33" s="1417">
        <f t="shared" si="30"/>
        <v>0</v>
      </c>
      <c r="Z33" s="1417">
        <f t="shared" si="31"/>
        <v>0</v>
      </c>
      <c r="AA33" s="1064">
        <f t="shared" si="32"/>
        <v>0</v>
      </c>
      <c r="AB33" s="1522">
        <f t="shared" si="24"/>
        <v>0</v>
      </c>
    </row>
    <row r="34" spans="1:28">
      <c r="A34" s="975">
        <v>28</v>
      </c>
      <c r="B34" s="976" t="s">
        <v>129</v>
      </c>
      <c r="C34" s="983"/>
      <c r="D34" s="984">
        <f>'Table 3 Levels 1&amp;2'!$AP$77</f>
        <v>5041.6011463398772</v>
      </c>
      <c r="E34" s="1050">
        <f>'Table 3 Levels 1&amp;2'!V35</f>
        <v>0.52459999999999996</v>
      </c>
      <c r="F34" s="1050">
        <f>'Table 3 Levels 1&amp;2'!W35</f>
        <v>0.47539999999999999</v>
      </c>
      <c r="G34" s="984">
        <f t="shared" si="25"/>
        <v>2644.8239613698993</v>
      </c>
      <c r="H34" s="1037">
        <f t="shared" si="26"/>
        <v>0</v>
      </c>
      <c r="I34" s="1428"/>
      <c r="J34" s="1428"/>
      <c r="K34" s="1428"/>
      <c r="L34" s="1398">
        <f t="shared" si="21"/>
        <v>0</v>
      </c>
      <c r="M34" s="1037"/>
      <c r="N34" s="1436">
        <f t="shared" si="27"/>
        <v>0</v>
      </c>
      <c r="O34" s="1436">
        <f t="shared" si="28"/>
        <v>0</v>
      </c>
      <c r="P34" s="984">
        <f t="shared" si="22"/>
        <v>2396.7771849699775</v>
      </c>
      <c r="Q34" s="1056">
        <f t="shared" si="23"/>
        <v>0</v>
      </c>
      <c r="R34" s="1512"/>
      <c r="S34" s="1417"/>
      <c r="T34" s="1512"/>
      <c r="U34" s="1417"/>
      <c r="V34" s="1417">
        <f t="shared" si="29"/>
        <v>0</v>
      </c>
      <c r="W34" s="1417">
        <f t="shared" si="33"/>
        <v>0</v>
      </c>
      <c r="X34" s="1417"/>
      <c r="Y34" s="1417">
        <f t="shared" si="30"/>
        <v>0</v>
      </c>
      <c r="Z34" s="1417">
        <f t="shared" si="31"/>
        <v>0</v>
      </c>
      <c r="AA34" s="1064">
        <f t="shared" si="32"/>
        <v>0</v>
      </c>
      <c r="AB34" s="1522">
        <f t="shared" si="24"/>
        <v>0</v>
      </c>
    </row>
    <row r="35" spans="1:28">
      <c r="A35" s="975">
        <v>29</v>
      </c>
      <c r="B35" s="976" t="s">
        <v>130</v>
      </c>
      <c r="C35" s="983"/>
      <c r="D35" s="984">
        <f>'Table 3 Levels 1&amp;2'!$AP$77</f>
        <v>5041.6011463398772</v>
      </c>
      <c r="E35" s="1050">
        <f>'Table 3 Levels 1&amp;2'!V36</f>
        <v>0.627</v>
      </c>
      <c r="F35" s="1050">
        <f>'Table 3 Levels 1&amp;2'!W36</f>
        <v>0.373</v>
      </c>
      <c r="G35" s="984">
        <f t="shared" si="25"/>
        <v>3161.0839187551032</v>
      </c>
      <c r="H35" s="1037">
        <f t="shared" si="26"/>
        <v>0</v>
      </c>
      <c r="I35" s="1428"/>
      <c r="J35" s="1428"/>
      <c r="K35" s="1428"/>
      <c r="L35" s="1398">
        <f t="shared" si="21"/>
        <v>0</v>
      </c>
      <c r="M35" s="1037"/>
      <c r="N35" s="1436">
        <f t="shared" si="27"/>
        <v>0</v>
      </c>
      <c r="O35" s="1436">
        <f t="shared" si="28"/>
        <v>0</v>
      </c>
      <c r="P35" s="984">
        <f t="shared" si="22"/>
        <v>1880.5172275847742</v>
      </c>
      <c r="Q35" s="1056">
        <f t="shared" si="23"/>
        <v>0</v>
      </c>
      <c r="R35" s="1512"/>
      <c r="S35" s="1417"/>
      <c r="T35" s="1512"/>
      <c r="U35" s="1417"/>
      <c r="V35" s="1417">
        <f t="shared" si="29"/>
        <v>0</v>
      </c>
      <c r="W35" s="1417">
        <f t="shared" si="33"/>
        <v>0</v>
      </c>
      <c r="X35" s="1417"/>
      <c r="Y35" s="1417">
        <f t="shared" si="30"/>
        <v>0</v>
      </c>
      <c r="Z35" s="1417">
        <f t="shared" si="31"/>
        <v>0</v>
      </c>
      <c r="AA35" s="1064">
        <f t="shared" si="32"/>
        <v>0</v>
      </c>
      <c r="AB35" s="1522">
        <f t="shared" si="24"/>
        <v>0</v>
      </c>
    </row>
    <row r="36" spans="1:28">
      <c r="A36" s="979">
        <v>30</v>
      </c>
      <c r="B36" s="980" t="s">
        <v>131</v>
      </c>
      <c r="C36" s="985"/>
      <c r="D36" s="986">
        <f>'Table 3 Levels 1&amp;2'!$AP$77</f>
        <v>5041.6011463398772</v>
      </c>
      <c r="E36" s="1051">
        <f>'Table 3 Levels 1&amp;2'!V37</f>
        <v>0.78969999999999996</v>
      </c>
      <c r="F36" s="1051">
        <f>'Table 3 Levels 1&amp;2'!W37</f>
        <v>0.21029999999999999</v>
      </c>
      <c r="G36" s="986">
        <f t="shared" si="25"/>
        <v>3981.3524252646007</v>
      </c>
      <c r="H36" s="1038">
        <f t="shared" si="26"/>
        <v>0</v>
      </c>
      <c r="I36" s="1429"/>
      <c r="J36" s="1429"/>
      <c r="K36" s="1429"/>
      <c r="L36" s="1399">
        <f t="shared" si="21"/>
        <v>0</v>
      </c>
      <c r="M36" s="1038"/>
      <c r="N36" s="1437">
        <f t="shared" si="27"/>
        <v>0</v>
      </c>
      <c r="O36" s="1437">
        <f t="shared" si="28"/>
        <v>0</v>
      </c>
      <c r="P36" s="986">
        <f t="shared" si="22"/>
        <v>1060.2487210752761</v>
      </c>
      <c r="Q36" s="1057">
        <f t="shared" si="23"/>
        <v>0</v>
      </c>
      <c r="R36" s="1513"/>
      <c r="S36" s="1418"/>
      <c r="T36" s="1513"/>
      <c r="U36" s="1418"/>
      <c r="V36" s="1418">
        <f t="shared" si="29"/>
        <v>0</v>
      </c>
      <c r="W36" s="1418">
        <f t="shared" si="33"/>
        <v>0</v>
      </c>
      <c r="X36" s="1418"/>
      <c r="Y36" s="1418">
        <f t="shared" si="30"/>
        <v>0</v>
      </c>
      <c r="Z36" s="1418">
        <f t="shared" si="31"/>
        <v>0</v>
      </c>
      <c r="AA36" s="1065">
        <f t="shared" si="32"/>
        <v>0</v>
      </c>
      <c r="AB36" s="1523">
        <f t="shared" si="24"/>
        <v>0</v>
      </c>
    </row>
    <row r="37" spans="1:28">
      <c r="A37" s="968">
        <v>31</v>
      </c>
      <c r="B37" s="969" t="s">
        <v>132</v>
      </c>
      <c r="C37" s="987"/>
      <c r="D37" s="988">
        <f>'Table 3 Levels 1&amp;2'!$AP$77</f>
        <v>5041.6011463398772</v>
      </c>
      <c r="E37" s="1049">
        <f>'Table 3 Levels 1&amp;2'!V38</f>
        <v>0.6341</v>
      </c>
      <c r="F37" s="1049">
        <f>'Table 3 Levels 1&amp;2'!W38</f>
        <v>0.3659</v>
      </c>
      <c r="G37" s="988">
        <f t="shared" si="25"/>
        <v>3196.8792868941159</v>
      </c>
      <c r="H37" s="1039">
        <f t="shared" si="26"/>
        <v>0</v>
      </c>
      <c r="I37" s="1211"/>
      <c r="J37" s="1211"/>
      <c r="K37" s="1211"/>
      <c r="L37" s="1039">
        <f t="shared" si="21"/>
        <v>0</v>
      </c>
      <c r="M37" s="1039"/>
      <c r="N37" s="1211">
        <f t="shared" si="27"/>
        <v>0</v>
      </c>
      <c r="O37" s="1211">
        <f t="shared" si="28"/>
        <v>0</v>
      </c>
      <c r="P37" s="988">
        <f t="shared" si="22"/>
        <v>1844.7218594457611</v>
      </c>
      <c r="Q37" s="1058">
        <f t="shared" si="23"/>
        <v>0</v>
      </c>
      <c r="R37" s="1514"/>
      <c r="S37" s="1419"/>
      <c r="T37" s="1514"/>
      <c r="U37" s="1419"/>
      <c r="V37" s="1419">
        <f t="shared" si="29"/>
        <v>0</v>
      </c>
      <c r="W37" s="1419">
        <f t="shared" si="33"/>
        <v>0</v>
      </c>
      <c r="X37" s="1419"/>
      <c r="Y37" s="1419">
        <f t="shared" si="30"/>
        <v>0</v>
      </c>
      <c r="Z37" s="1419">
        <f t="shared" si="31"/>
        <v>0</v>
      </c>
      <c r="AA37" s="1066">
        <f t="shared" si="32"/>
        <v>0</v>
      </c>
      <c r="AB37" s="1524">
        <f t="shared" si="24"/>
        <v>0</v>
      </c>
    </row>
    <row r="38" spans="1:28">
      <c r="A38" s="975">
        <v>32</v>
      </c>
      <c r="B38" s="976" t="s">
        <v>133</v>
      </c>
      <c r="C38" s="983"/>
      <c r="D38" s="984">
        <f>'Table 3 Levels 1&amp;2'!$AP$77</f>
        <v>5041.6011463398772</v>
      </c>
      <c r="E38" s="1050">
        <f>'Table 3 Levels 1&amp;2'!V39</f>
        <v>0.85389999999999999</v>
      </c>
      <c r="F38" s="1050">
        <f>'Table 3 Levels 1&amp;2'!W39</f>
        <v>0.14610000000000001</v>
      </c>
      <c r="G38" s="984">
        <f t="shared" si="25"/>
        <v>4305.023218859621</v>
      </c>
      <c r="H38" s="1037">
        <f t="shared" si="26"/>
        <v>0</v>
      </c>
      <c r="I38" s="1428"/>
      <c r="J38" s="1428"/>
      <c r="K38" s="1428"/>
      <c r="L38" s="1398">
        <f t="shared" si="21"/>
        <v>0</v>
      </c>
      <c r="M38" s="1037"/>
      <c r="N38" s="1436">
        <f t="shared" si="27"/>
        <v>0</v>
      </c>
      <c r="O38" s="1436">
        <f t="shared" si="28"/>
        <v>0</v>
      </c>
      <c r="P38" s="984">
        <f t="shared" si="22"/>
        <v>736.57792748025611</v>
      </c>
      <c r="Q38" s="1056">
        <f t="shared" si="23"/>
        <v>0</v>
      </c>
      <c r="R38" s="1512"/>
      <c r="S38" s="1417"/>
      <c r="T38" s="1512"/>
      <c r="U38" s="1417"/>
      <c r="V38" s="1417">
        <f t="shared" si="29"/>
        <v>0</v>
      </c>
      <c r="W38" s="1417">
        <f t="shared" si="33"/>
        <v>0</v>
      </c>
      <c r="X38" s="1417"/>
      <c r="Y38" s="1417">
        <f t="shared" si="30"/>
        <v>0</v>
      </c>
      <c r="Z38" s="1417">
        <f t="shared" si="31"/>
        <v>0</v>
      </c>
      <c r="AA38" s="1064">
        <f t="shared" si="32"/>
        <v>0</v>
      </c>
      <c r="AB38" s="1522">
        <f t="shared" si="24"/>
        <v>0</v>
      </c>
    </row>
    <row r="39" spans="1:28">
      <c r="A39" s="975">
        <v>33</v>
      </c>
      <c r="B39" s="976" t="s">
        <v>134</v>
      </c>
      <c r="C39" s="983"/>
      <c r="D39" s="984">
        <f>'Table 3 Levels 1&amp;2'!$AP$77</f>
        <v>5041.6011463398772</v>
      </c>
      <c r="E39" s="1050">
        <f>'Table 3 Levels 1&amp;2'!V40</f>
        <v>0.74370000000000003</v>
      </c>
      <c r="F39" s="1050">
        <f>'Table 3 Levels 1&amp;2'!W40</f>
        <v>0.25629999999999997</v>
      </c>
      <c r="G39" s="984">
        <f t="shared" si="25"/>
        <v>3749.4387725329671</v>
      </c>
      <c r="H39" s="1037">
        <f t="shared" si="26"/>
        <v>0</v>
      </c>
      <c r="I39" s="1428"/>
      <c r="J39" s="1428"/>
      <c r="K39" s="1428"/>
      <c r="L39" s="1398">
        <f t="shared" ref="L39:L70" si="34">H39+K39</f>
        <v>0</v>
      </c>
      <c r="M39" s="1037"/>
      <c r="N39" s="1436">
        <f t="shared" si="27"/>
        <v>0</v>
      </c>
      <c r="O39" s="1436">
        <f t="shared" si="28"/>
        <v>0</v>
      </c>
      <c r="P39" s="984">
        <f t="shared" ref="P39:P75" si="35">F39*D39</f>
        <v>1292.1623738069104</v>
      </c>
      <c r="Q39" s="1056">
        <f t="shared" ref="Q39:Q70" si="36">P39*C39</f>
        <v>0</v>
      </c>
      <c r="R39" s="1512"/>
      <c r="S39" s="1417"/>
      <c r="T39" s="1512"/>
      <c r="U39" s="1417"/>
      <c r="V39" s="1417">
        <f t="shared" si="29"/>
        <v>0</v>
      </c>
      <c r="W39" s="1417">
        <f t="shared" si="33"/>
        <v>0</v>
      </c>
      <c r="X39" s="1417"/>
      <c r="Y39" s="1417">
        <f t="shared" si="30"/>
        <v>0</v>
      </c>
      <c r="Z39" s="1417">
        <f t="shared" si="31"/>
        <v>0</v>
      </c>
      <c r="AA39" s="1064">
        <f t="shared" si="32"/>
        <v>0</v>
      </c>
      <c r="AB39" s="1522">
        <f t="shared" ref="AB39:AB70" si="37">O39+Z39</f>
        <v>0</v>
      </c>
    </row>
    <row r="40" spans="1:28">
      <c r="A40" s="975">
        <v>34</v>
      </c>
      <c r="B40" s="976" t="s">
        <v>135</v>
      </c>
      <c r="C40" s="983"/>
      <c r="D40" s="984">
        <f>'Table 3 Levels 1&amp;2'!$AP$77</f>
        <v>5041.6011463398772</v>
      </c>
      <c r="E40" s="1050">
        <f>'Table 3 Levels 1&amp;2'!V41</f>
        <v>0.79279999999999995</v>
      </c>
      <c r="F40" s="1050">
        <f>'Table 3 Levels 1&amp;2'!W41</f>
        <v>0.2072</v>
      </c>
      <c r="G40" s="984">
        <f t="shared" si="25"/>
        <v>3996.9813888182543</v>
      </c>
      <c r="H40" s="1037">
        <f t="shared" si="26"/>
        <v>0</v>
      </c>
      <c r="I40" s="1428"/>
      <c r="J40" s="1428"/>
      <c r="K40" s="1428"/>
      <c r="L40" s="1398">
        <f t="shared" si="34"/>
        <v>0</v>
      </c>
      <c r="M40" s="1037"/>
      <c r="N40" s="1436">
        <f t="shared" si="27"/>
        <v>0</v>
      </c>
      <c r="O40" s="1436">
        <f t="shared" si="28"/>
        <v>0</v>
      </c>
      <c r="P40" s="984">
        <f t="shared" si="35"/>
        <v>1044.6197575216224</v>
      </c>
      <c r="Q40" s="1056">
        <f t="shared" si="36"/>
        <v>0</v>
      </c>
      <c r="R40" s="1512"/>
      <c r="S40" s="1417"/>
      <c r="T40" s="1512"/>
      <c r="U40" s="1417"/>
      <c r="V40" s="1417">
        <f t="shared" si="29"/>
        <v>0</v>
      </c>
      <c r="W40" s="1417">
        <f t="shared" si="33"/>
        <v>0</v>
      </c>
      <c r="X40" s="1417"/>
      <c r="Y40" s="1417">
        <f t="shared" si="30"/>
        <v>0</v>
      </c>
      <c r="Z40" s="1417">
        <f t="shared" si="31"/>
        <v>0</v>
      </c>
      <c r="AA40" s="1064">
        <f t="shared" si="32"/>
        <v>0</v>
      </c>
      <c r="AB40" s="1522">
        <f t="shared" si="37"/>
        <v>0</v>
      </c>
    </row>
    <row r="41" spans="1:28">
      <c r="A41" s="979">
        <v>35</v>
      </c>
      <c r="B41" s="980" t="s">
        <v>136</v>
      </c>
      <c r="C41" s="985"/>
      <c r="D41" s="986">
        <f>'Table 3 Levels 1&amp;2'!$AP$77</f>
        <v>5041.6011463398772</v>
      </c>
      <c r="E41" s="1051">
        <f>'Table 3 Levels 1&amp;2'!V42</f>
        <v>0.71060000000000001</v>
      </c>
      <c r="F41" s="1051">
        <f>'Table 3 Levels 1&amp;2'!W42</f>
        <v>0.28939999999999999</v>
      </c>
      <c r="G41" s="986">
        <f t="shared" si="25"/>
        <v>3582.5617745891168</v>
      </c>
      <c r="H41" s="1038">
        <f t="shared" si="26"/>
        <v>0</v>
      </c>
      <c r="I41" s="1429"/>
      <c r="J41" s="1429"/>
      <c r="K41" s="1429"/>
      <c r="L41" s="1399">
        <f t="shared" si="34"/>
        <v>0</v>
      </c>
      <c r="M41" s="1038"/>
      <c r="N41" s="1437">
        <f t="shared" si="27"/>
        <v>0</v>
      </c>
      <c r="O41" s="1437">
        <f t="shared" si="28"/>
        <v>0</v>
      </c>
      <c r="P41" s="986">
        <f t="shared" si="35"/>
        <v>1459.0393717507604</v>
      </c>
      <c r="Q41" s="1057">
        <f t="shared" si="36"/>
        <v>0</v>
      </c>
      <c r="R41" s="1513"/>
      <c r="S41" s="1418"/>
      <c r="T41" s="1513"/>
      <c r="U41" s="1418"/>
      <c r="V41" s="1418">
        <f t="shared" si="29"/>
        <v>0</v>
      </c>
      <c r="W41" s="1418">
        <f t="shared" si="33"/>
        <v>0</v>
      </c>
      <c r="X41" s="1418"/>
      <c r="Y41" s="1418">
        <f t="shared" si="30"/>
        <v>0</v>
      </c>
      <c r="Z41" s="1418">
        <f t="shared" si="31"/>
        <v>0</v>
      </c>
      <c r="AA41" s="1065">
        <f t="shared" si="32"/>
        <v>0</v>
      </c>
      <c r="AB41" s="1523">
        <f t="shared" si="37"/>
        <v>0</v>
      </c>
    </row>
    <row r="42" spans="1:28">
      <c r="A42" s="968">
        <v>36</v>
      </c>
      <c r="B42" s="969" t="s">
        <v>137</v>
      </c>
      <c r="C42" s="987"/>
      <c r="D42" s="988">
        <f>'Table 3 Levels 1&amp;2'!$AP$77</f>
        <v>5041.6011463398772</v>
      </c>
      <c r="E42" s="1049">
        <f>'Table 3 Levels 1&amp;2'!V43</f>
        <v>0.53820000000000001</v>
      </c>
      <c r="F42" s="1049">
        <f>'Table 3 Levels 1&amp;2'!W43</f>
        <v>0.46179999999999999</v>
      </c>
      <c r="G42" s="988">
        <f t="shared" si="25"/>
        <v>2713.3897369601218</v>
      </c>
      <c r="H42" s="1039">
        <f t="shared" si="26"/>
        <v>0</v>
      </c>
      <c r="I42" s="1211"/>
      <c r="J42" s="1211"/>
      <c r="K42" s="1211"/>
      <c r="L42" s="1039">
        <f t="shared" si="34"/>
        <v>0</v>
      </c>
      <c r="M42" s="1039"/>
      <c r="N42" s="1211">
        <f t="shared" si="27"/>
        <v>0</v>
      </c>
      <c r="O42" s="1211">
        <f t="shared" si="28"/>
        <v>0</v>
      </c>
      <c r="P42" s="988">
        <f t="shared" si="35"/>
        <v>2328.2114093797554</v>
      </c>
      <c r="Q42" s="1058">
        <f t="shared" si="36"/>
        <v>0</v>
      </c>
      <c r="R42" s="1514"/>
      <c r="S42" s="1419"/>
      <c r="T42" s="1514"/>
      <c r="U42" s="1419"/>
      <c r="V42" s="1419">
        <f t="shared" si="29"/>
        <v>0</v>
      </c>
      <c r="W42" s="1419">
        <f t="shared" si="33"/>
        <v>0</v>
      </c>
      <c r="X42" s="1419"/>
      <c r="Y42" s="1419">
        <f t="shared" si="30"/>
        <v>0</v>
      </c>
      <c r="Z42" s="1419">
        <f t="shared" si="31"/>
        <v>0</v>
      </c>
      <c r="AA42" s="1066">
        <f t="shared" si="32"/>
        <v>0</v>
      </c>
      <c r="AB42" s="1524">
        <f t="shared" si="37"/>
        <v>0</v>
      </c>
    </row>
    <row r="43" spans="1:28">
      <c r="A43" s="975">
        <v>37</v>
      </c>
      <c r="B43" s="976" t="s">
        <v>138</v>
      </c>
      <c r="C43" s="983"/>
      <c r="D43" s="984">
        <f>'Table 3 Levels 1&amp;2'!$AP$77</f>
        <v>5041.6011463398772</v>
      </c>
      <c r="E43" s="1050">
        <f>'Table 3 Levels 1&amp;2'!V44</f>
        <v>0.79559999999999997</v>
      </c>
      <c r="F43" s="1050">
        <f>'Table 3 Levels 1&amp;2'!W44</f>
        <v>0.2044</v>
      </c>
      <c r="G43" s="984">
        <f t="shared" si="25"/>
        <v>4011.0978720280063</v>
      </c>
      <c r="H43" s="1037">
        <f t="shared" si="26"/>
        <v>0</v>
      </c>
      <c r="I43" s="1428"/>
      <c r="J43" s="1428"/>
      <c r="K43" s="1428"/>
      <c r="L43" s="1398">
        <f t="shared" si="34"/>
        <v>0</v>
      </c>
      <c r="M43" s="1037"/>
      <c r="N43" s="1436">
        <f t="shared" si="27"/>
        <v>0</v>
      </c>
      <c r="O43" s="1436">
        <f t="shared" si="28"/>
        <v>0</v>
      </c>
      <c r="P43" s="984">
        <f t="shared" si="35"/>
        <v>1030.5032743118709</v>
      </c>
      <c r="Q43" s="1056">
        <f t="shared" si="36"/>
        <v>0</v>
      </c>
      <c r="R43" s="1512"/>
      <c r="S43" s="1417"/>
      <c r="T43" s="1512"/>
      <c r="U43" s="1417"/>
      <c r="V43" s="1417">
        <f t="shared" si="29"/>
        <v>0</v>
      </c>
      <c r="W43" s="1417">
        <f t="shared" si="33"/>
        <v>0</v>
      </c>
      <c r="X43" s="1417"/>
      <c r="Y43" s="1417">
        <f t="shared" si="30"/>
        <v>0</v>
      </c>
      <c r="Z43" s="1417">
        <f t="shared" si="31"/>
        <v>0</v>
      </c>
      <c r="AA43" s="1064">
        <f t="shared" si="32"/>
        <v>0</v>
      </c>
      <c r="AB43" s="1522">
        <f t="shared" si="37"/>
        <v>0</v>
      </c>
    </row>
    <row r="44" spans="1:28">
      <c r="A44" s="975">
        <v>38</v>
      </c>
      <c r="B44" s="976" t="s">
        <v>139</v>
      </c>
      <c r="C44" s="983"/>
      <c r="D44" s="984">
        <f>'Table 3 Levels 1&amp;2'!$AP$77</f>
        <v>5041.6011463398772</v>
      </c>
      <c r="E44" s="1050">
        <f>'Table 3 Levels 1&amp;2'!V45</f>
        <v>0.25</v>
      </c>
      <c r="F44" s="1050">
        <f>'Table 3 Levels 1&amp;2'!W45</f>
        <v>0.75</v>
      </c>
      <c r="G44" s="984">
        <f t="shared" si="25"/>
        <v>1260.4002865849693</v>
      </c>
      <c r="H44" s="1037">
        <f t="shared" si="26"/>
        <v>0</v>
      </c>
      <c r="I44" s="1428"/>
      <c r="J44" s="1428"/>
      <c r="K44" s="1428"/>
      <c r="L44" s="1398">
        <f t="shared" si="34"/>
        <v>0</v>
      </c>
      <c r="M44" s="1037"/>
      <c r="N44" s="1436">
        <f t="shared" si="27"/>
        <v>0</v>
      </c>
      <c r="O44" s="1436">
        <f t="shared" si="28"/>
        <v>0</v>
      </c>
      <c r="P44" s="984">
        <f t="shared" si="35"/>
        <v>3781.2008597549079</v>
      </c>
      <c r="Q44" s="1056">
        <f t="shared" si="36"/>
        <v>0</v>
      </c>
      <c r="R44" s="1512"/>
      <c r="S44" s="1417"/>
      <c r="T44" s="1512"/>
      <c r="U44" s="1417"/>
      <c r="V44" s="1417">
        <f t="shared" si="29"/>
        <v>0</v>
      </c>
      <c r="W44" s="1417">
        <f t="shared" si="33"/>
        <v>0</v>
      </c>
      <c r="X44" s="1417"/>
      <c r="Y44" s="1417">
        <f t="shared" si="30"/>
        <v>0</v>
      </c>
      <c r="Z44" s="1417">
        <f t="shared" si="31"/>
        <v>0</v>
      </c>
      <c r="AA44" s="1064">
        <f t="shared" si="32"/>
        <v>0</v>
      </c>
      <c r="AB44" s="1522">
        <f t="shared" si="37"/>
        <v>0</v>
      </c>
    </row>
    <row r="45" spans="1:28">
      <c r="A45" s="975">
        <v>39</v>
      </c>
      <c r="B45" s="976" t="s">
        <v>140</v>
      </c>
      <c r="C45" s="983"/>
      <c r="D45" s="984">
        <f>'Table 3 Levels 1&amp;2'!$AP$77</f>
        <v>5041.6011463398772</v>
      </c>
      <c r="E45" s="1050">
        <f>'Table 3 Levels 1&amp;2'!V46</f>
        <v>0.52170000000000005</v>
      </c>
      <c r="F45" s="1050">
        <f>'Table 3 Levels 1&amp;2'!W46</f>
        <v>0.4783</v>
      </c>
      <c r="G45" s="984">
        <f t="shared" si="25"/>
        <v>2630.2033180455142</v>
      </c>
      <c r="H45" s="1037">
        <f t="shared" si="26"/>
        <v>0</v>
      </c>
      <c r="I45" s="1428"/>
      <c r="J45" s="1428"/>
      <c r="K45" s="1428"/>
      <c r="L45" s="1398">
        <f t="shared" si="34"/>
        <v>0</v>
      </c>
      <c r="M45" s="1037"/>
      <c r="N45" s="1436">
        <f t="shared" si="27"/>
        <v>0</v>
      </c>
      <c r="O45" s="1436">
        <f t="shared" si="28"/>
        <v>0</v>
      </c>
      <c r="P45" s="984">
        <f t="shared" si="35"/>
        <v>2411.3978282943631</v>
      </c>
      <c r="Q45" s="1056">
        <f t="shared" si="36"/>
        <v>0</v>
      </c>
      <c r="R45" s="1512"/>
      <c r="S45" s="1417"/>
      <c r="T45" s="1512"/>
      <c r="U45" s="1417"/>
      <c r="V45" s="1417">
        <f t="shared" si="29"/>
        <v>0</v>
      </c>
      <c r="W45" s="1417">
        <f t="shared" si="33"/>
        <v>0</v>
      </c>
      <c r="X45" s="1417"/>
      <c r="Y45" s="1417">
        <f t="shared" si="30"/>
        <v>0</v>
      </c>
      <c r="Z45" s="1417">
        <f t="shared" si="31"/>
        <v>0</v>
      </c>
      <c r="AA45" s="1064">
        <f t="shared" si="32"/>
        <v>0</v>
      </c>
      <c r="AB45" s="1522">
        <f t="shared" si="37"/>
        <v>0</v>
      </c>
    </row>
    <row r="46" spans="1:28">
      <c r="A46" s="979">
        <v>40</v>
      </c>
      <c r="B46" s="980" t="s">
        <v>141</v>
      </c>
      <c r="C46" s="985"/>
      <c r="D46" s="986">
        <f>'Table 3 Levels 1&amp;2'!$AP$77</f>
        <v>5041.6011463398772</v>
      </c>
      <c r="E46" s="1051">
        <f>'Table 3 Levels 1&amp;2'!V47</f>
        <v>0.74029999999999996</v>
      </c>
      <c r="F46" s="1051">
        <f>'Table 3 Levels 1&amp;2'!W47</f>
        <v>0.25969999999999999</v>
      </c>
      <c r="G46" s="986">
        <f t="shared" si="25"/>
        <v>3732.2973286354108</v>
      </c>
      <c r="H46" s="1038">
        <f t="shared" si="26"/>
        <v>0</v>
      </c>
      <c r="I46" s="1429"/>
      <c r="J46" s="1429"/>
      <c r="K46" s="1429"/>
      <c r="L46" s="1399">
        <f t="shared" si="34"/>
        <v>0</v>
      </c>
      <c r="M46" s="1038"/>
      <c r="N46" s="1437">
        <f t="shared" si="27"/>
        <v>0</v>
      </c>
      <c r="O46" s="1437">
        <f t="shared" si="28"/>
        <v>0</v>
      </c>
      <c r="P46" s="986">
        <f t="shared" si="35"/>
        <v>1309.3038177044662</v>
      </c>
      <c r="Q46" s="1057">
        <f t="shared" si="36"/>
        <v>0</v>
      </c>
      <c r="R46" s="1513"/>
      <c r="S46" s="1418"/>
      <c r="T46" s="1513"/>
      <c r="U46" s="1418"/>
      <c r="V46" s="1418">
        <f t="shared" si="29"/>
        <v>0</v>
      </c>
      <c r="W46" s="1418">
        <f t="shared" si="33"/>
        <v>0</v>
      </c>
      <c r="X46" s="1418"/>
      <c r="Y46" s="1418">
        <f t="shared" si="30"/>
        <v>0</v>
      </c>
      <c r="Z46" s="1418">
        <f t="shared" si="31"/>
        <v>0</v>
      </c>
      <c r="AA46" s="1065">
        <f t="shared" si="32"/>
        <v>0</v>
      </c>
      <c r="AB46" s="1523">
        <f t="shared" si="37"/>
        <v>0</v>
      </c>
    </row>
    <row r="47" spans="1:28">
      <c r="A47" s="968">
        <v>41</v>
      </c>
      <c r="B47" s="969" t="s">
        <v>142</v>
      </c>
      <c r="C47" s="987"/>
      <c r="D47" s="988">
        <f>'Table 3 Levels 1&amp;2'!$AP$77</f>
        <v>5041.6011463398772</v>
      </c>
      <c r="E47" s="1049">
        <f>'Table 3 Levels 1&amp;2'!V48</f>
        <v>0.25</v>
      </c>
      <c r="F47" s="1049">
        <f>'Table 3 Levels 1&amp;2'!W48</f>
        <v>0.75</v>
      </c>
      <c r="G47" s="988">
        <f t="shared" si="25"/>
        <v>1260.4002865849693</v>
      </c>
      <c r="H47" s="1039">
        <f t="shared" si="26"/>
        <v>0</v>
      </c>
      <c r="I47" s="1211"/>
      <c r="J47" s="1211"/>
      <c r="K47" s="1211"/>
      <c r="L47" s="1039">
        <f t="shared" si="34"/>
        <v>0</v>
      </c>
      <c r="M47" s="1039"/>
      <c r="N47" s="1211">
        <f t="shared" si="27"/>
        <v>0</v>
      </c>
      <c r="O47" s="1211">
        <f t="shared" si="28"/>
        <v>0</v>
      </c>
      <c r="P47" s="988">
        <f t="shared" si="35"/>
        <v>3781.2008597549079</v>
      </c>
      <c r="Q47" s="1058">
        <f t="shared" si="36"/>
        <v>0</v>
      </c>
      <c r="R47" s="1514"/>
      <c r="S47" s="1419"/>
      <c r="T47" s="1514"/>
      <c r="U47" s="1419"/>
      <c r="V47" s="1419">
        <f t="shared" si="29"/>
        <v>0</v>
      </c>
      <c r="W47" s="1419">
        <f t="shared" si="33"/>
        <v>0</v>
      </c>
      <c r="X47" s="1419"/>
      <c r="Y47" s="1419">
        <f t="shared" si="30"/>
        <v>0</v>
      </c>
      <c r="Z47" s="1419">
        <f t="shared" si="31"/>
        <v>0</v>
      </c>
      <c r="AA47" s="1066">
        <f t="shared" si="32"/>
        <v>0</v>
      </c>
      <c r="AB47" s="1524">
        <f t="shared" si="37"/>
        <v>0</v>
      </c>
    </row>
    <row r="48" spans="1:28">
      <c r="A48" s="975">
        <v>42</v>
      </c>
      <c r="B48" s="976" t="s">
        <v>143</v>
      </c>
      <c r="C48" s="983"/>
      <c r="D48" s="984">
        <f>'Table 3 Levels 1&amp;2'!$AP$77</f>
        <v>5041.6011463398772</v>
      </c>
      <c r="E48" s="1050">
        <f>'Table 3 Levels 1&amp;2'!V49</f>
        <v>0.7399</v>
      </c>
      <c r="F48" s="1050">
        <f>'Table 3 Levels 1&amp;2'!W49</f>
        <v>0.2601</v>
      </c>
      <c r="G48" s="984">
        <f t="shared" si="25"/>
        <v>3730.2806881768752</v>
      </c>
      <c r="H48" s="1037">
        <f t="shared" si="26"/>
        <v>0</v>
      </c>
      <c r="I48" s="1428"/>
      <c r="J48" s="1428"/>
      <c r="K48" s="1428"/>
      <c r="L48" s="1398">
        <f t="shared" si="34"/>
        <v>0</v>
      </c>
      <c r="M48" s="1037"/>
      <c r="N48" s="1436">
        <f t="shared" si="27"/>
        <v>0</v>
      </c>
      <c r="O48" s="1436">
        <f t="shared" si="28"/>
        <v>0</v>
      </c>
      <c r="P48" s="984">
        <f t="shared" si="35"/>
        <v>1311.3204581630021</v>
      </c>
      <c r="Q48" s="1056">
        <f t="shared" si="36"/>
        <v>0</v>
      </c>
      <c r="R48" s="1512"/>
      <c r="S48" s="1417"/>
      <c r="T48" s="1512"/>
      <c r="U48" s="1417"/>
      <c r="V48" s="1417">
        <f t="shared" si="29"/>
        <v>0</v>
      </c>
      <c r="W48" s="1417">
        <f t="shared" si="33"/>
        <v>0</v>
      </c>
      <c r="X48" s="1417"/>
      <c r="Y48" s="1417">
        <f t="shared" si="30"/>
        <v>0</v>
      </c>
      <c r="Z48" s="1417">
        <f t="shared" si="31"/>
        <v>0</v>
      </c>
      <c r="AA48" s="1064">
        <f t="shared" si="32"/>
        <v>0</v>
      </c>
      <c r="AB48" s="1522">
        <f t="shared" si="37"/>
        <v>0</v>
      </c>
    </row>
    <row r="49" spans="1:28">
      <c r="A49" s="975">
        <v>43</v>
      </c>
      <c r="B49" s="976" t="s">
        <v>144</v>
      </c>
      <c r="C49" s="983"/>
      <c r="D49" s="984">
        <f>'Table 3 Levels 1&amp;2'!$AP$77</f>
        <v>5041.6011463398772</v>
      </c>
      <c r="E49" s="1050">
        <f>'Table 3 Levels 1&amp;2'!V50</f>
        <v>0.75539999999999996</v>
      </c>
      <c r="F49" s="1050">
        <f>'Table 3 Levels 1&amp;2'!W50</f>
        <v>0.24460000000000001</v>
      </c>
      <c r="G49" s="984">
        <f t="shared" si="25"/>
        <v>3808.425505945143</v>
      </c>
      <c r="H49" s="1037">
        <f t="shared" si="26"/>
        <v>0</v>
      </c>
      <c r="I49" s="1428"/>
      <c r="J49" s="1428"/>
      <c r="K49" s="1428"/>
      <c r="L49" s="1398">
        <f t="shared" si="34"/>
        <v>0</v>
      </c>
      <c r="M49" s="1037"/>
      <c r="N49" s="1436">
        <f t="shared" si="27"/>
        <v>0</v>
      </c>
      <c r="O49" s="1436">
        <f t="shared" si="28"/>
        <v>0</v>
      </c>
      <c r="P49" s="984">
        <f t="shared" si="35"/>
        <v>1233.175640394734</v>
      </c>
      <c r="Q49" s="1056">
        <f t="shared" si="36"/>
        <v>0</v>
      </c>
      <c r="R49" s="1512"/>
      <c r="S49" s="1417"/>
      <c r="T49" s="1512"/>
      <c r="U49" s="1417"/>
      <c r="V49" s="1417">
        <f t="shared" si="29"/>
        <v>0</v>
      </c>
      <c r="W49" s="1417">
        <f t="shared" si="33"/>
        <v>0</v>
      </c>
      <c r="X49" s="1417"/>
      <c r="Y49" s="1417">
        <f t="shared" si="30"/>
        <v>0</v>
      </c>
      <c r="Z49" s="1417">
        <f t="shared" si="31"/>
        <v>0</v>
      </c>
      <c r="AA49" s="1064">
        <f t="shared" si="32"/>
        <v>0</v>
      </c>
      <c r="AB49" s="1522">
        <f t="shared" si="37"/>
        <v>0</v>
      </c>
    </row>
    <row r="50" spans="1:28">
      <c r="A50" s="975">
        <v>44</v>
      </c>
      <c r="B50" s="976" t="s">
        <v>145</v>
      </c>
      <c r="C50" s="983"/>
      <c r="D50" s="984">
        <f>'Table 3 Levels 1&amp;2'!$AP$77</f>
        <v>5041.6011463398772</v>
      </c>
      <c r="E50" s="1050">
        <f>'Table 3 Levels 1&amp;2'!V51</f>
        <v>0.6169</v>
      </c>
      <c r="F50" s="1050">
        <f>'Table 3 Levels 1&amp;2'!W51</f>
        <v>0.3831</v>
      </c>
      <c r="G50" s="984">
        <f t="shared" si="25"/>
        <v>3110.1637471770705</v>
      </c>
      <c r="H50" s="1037">
        <f t="shared" si="26"/>
        <v>0</v>
      </c>
      <c r="I50" s="1428"/>
      <c r="J50" s="1428"/>
      <c r="K50" s="1428"/>
      <c r="L50" s="1398">
        <f t="shared" si="34"/>
        <v>0</v>
      </c>
      <c r="M50" s="1037"/>
      <c r="N50" s="1436">
        <f t="shared" si="27"/>
        <v>0</v>
      </c>
      <c r="O50" s="1436">
        <f t="shared" si="28"/>
        <v>0</v>
      </c>
      <c r="P50" s="984">
        <f t="shared" si="35"/>
        <v>1931.437399162807</v>
      </c>
      <c r="Q50" s="1056">
        <f t="shared" si="36"/>
        <v>0</v>
      </c>
      <c r="R50" s="1512"/>
      <c r="S50" s="1417"/>
      <c r="T50" s="1512"/>
      <c r="U50" s="1417"/>
      <c r="V50" s="1417">
        <f t="shared" si="29"/>
        <v>0</v>
      </c>
      <c r="W50" s="1417">
        <f t="shared" si="33"/>
        <v>0</v>
      </c>
      <c r="X50" s="1417"/>
      <c r="Y50" s="1417">
        <f t="shared" si="30"/>
        <v>0</v>
      </c>
      <c r="Z50" s="1417">
        <f t="shared" si="31"/>
        <v>0</v>
      </c>
      <c r="AA50" s="1064">
        <f t="shared" si="32"/>
        <v>0</v>
      </c>
      <c r="AB50" s="1522">
        <f t="shared" si="37"/>
        <v>0</v>
      </c>
    </row>
    <row r="51" spans="1:28">
      <c r="A51" s="979">
        <v>45</v>
      </c>
      <c r="B51" s="980" t="s">
        <v>146</v>
      </c>
      <c r="C51" s="985"/>
      <c r="D51" s="986">
        <f>'Table 3 Levels 1&amp;2'!$AP$77</f>
        <v>5041.6011463398772</v>
      </c>
      <c r="E51" s="1051">
        <f>'Table 3 Levels 1&amp;2'!V52</f>
        <v>0.35420000000000001</v>
      </c>
      <c r="F51" s="1051">
        <f>'Table 3 Levels 1&amp;2'!W52</f>
        <v>0.64580000000000004</v>
      </c>
      <c r="G51" s="986">
        <f t="shared" si="25"/>
        <v>1785.7351260335845</v>
      </c>
      <c r="H51" s="1038">
        <f t="shared" si="26"/>
        <v>0</v>
      </c>
      <c r="I51" s="1429"/>
      <c r="J51" s="1429"/>
      <c r="K51" s="1429"/>
      <c r="L51" s="1399">
        <f t="shared" si="34"/>
        <v>0</v>
      </c>
      <c r="M51" s="1038"/>
      <c r="N51" s="1437">
        <f t="shared" si="27"/>
        <v>0</v>
      </c>
      <c r="O51" s="1437">
        <f t="shared" si="28"/>
        <v>0</v>
      </c>
      <c r="P51" s="986">
        <f t="shared" si="35"/>
        <v>3255.8660203062927</v>
      </c>
      <c r="Q51" s="1057">
        <f t="shared" si="36"/>
        <v>0</v>
      </c>
      <c r="R51" s="1513"/>
      <c r="S51" s="1418"/>
      <c r="T51" s="1513"/>
      <c r="U51" s="1418"/>
      <c r="V51" s="1418">
        <f t="shared" si="29"/>
        <v>0</v>
      </c>
      <c r="W51" s="1418">
        <f t="shared" si="33"/>
        <v>0</v>
      </c>
      <c r="X51" s="1418"/>
      <c r="Y51" s="1418">
        <f t="shared" si="30"/>
        <v>0</v>
      </c>
      <c r="Z51" s="1418">
        <f t="shared" si="31"/>
        <v>0</v>
      </c>
      <c r="AA51" s="1065">
        <f t="shared" si="32"/>
        <v>0</v>
      </c>
      <c r="AB51" s="1523">
        <f t="shared" si="37"/>
        <v>0</v>
      </c>
    </row>
    <row r="52" spans="1:28">
      <c r="A52" s="968">
        <v>46</v>
      </c>
      <c r="B52" s="969" t="s">
        <v>147</v>
      </c>
      <c r="C52" s="987"/>
      <c r="D52" s="988">
        <f>'Table 3 Levels 1&amp;2'!$AP$77</f>
        <v>5041.6011463398772</v>
      </c>
      <c r="E52" s="1049">
        <f>'Table 3 Levels 1&amp;2'!V53</f>
        <v>0.82040000000000002</v>
      </c>
      <c r="F52" s="1049">
        <f>'Table 3 Levels 1&amp;2'!W53</f>
        <v>0.17960000000000001</v>
      </c>
      <c r="G52" s="988">
        <f t="shared" si="25"/>
        <v>4136.1295804572355</v>
      </c>
      <c r="H52" s="1039">
        <f t="shared" si="26"/>
        <v>0</v>
      </c>
      <c r="I52" s="1211"/>
      <c r="J52" s="1211"/>
      <c r="K52" s="1211"/>
      <c r="L52" s="1039">
        <f t="shared" si="34"/>
        <v>0</v>
      </c>
      <c r="M52" s="1039"/>
      <c r="N52" s="1211">
        <f t="shared" si="27"/>
        <v>0</v>
      </c>
      <c r="O52" s="1211">
        <f t="shared" si="28"/>
        <v>0</v>
      </c>
      <c r="P52" s="988">
        <f t="shared" si="35"/>
        <v>905.47156588264204</v>
      </c>
      <c r="Q52" s="1058">
        <f t="shared" si="36"/>
        <v>0</v>
      </c>
      <c r="R52" s="1514"/>
      <c r="S52" s="1419"/>
      <c r="T52" s="1514"/>
      <c r="U52" s="1419"/>
      <c r="V52" s="1419">
        <f t="shared" si="29"/>
        <v>0</v>
      </c>
      <c r="W52" s="1419">
        <f t="shared" si="33"/>
        <v>0</v>
      </c>
      <c r="X52" s="1419"/>
      <c r="Y52" s="1419">
        <f t="shared" si="30"/>
        <v>0</v>
      </c>
      <c r="Z52" s="1419">
        <f t="shared" si="31"/>
        <v>0</v>
      </c>
      <c r="AA52" s="1066">
        <f t="shared" si="32"/>
        <v>0</v>
      </c>
      <c r="AB52" s="1524">
        <f t="shared" si="37"/>
        <v>0</v>
      </c>
    </row>
    <row r="53" spans="1:28">
      <c r="A53" s="975">
        <v>47</v>
      </c>
      <c r="B53" s="976" t="s">
        <v>148</v>
      </c>
      <c r="C53" s="983"/>
      <c r="D53" s="984">
        <f>'Table 3 Levels 1&amp;2'!$AP$77</f>
        <v>5041.6011463398772</v>
      </c>
      <c r="E53" s="1050">
        <f>'Table 3 Levels 1&amp;2'!V54</f>
        <v>0.45129999999999998</v>
      </c>
      <c r="F53" s="1050">
        <f>'Table 3 Levels 1&amp;2'!W54</f>
        <v>0.54869999999999997</v>
      </c>
      <c r="G53" s="984">
        <f t="shared" si="25"/>
        <v>2275.2745973431865</v>
      </c>
      <c r="H53" s="1037">
        <f t="shared" si="26"/>
        <v>0</v>
      </c>
      <c r="I53" s="1428"/>
      <c r="J53" s="1428"/>
      <c r="K53" s="1428"/>
      <c r="L53" s="1398">
        <f t="shared" si="34"/>
        <v>0</v>
      </c>
      <c r="M53" s="1037"/>
      <c r="N53" s="1436">
        <f t="shared" si="27"/>
        <v>0</v>
      </c>
      <c r="O53" s="1436">
        <f t="shared" si="28"/>
        <v>0</v>
      </c>
      <c r="P53" s="984">
        <f t="shared" si="35"/>
        <v>2766.3265489966907</v>
      </c>
      <c r="Q53" s="1056">
        <f t="shared" si="36"/>
        <v>0</v>
      </c>
      <c r="R53" s="1512"/>
      <c r="S53" s="1417"/>
      <c r="T53" s="1512"/>
      <c r="U53" s="1417"/>
      <c r="V53" s="1417">
        <f t="shared" si="29"/>
        <v>0</v>
      </c>
      <c r="W53" s="1417">
        <f t="shared" si="33"/>
        <v>0</v>
      </c>
      <c r="X53" s="1417"/>
      <c r="Y53" s="1417">
        <f t="shared" si="30"/>
        <v>0</v>
      </c>
      <c r="Z53" s="1417">
        <f t="shared" si="31"/>
        <v>0</v>
      </c>
      <c r="AA53" s="1064">
        <f t="shared" si="32"/>
        <v>0</v>
      </c>
      <c r="AB53" s="1522">
        <f t="shared" si="37"/>
        <v>0</v>
      </c>
    </row>
    <row r="54" spans="1:28">
      <c r="A54" s="975">
        <v>48</v>
      </c>
      <c r="B54" s="976" t="s">
        <v>217</v>
      </c>
      <c r="C54" s="983"/>
      <c r="D54" s="984">
        <f>'Table 3 Levels 1&amp;2'!$AP$77</f>
        <v>5041.6011463398772</v>
      </c>
      <c r="E54" s="1050">
        <f>'Table 3 Levels 1&amp;2'!V55</f>
        <v>0.62060000000000004</v>
      </c>
      <c r="F54" s="1050">
        <f>'Table 3 Levels 1&amp;2'!W55</f>
        <v>0.37940000000000002</v>
      </c>
      <c r="G54" s="984">
        <f t="shared" si="25"/>
        <v>3128.8176714185279</v>
      </c>
      <c r="H54" s="1037">
        <f t="shared" si="26"/>
        <v>0</v>
      </c>
      <c r="I54" s="1428"/>
      <c r="J54" s="1428"/>
      <c r="K54" s="1428"/>
      <c r="L54" s="1398">
        <f t="shared" si="34"/>
        <v>0</v>
      </c>
      <c r="M54" s="1037"/>
      <c r="N54" s="1436">
        <f t="shared" si="27"/>
        <v>0</v>
      </c>
      <c r="O54" s="1436">
        <f t="shared" si="28"/>
        <v>0</v>
      </c>
      <c r="P54" s="984">
        <f t="shared" si="35"/>
        <v>1912.7834749213496</v>
      </c>
      <c r="Q54" s="1056">
        <f t="shared" si="36"/>
        <v>0</v>
      </c>
      <c r="R54" s="1512"/>
      <c r="S54" s="1417"/>
      <c r="T54" s="1512"/>
      <c r="U54" s="1417"/>
      <c r="V54" s="1417">
        <f t="shared" si="29"/>
        <v>0</v>
      </c>
      <c r="W54" s="1417">
        <f t="shared" si="33"/>
        <v>0</v>
      </c>
      <c r="X54" s="1417"/>
      <c r="Y54" s="1417">
        <f t="shared" si="30"/>
        <v>0</v>
      </c>
      <c r="Z54" s="1417">
        <f t="shared" si="31"/>
        <v>0</v>
      </c>
      <c r="AA54" s="1064">
        <f t="shared" si="32"/>
        <v>0</v>
      </c>
      <c r="AB54" s="1522">
        <f t="shared" si="37"/>
        <v>0</v>
      </c>
    </row>
    <row r="55" spans="1:28">
      <c r="A55" s="975">
        <v>49</v>
      </c>
      <c r="B55" s="976" t="s">
        <v>149</v>
      </c>
      <c r="C55" s="983"/>
      <c r="D55" s="984">
        <f>'Table 3 Levels 1&amp;2'!$AP$77</f>
        <v>5041.6011463398772</v>
      </c>
      <c r="E55" s="1050">
        <f>'Table 3 Levels 1&amp;2'!V56</f>
        <v>0.76190000000000002</v>
      </c>
      <c r="F55" s="1050">
        <f>'Table 3 Levels 1&amp;2'!W56</f>
        <v>0.23810000000000001</v>
      </c>
      <c r="G55" s="984">
        <f t="shared" si="25"/>
        <v>3841.1959133963524</v>
      </c>
      <c r="H55" s="1037">
        <f t="shared" si="26"/>
        <v>0</v>
      </c>
      <c r="I55" s="1428"/>
      <c r="J55" s="1428"/>
      <c r="K55" s="1428"/>
      <c r="L55" s="1398">
        <f t="shared" si="34"/>
        <v>0</v>
      </c>
      <c r="M55" s="1037"/>
      <c r="N55" s="1436">
        <f t="shared" si="27"/>
        <v>0</v>
      </c>
      <c r="O55" s="1436">
        <f t="shared" si="28"/>
        <v>0</v>
      </c>
      <c r="P55" s="984">
        <f t="shared" si="35"/>
        <v>1200.4052329435249</v>
      </c>
      <c r="Q55" s="1056">
        <f t="shared" si="36"/>
        <v>0</v>
      </c>
      <c r="R55" s="1512"/>
      <c r="S55" s="1417"/>
      <c r="T55" s="1512"/>
      <c r="U55" s="1417"/>
      <c r="V55" s="1417">
        <f t="shared" si="29"/>
        <v>0</v>
      </c>
      <c r="W55" s="1417">
        <f t="shared" si="33"/>
        <v>0</v>
      </c>
      <c r="X55" s="1417"/>
      <c r="Y55" s="1417">
        <f t="shared" si="30"/>
        <v>0</v>
      </c>
      <c r="Z55" s="1417">
        <f t="shared" si="31"/>
        <v>0</v>
      </c>
      <c r="AA55" s="1064">
        <f t="shared" si="32"/>
        <v>0</v>
      </c>
      <c r="AB55" s="1522">
        <f t="shared" si="37"/>
        <v>0</v>
      </c>
    </row>
    <row r="56" spans="1:28">
      <c r="A56" s="979">
        <v>50</v>
      </c>
      <c r="B56" s="980" t="s">
        <v>150</v>
      </c>
      <c r="C56" s="985"/>
      <c r="D56" s="986">
        <f>'Table 3 Levels 1&amp;2'!$AP$77</f>
        <v>5041.6011463398772</v>
      </c>
      <c r="E56" s="1051">
        <f>'Table 3 Levels 1&amp;2'!V57</f>
        <v>0.7681</v>
      </c>
      <c r="F56" s="1051">
        <f>'Table 3 Levels 1&amp;2'!W57</f>
        <v>0.2319</v>
      </c>
      <c r="G56" s="986">
        <f t="shared" si="25"/>
        <v>3872.4538405036596</v>
      </c>
      <c r="H56" s="1038">
        <f t="shared" si="26"/>
        <v>0</v>
      </c>
      <c r="I56" s="1429"/>
      <c r="J56" s="1429"/>
      <c r="K56" s="1429"/>
      <c r="L56" s="1399">
        <f t="shared" si="34"/>
        <v>0</v>
      </c>
      <c r="M56" s="1038"/>
      <c r="N56" s="1437">
        <f t="shared" si="27"/>
        <v>0</v>
      </c>
      <c r="O56" s="1437">
        <f t="shared" si="28"/>
        <v>0</v>
      </c>
      <c r="P56" s="986">
        <f t="shared" si="35"/>
        <v>1169.1473058362176</v>
      </c>
      <c r="Q56" s="1057">
        <f t="shared" si="36"/>
        <v>0</v>
      </c>
      <c r="R56" s="1513"/>
      <c r="S56" s="1418"/>
      <c r="T56" s="1513"/>
      <c r="U56" s="1418"/>
      <c r="V56" s="1418">
        <f t="shared" si="29"/>
        <v>0</v>
      </c>
      <c r="W56" s="1418">
        <f t="shared" si="33"/>
        <v>0</v>
      </c>
      <c r="X56" s="1418"/>
      <c r="Y56" s="1418">
        <f t="shared" si="30"/>
        <v>0</v>
      </c>
      <c r="Z56" s="1418">
        <f t="shared" si="31"/>
        <v>0</v>
      </c>
      <c r="AA56" s="1065">
        <f t="shared" si="32"/>
        <v>0</v>
      </c>
      <c r="AB56" s="1523">
        <f t="shared" si="37"/>
        <v>0</v>
      </c>
    </row>
    <row r="57" spans="1:28">
      <c r="A57" s="968">
        <v>51</v>
      </c>
      <c r="B57" s="969" t="s">
        <v>151</v>
      </c>
      <c r="C57" s="987"/>
      <c r="D57" s="988">
        <f>'Table 3 Levels 1&amp;2'!$AP$77</f>
        <v>5041.6011463398772</v>
      </c>
      <c r="E57" s="1049">
        <f>'Table 3 Levels 1&amp;2'!V58</f>
        <v>0.62929999999999997</v>
      </c>
      <c r="F57" s="1049">
        <f>'Table 3 Levels 1&amp;2'!W58</f>
        <v>0.37069999999999997</v>
      </c>
      <c r="G57" s="988">
        <f t="shared" si="25"/>
        <v>3172.6796013916846</v>
      </c>
      <c r="H57" s="1039">
        <f t="shared" si="26"/>
        <v>0</v>
      </c>
      <c r="I57" s="1211"/>
      <c r="J57" s="1211"/>
      <c r="K57" s="1211"/>
      <c r="L57" s="1039">
        <f t="shared" si="34"/>
        <v>0</v>
      </c>
      <c r="M57" s="1039"/>
      <c r="N57" s="1211">
        <f t="shared" si="27"/>
        <v>0</v>
      </c>
      <c r="O57" s="1211">
        <f t="shared" si="28"/>
        <v>0</v>
      </c>
      <c r="P57" s="988">
        <f t="shared" si="35"/>
        <v>1868.9215449481924</v>
      </c>
      <c r="Q57" s="1058">
        <f t="shared" si="36"/>
        <v>0</v>
      </c>
      <c r="R57" s="1514"/>
      <c r="S57" s="1419"/>
      <c r="T57" s="1514"/>
      <c r="U57" s="1419"/>
      <c r="V57" s="1419">
        <f t="shared" si="29"/>
        <v>0</v>
      </c>
      <c r="W57" s="1419">
        <f t="shared" si="33"/>
        <v>0</v>
      </c>
      <c r="X57" s="1419"/>
      <c r="Y57" s="1419">
        <f t="shared" si="30"/>
        <v>0</v>
      </c>
      <c r="Z57" s="1419">
        <f t="shared" si="31"/>
        <v>0</v>
      </c>
      <c r="AA57" s="1066">
        <f t="shared" si="32"/>
        <v>0</v>
      </c>
      <c r="AB57" s="1524">
        <f t="shared" si="37"/>
        <v>0</v>
      </c>
    </row>
    <row r="58" spans="1:28">
      <c r="A58" s="975">
        <v>52</v>
      </c>
      <c r="B58" s="976" t="s">
        <v>152</v>
      </c>
      <c r="C58" s="983"/>
      <c r="D58" s="984">
        <f>'Table 3 Levels 1&amp;2'!$AP$77</f>
        <v>5041.6011463398772</v>
      </c>
      <c r="E58" s="1050">
        <f>'Table 3 Levels 1&amp;2'!V59</f>
        <v>0.69930000000000003</v>
      </c>
      <c r="F58" s="1050">
        <f>'Table 3 Levels 1&amp;2'!W59</f>
        <v>0.30070000000000002</v>
      </c>
      <c r="G58" s="984">
        <f t="shared" si="25"/>
        <v>3525.5916816354761</v>
      </c>
      <c r="H58" s="1037">
        <f t="shared" si="26"/>
        <v>0</v>
      </c>
      <c r="I58" s="1428"/>
      <c r="J58" s="1428"/>
      <c r="K58" s="1428"/>
      <c r="L58" s="1398">
        <f t="shared" si="34"/>
        <v>0</v>
      </c>
      <c r="M58" s="1037"/>
      <c r="N58" s="1436">
        <f t="shared" si="27"/>
        <v>0</v>
      </c>
      <c r="O58" s="1436">
        <f t="shared" si="28"/>
        <v>0</v>
      </c>
      <c r="P58" s="984">
        <f t="shared" si="35"/>
        <v>1516.0094647044011</v>
      </c>
      <c r="Q58" s="1056">
        <f t="shared" si="36"/>
        <v>0</v>
      </c>
      <c r="R58" s="1512"/>
      <c r="S58" s="1417"/>
      <c r="T58" s="1512"/>
      <c r="U58" s="1417"/>
      <c r="V58" s="1417">
        <f t="shared" si="29"/>
        <v>0</v>
      </c>
      <c r="W58" s="1417">
        <f t="shared" si="33"/>
        <v>0</v>
      </c>
      <c r="X58" s="1417"/>
      <c r="Y58" s="1417">
        <f t="shared" si="30"/>
        <v>0</v>
      </c>
      <c r="Z58" s="1417">
        <f t="shared" si="31"/>
        <v>0</v>
      </c>
      <c r="AA58" s="1064">
        <f t="shared" si="32"/>
        <v>0</v>
      </c>
      <c r="AB58" s="1522">
        <f t="shared" si="37"/>
        <v>0</v>
      </c>
    </row>
    <row r="59" spans="1:28">
      <c r="A59" s="975">
        <v>53</v>
      </c>
      <c r="B59" s="976" t="s">
        <v>153</v>
      </c>
      <c r="C59" s="983"/>
      <c r="D59" s="984">
        <f>'Table 3 Levels 1&amp;2'!$AP$77</f>
        <v>5041.6011463398772</v>
      </c>
      <c r="E59" s="1050">
        <f>'Table 3 Levels 1&amp;2'!V60</f>
        <v>0.78339999999999999</v>
      </c>
      <c r="F59" s="1050">
        <f>'Table 3 Levels 1&amp;2'!W60</f>
        <v>0.21659999999999999</v>
      </c>
      <c r="G59" s="984">
        <f t="shared" si="25"/>
        <v>3949.5903380426598</v>
      </c>
      <c r="H59" s="1037">
        <f t="shared" si="26"/>
        <v>0</v>
      </c>
      <c r="I59" s="1428"/>
      <c r="J59" s="1428"/>
      <c r="K59" s="1428"/>
      <c r="L59" s="1398">
        <f t="shared" si="34"/>
        <v>0</v>
      </c>
      <c r="M59" s="1037"/>
      <c r="N59" s="1436">
        <f t="shared" si="27"/>
        <v>0</v>
      </c>
      <c r="O59" s="1436">
        <f t="shared" si="28"/>
        <v>0</v>
      </c>
      <c r="P59" s="984">
        <f t="shared" si="35"/>
        <v>1092.0108082972174</v>
      </c>
      <c r="Q59" s="1056">
        <f t="shared" si="36"/>
        <v>0</v>
      </c>
      <c r="R59" s="1512"/>
      <c r="S59" s="1417"/>
      <c r="T59" s="1512"/>
      <c r="U59" s="1417"/>
      <c r="V59" s="1417">
        <f t="shared" si="29"/>
        <v>0</v>
      </c>
      <c r="W59" s="1417">
        <f t="shared" si="33"/>
        <v>0</v>
      </c>
      <c r="X59" s="1417"/>
      <c r="Y59" s="1417">
        <f t="shared" si="30"/>
        <v>0</v>
      </c>
      <c r="Z59" s="1417">
        <f t="shared" si="31"/>
        <v>0</v>
      </c>
      <c r="AA59" s="1064">
        <f t="shared" si="32"/>
        <v>0</v>
      </c>
      <c r="AB59" s="1522">
        <f t="shared" si="37"/>
        <v>0</v>
      </c>
    </row>
    <row r="60" spans="1:28">
      <c r="A60" s="975">
        <v>54</v>
      </c>
      <c r="B60" s="976" t="s">
        <v>154</v>
      </c>
      <c r="C60" s="983"/>
      <c r="D60" s="984">
        <f>'Table 3 Levels 1&amp;2'!$AP$77</f>
        <v>5041.6011463398772</v>
      </c>
      <c r="E60" s="1050">
        <f>'Table 3 Levels 1&amp;2'!V61</f>
        <v>0.76129999999999998</v>
      </c>
      <c r="F60" s="1050">
        <f>'Table 3 Levels 1&amp;2'!W61</f>
        <v>0.2387</v>
      </c>
      <c r="G60" s="984">
        <f t="shared" si="25"/>
        <v>3838.1709527085486</v>
      </c>
      <c r="H60" s="1037">
        <f t="shared" si="26"/>
        <v>0</v>
      </c>
      <c r="I60" s="1428"/>
      <c r="J60" s="1428"/>
      <c r="K60" s="1428"/>
      <c r="L60" s="1398">
        <f t="shared" si="34"/>
        <v>0</v>
      </c>
      <c r="M60" s="1037"/>
      <c r="N60" s="1436">
        <f t="shared" si="27"/>
        <v>0</v>
      </c>
      <c r="O60" s="1436">
        <f t="shared" si="28"/>
        <v>0</v>
      </c>
      <c r="P60" s="984">
        <f t="shared" si="35"/>
        <v>1203.4301936313286</v>
      </c>
      <c r="Q60" s="1056">
        <f t="shared" si="36"/>
        <v>0</v>
      </c>
      <c r="R60" s="1512"/>
      <c r="S60" s="1417"/>
      <c r="T60" s="1512"/>
      <c r="U60" s="1417"/>
      <c r="V60" s="1417">
        <f t="shared" si="29"/>
        <v>0</v>
      </c>
      <c r="W60" s="1417">
        <f t="shared" si="33"/>
        <v>0</v>
      </c>
      <c r="X60" s="1417"/>
      <c r="Y60" s="1417">
        <f t="shared" si="30"/>
        <v>0</v>
      </c>
      <c r="Z60" s="1417">
        <f t="shared" si="31"/>
        <v>0</v>
      </c>
      <c r="AA60" s="1064">
        <f t="shared" si="32"/>
        <v>0</v>
      </c>
      <c r="AB60" s="1522">
        <f t="shared" si="37"/>
        <v>0</v>
      </c>
    </row>
    <row r="61" spans="1:28">
      <c r="A61" s="979">
        <v>55</v>
      </c>
      <c r="B61" s="980" t="s">
        <v>155</v>
      </c>
      <c r="C61" s="985"/>
      <c r="D61" s="986">
        <f>'Table 3 Levels 1&amp;2'!$AP$77</f>
        <v>5041.6011463398772</v>
      </c>
      <c r="E61" s="1051">
        <f>'Table 3 Levels 1&amp;2'!V62</f>
        <v>0.65500000000000003</v>
      </c>
      <c r="F61" s="1051">
        <f>'Table 3 Levels 1&amp;2'!W62</f>
        <v>0.34499999999999997</v>
      </c>
      <c r="G61" s="986">
        <f t="shared" si="25"/>
        <v>3302.2487508526197</v>
      </c>
      <c r="H61" s="1038">
        <f t="shared" si="26"/>
        <v>0</v>
      </c>
      <c r="I61" s="1429"/>
      <c r="J61" s="1429"/>
      <c r="K61" s="1429"/>
      <c r="L61" s="1399">
        <f t="shared" si="34"/>
        <v>0</v>
      </c>
      <c r="M61" s="1038"/>
      <c r="N61" s="1437">
        <f t="shared" si="27"/>
        <v>0</v>
      </c>
      <c r="O61" s="1437">
        <f t="shared" si="28"/>
        <v>0</v>
      </c>
      <c r="P61" s="986">
        <f t="shared" si="35"/>
        <v>1739.3523954872576</v>
      </c>
      <c r="Q61" s="1057">
        <f t="shared" si="36"/>
        <v>0</v>
      </c>
      <c r="R61" s="1513"/>
      <c r="S61" s="1418"/>
      <c r="T61" s="1513"/>
      <c r="U61" s="1418"/>
      <c r="V61" s="1418">
        <f t="shared" si="29"/>
        <v>0</v>
      </c>
      <c r="W61" s="1418">
        <f t="shared" si="33"/>
        <v>0</v>
      </c>
      <c r="X61" s="1418"/>
      <c r="Y61" s="1418">
        <f t="shared" si="30"/>
        <v>0</v>
      </c>
      <c r="Z61" s="1418">
        <f t="shared" si="31"/>
        <v>0</v>
      </c>
      <c r="AA61" s="1065">
        <f t="shared" si="32"/>
        <v>0</v>
      </c>
      <c r="AB61" s="1523">
        <f t="shared" si="37"/>
        <v>0</v>
      </c>
    </row>
    <row r="62" spans="1:28">
      <c r="A62" s="968">
        <v>56</v>
      </c>
      <c r="B62" s="969" t="s">
        <v>156</v>
      </c>
      <c r="C62" s="987"/>
      <c r="D62" s="988">
        <f>'Table 3 Levels 1&amp;2'!$AP$77</f>
        <v>5041.6011463398772</v>
      </c>
      <c r="E62" s="1049">
        <f>'Table 3 Levels 1&amp;2'!V63</f>
        <v>0.71930000000000005</v>
      </c>
      <c r="F62" s="1049">
        <f>'Table 3 Levels 1&amp;2'!W63</f>
        <v>0.28070000000000001</v>
      </c>
      <c r="G62" s="988">
        <f t="shared" si="25"/>
        <v>3626.423704562274</v>
      </c>
      <c r="H62" s="1039">
        <f t="shared" si="26"/>
        <v>0</v>
      </c>
      <c r="I62" s="1211"/>
      <c r="J62" s="1211"/>
      <c r="K62" s="1211"/>
      <c r="L62" s="1039">
        <f t="shared" si="34"/>
        <v>0</v>
      </c>
      <c r="M62" s="1039"/>
      <c r="N62" s="1211">
        <f t="shared" si="27"/>
        <v>0</v>
      </c>
      <c r="O62" s="1211">
        <f t="shared" si="28"/>
        <v>0</v>
      </c>
      <c r="P62" s="988">
        <f t="shared" si="35"/>
        <v>1415.1774417776035</v>
      </c>
      <c r="Q62" s="1058">
        <f t="shared" si="36"/>
        <v>0</v>
      </c>
      <c r="R62" s="1514"/>
      <c r="S62" s="1419"/>
      <c r="T62" s="1514"/>
      <c r="U62" s="1419"/>
      <c r="V62" s="1419">
        <f t="shared" si="29"/>
        <v>0</v>
      </c>
      <c r="W62" s="1419">
        <f t="shared" si="33"/>
        <v>0</v>
      </c>
      <c r="X62" s="1419"/>
      <c r="Y62" s="1419">
        <f t="shared" si="30"/>
        <v>0</v>
      </c>
      <c r="Z62" s="1419">
        <f t="shared" si="31"/>
        <v>0</v>
      </c>
      <c r="AA62" s="1066">
        <f t="shared" si="32"/>
        <v>0</v>
      </c>
      <c r="AB62" s="1524">
        <f t="shared" si="37"/>
        <v>0</v>
      </c>
    </row>
    <row r="63" spans="1:28">
      <c r="A63" s="975">
        <v>57</v>
      </c>
      <c r="B63" s="976" t="s">
        <v>157</v>
      </c>
      <c r="C63" s="983"/>
      <c r="D63" s="984">
        <f>'Table 3 Levels 1&amp;2'!$AP$77</f>
        <v>5041.6011463398772</v>
      </c>
      <c r="E63" s="1050">
        <f>'Table 3 Levels 1&amp;2'!V64</f>
        <v>0.7</v>
      </c>
      <c r="F63" s="1050">
        <f>'Table 3 Levels 1&amp;2'!W64</f>
        <v>0.3</v>
      </c>
      <c r="G63" s="984">
        <f t="shared" si="25"/>
        <v>3529.1208024379139</v>
      </c>
      <c r="H63" s="1037">
        <f t="shared" si="26"/>
        <v>0</v>
      </c>
      <c r="I63" s="1428"/>
      <c r="J63" s="1428"/>
      <c r="K63" s="1428"/>
      <c r="L63" s="1398">
        <f t="shared" si="34"/>
        <v>0</v>
      </c>
      <c r="M63" s="1037"/>
      <c r="N63" s="1436">
        <f t="shared" si="27"/>
        <v>0</v>
      </c>
      <c r="O63" s="1436">
        <f t="shared" si="28"/>
        <v>0</v>
      </c>
      <c r="P63" s="984">
        <f t="shared" si="35"/>
        <v>1512.4803439019631</v>
      </c>
      <c r="Q63" s="1056">
        <f t="shared" si="36"/>
        <v>0</v>
      </c>
      <c r="R63" s="1512"/>
      <c r="S63" s="1417"/>
      <c r="T63" s="1512"/>
      <c r="U63" s="1417"/>
      <c r="V63" s="1417">
        <f t="shared" si="29"/>
        <v>0</v>
      </c>
      <c r="W63" s="1417">
        <f t="shared" si="33"/>
        <v>0</v>
      </c>
      <c r="X63" s="1417"/>
      <c r="Y63" s="1417">
        <f t="shared" si="30"/>
        <v>0</v>
      </c>
      <c r="Z63" s="1417">
        <f t="shared" si="31"/>
        <v>0</v>
      </c>
      <c r="AA63" s="1064">
        <f t="shared" si="32"/>
        <v>0</v>
      </c>
      <c r="AB63" s="1522">
        <f t="shared" si="37"/>
        <v>0</v>
      </c>
    </row>
    <row r="64" spans="1:28">
      <c r="A64" s="975">
        <v>58</v>
      </c>
      <c r="B64" s="976" t="s">
        <v>158</v>
      </c>
      <c r="C64" s="983"/>
      <c r="D64" s="984">
        <f>'Table 3 Levels 1&amp;2'!$AP$77</f>
        <v>5041.6011463398772</v>
      </c>
      <c r="E64" s="1050">
        <f>'Table 3 Levels 1&amp;2'!V65</f>
        <v>0.85529999999999995</v>
      </c>
      <c r="F64" s="1050">
        <f>'Table 3 Levels 1&amp;2'!W65</f>
        <v>0.1447</v>
      </c>
      <c r="G64" s="984">
        <f t="shared" si="25"/>
        <v>4312.0814604644966</v>
      </c>
      <c r="H64" s="1037">
        <f t="shared" si="26"/>
        <v>0</v>
      </c>
      <c r="I64" s="1428"/>
      <c r="J64" s="1428"/>
      <c r="K64" s="1428"/>
      <c r="L64" s="1398">
        <f t="shared" si="34"/>
        <v>0</v>
      </c>
      <c r="M64" s="1037"/>
      <c r="N64" s="1436">
        <f t="shared" si="27"/>
        <v>0</v>
      </c>
      <c r="O64" s="1436">
        <f t="shared" si="28"/>
        <v>0</v>
      </c>
      <c r="P64" s="984">
        <f t="shared" si="35"/>
        <v>729.51968587538022</v>
      </c>
      <c r="Q64" s="1056">
        <f t="shared" si="36"/>
        <v>0</v>
      </c>
      <c r="R64" s="1512"/>
      <c r="S64" s="1417"/>
      <c r="T64" s="1512"/>
      <c r="U64" s="1417"/>
      <c r="V64" s="1417">
        <f t="shared" si="29"/>
        <v>0</v>
      </c>
      <c r="W64" s="1417">
        <f t="shared" si="33"/>
        <v>0</v>
      </c>
      <c r="X64" s="1417"/>
      <c r="Y64" s="1417">
        <f t="shared" si="30"/>
        <v>0</v>
      </c>
      <c r="Z64" s="1417">
        <f t="shared" si="31"/>
        <v>0</v>
      </c>
      <c r="AA64" s="1064">
        <f t="shared" si="32"/>
        <v>0</v>
      </c>
      <c r="AB64" s="1522">
        <f t="shared" si="37"/>
        <v>0</v>
      </c>
    </row>
    <row r="65" spans="1:28">
      <c r="A65" s="975">
        <v>59</v>
      </c>
      <c r="B65" s="976" t="s">
        <v>159</v>
      </c>
      <c r="C65" s="983"/>
      <c r="D65" s="984">
        <f>'Table 3 Levels 1&amp;2'!$AP$77</f>
        <v>5041.6011463398772</v>
      </c>
      <c r="E65" s="1050">
        <f>'Table 3 Levels 1&amp;2'!V66</f>
        <v>0.89449999999999996</v>
      </c>
      <c r="F65" s="1050">
        <f>'Table 3 Levels 1&amp;2'!W66</f>
        <v>0.1055</v>
      </c>
      <c r="G65" s="984">
        <f t="shared" si="25"/>
        <v>4509.7122254010201</v>
      </c>
      <c r="H65" s="1037">
        <f t="shared" si="26"/>
        <v>0</v>
      </c>
      <c r="I65" s="1428"/>
      <c r="J65" s="1428"/>
      <c r="K65" s="1428"/>
      <c r="L65" s="1398">
        <f t="shared" si="34"/>
        <v>0</v>
      </c>
      <c r="M65" s="1037"/>
      <c r="N65" s="1436">
        <f t="shared" si="27"/>
        <v>0</v>
      </c>
      <c r="O65" s="1436">
        <f t="shared" si="28"/>
        <v>0</v>
      </c>
      <c r="P65" s="984">
        <f t="shared" si="35"/>
        <v>531.88892093885704</v>
      </c>
      <c r="Q65" s="1056">
        <f t="shared" si="36"/>
        <v>0</v>
      </c>
      <c r="R65" s="1512"/>
      <c r="S65" s="1417"/>
      <c r="T65" s="1512"/>
      <c r="U65" s="1417"/>
      <c r="V65" s="1417">
        <f t="shared" si="29"/>
        <v>0</v>
      </c>
      <c r="W65" s="1417">
        <f t="shared" si="33"/>
        <v>0</v>
      </c>
      <c r="X65" s="1417"/>
      <c r="Y65" s="1417">
        <f t="shared" si="30"/>
        <v>0</v>
      </c>
      <c r="Z65" s="1417">
        <f t="shared" si="31"/>
        <v>0</v>
      </c>
      <c r="AA65" s="1064">
        <f t="shared" si="32"/>
        <v>0</v>
      </c>
      <c r="AB65" s="1522">
        <f t="shared" si="37"/>
        <v>0</v>
      </c>
    </row>
    <row r="66" spans="1:28">
      <c r="A66" s="979">
        <v>60</v>
      </c>
      <c r="B66" s="980" t="s">
        <v>160</v>
      </c>
      <c r="C66" s="985"/>
      <c r="D66" s="986">
        <f>'Table 3 Levels 1&amp;2'!$AP$77</f>
        <v>5041.6011463398772</v>
      </c>
      <c r="E66" s="1051">
        <f>'Table 3 Levels 1&amp;2'!V67</f>
        <v>0.71040000000000003</v>
      </c>
      <c r="F66" s="1051">
        <f>'Table 3 Levels 1&amp;2'!W67</f>
        <v>0.28960000000000002</v>
      </c>
      <c r="G66" s="986">
        <f t="shared" si="25"/>
        <v>3581.5534543598487</v>
      </c>
      <c r="H66" s="1038">
        <f t="shared" si="26"/>
        <v>0</v>
      </c>
      <c r="I66" s="1429"/>
      <c r="J66" s="1429"/>
      <c r="K66" s="1429"/>
      <c r="L66" s="1399">
        <f t="shared" si="34"/>
        <v>0</v>
      </c>
      <c r="M66" s="1038"/>
      <c r="N66" s="1437">
        <f t="shared" si="27"/>
        <v>0</v>
      </c>
      <c r="O66" s="1437">
        <f t="shared" si="28"/>
        <v>0</v>
      </c>
      <c r="P66" s="986">
        <f t="shared" si="35"/>
        <v>1460.0476919800285</v>
      </c>
      <c r="Q66" s="1057">
        <f t="shared" si="36"/>
        <v>0</v>
      </c>
      <c r="R66" s="1513"/>
      <c r="S66" s="1418"/>
      <c r="T66" s="1513"/>
      <c r="U66" s="1418"/>
      <c r="V66" s="1418">
        <f t="shared" si="29"/>
        <v>0</v>
      </c>
      <c r="W66" s="1418">
        <f t="shared" si="33"/>
        <v>0</v>
      </c>
      <c r="X66" s="1418"/>
      <c r="Y66" s="1418">
        <f t="shared" si="30"/>
        <v>0</v>
      </c>
      <c r="Z66" s="1418">
        <f t="shared" si="31"/>
        <v>0</v>
      </c>
      <c r="AA66" s="1065">
        <f t="shared" si="32"/>
        <v>0</v>
      </c>
      <c r="AB66" s="1523">
        <f t="shared" si="37"/>
        <v>0</v>
      </c>
    </row>
    <row r="67" spans="1:28">
      <c r="A67" s="968">
        <v>61</v>
      </c>
      <c r="B67" s="969" t="s">
        <v>161</v>
      </c>
      <c r="C67" s="987"/>
      <c r="D67" s="988">
        <f>'Table 3 Levels 1&amp;2'!$AP$77</f>
        <v>5041.6011463398772</v>
      </c>
      <c r="E67" s="1049">
        <f>'Table 3 Levels 1&amp;2'!V68</f>
        <v>0.48449999999999999</v>
      </c>
      <c r="F67" s="1049">
        <f>'Table 3 Levels 1&amp;2'!W68</f>
        <v>0.51549999999999996</v>
      </c>
      <c r="G67" s="988">
        <f t="shared" si="25"/>
        <v>2442.6557554016704</v>
      </c>
      <c r="H67" s="1039">
        <f t="shared" si="26"/>
        <v>0</v>
      </c>
      <c r="I67" s="1211"/>
      <c r="J67" s="1211"/>
      <c r="K67" s="1211"/>
      <c r="L67" s="1039">
        <f t="shared" si="34"/>
        <v>0</v>
      </c>
      <c r="M67" s="1039"/>
      <c r="N67" s="1211">
        <f t="shared" si="27"/>
        <v>0</v>
      </c>
      <c r="O67" s="1211">
        <f t="shared" si="28"/>
        <v>0</v>
      </c>
      <c r="P67" s="988">
        <f t="shared" si="35"/>
        <v>2598.9453909382064</v>
      </c>
      <c r="Q67" s="1058">
        <f t="shared" si="36"/>
        <v>0</v>
      </c>
      <c r="R67" s="1514"/>
      <c r="S67" s="1419"/>
      <c r="T67" s="1514"/>
      <c r="U67" s="1419"/>
      <c r="V67" s="1419">
        <f t="shared" si="29"/>
        <v>0</v>
      </c>
      <c r="W67" s="1419">
        <f t="shared" si="33"/>
        <v>0</v>
      </c>
      <c r="X67" s="1419"/>
      <c r="Y67" s="1419">
        <f t="shared" si="30"/>
        <v>0</v>
      </c>
      <c r="Z67" s="1419">
        <f t="shared" si="31"/>
        <v>0</v>
      </c>
      <c r="AA67" s="1066">
        <f t="shared" si="32"/>
        <v>0</v>
      </c>
      <c r="AB67" s="1524">
        <f t="shared" si="37"/>
        <v>0</v>
      </c>
    </row>
    <row r="68" spans="1:28">
      <c r="A68" s="975">
        <v>62</v>
      </c>
      <c r="B68" s="976" t="s">
        <v>162</v>
      </c>
      <c r="C68" s="983"/>
      <c r="D68" s="984">
        <f>'Table 3 Levels 1&amp;2'!$AP$77</f>
        <v>5041.6011463398772</v>
      </c>
      <c r="E68" s="1050">
        <f>'Table 3 Levels 1&amp;2'!V69</f>
        <v>0.8407</v>
      </c>
      <c r="F68" s="1050">
        <f>'Table 3 Levels 1&amp;2'!W69</f>
        <v>0.1593</v>
      </c>
      <c r="G68" s="984">
        <f t="shared" si="25"/>
        <v>4238.4740837279351</v>
      </c>
      <c r="H68" s="1037">
        <f t="shared" si="26"/>
        <v>0</v>
      </c>
      <c r="I68" s="1428"/>
      <c r="J68" s="1428"/>
      <c r="K68" s="1428"/>
      <c r="L68" s="1398">
        <f t="shared" si="34"/>
        <v>0</v>
      </c>
      <c r="M68" s="1037"/>
      <c r="N68" s="1436">
        <f t="shared" si="27"/>
        <v>0</v>
      </c>
      <c r="O68" s="1436">
        <f t="shared" si="28"/>
        <v>0</v>
      </c>
      <c r="P68" s="984">
        <f t="shared" si="35"/>
        <v>803.12706261194239</v>
      </c>
      <c r="Q68" s="1056">
        <f t="shared" si="36"/>
        <v>0</v>
      </c>
      <c r="R68" s="1512"/>
      <c r="S68" s="1417"/>
      <c r="T68" s="1512"/>
      <c r="U68" s="1417"/>
      <c r="V68" s="1417">
        <f t="shared" si="29"/>
        <v>0</v>
      </c>
      <c r="W68" s="1417">
        <f t="shared" si="33"/>
        <v>0</v>
      </c>
      <c r="X68" s="1417"/>
      <c r="Y68" s="1417">
        <f t="shared" si="30"/>
        <v>0</v>
      </c>
      <c r="Z68" s="1417">
        <f t="shared" si="31"/>
        <v>0</v>
      </c>
      <c r="AA68" s="1064">
        <f t="shared" si="32"/>
        <v>0</v>
      </c>
      <c r="AB68" s="1522">
        <f t="shared" si="37"/>
        <v>0</v>
      </c>
    </row>
    <row r="69" spans="1:28">
      <c r="A69" s="975">
        <v>63</v>
      </c>
      <c r="B69" s="976" t="s">
        <v>163</v>
      </c>
      <c r="C69" s="983"/>
      <c r="D69" s="984">
        <f>'Table 3 Levels 1&amp;2'!$AP$77</f>
        <v>5041.6011463398772</v>
      </c>
      <c r="E69" s="1050">
        <f>'Table 3 Levels 1&amp;2'!V70</f>
        <v>0.47810000000000002</v>
      </c>
      <c r="F69" s="1050">
        <f>'Table 3 Levels 1&amp;2'!W70</f>
        <v>0.52190000000000003</v>
      </c>
      <c r="G69" s="984">
        <f t="shared" si="25"/>
        <v>2410.3895080650955</v>
      </c>
      <c r="H69" s="1037">
        <f t="shared" si="26"/>
        <v>0</v>
      </c>
      <c r="I69" s="1428"/>
      <c r="J69" s="1428"/>
      <c r="K69" s="1428"/>
      <c r="L69" s="1398">
        <f t="shared" si="34"/>
        <v>0</v>
      </c>
      <c r="M69" s="1037"/>
      <c r="N69" s="1436">
        <f t="shared" si="27"/>
        <v>0</v>
      </c>
      <c r="O69" s="1436">
        <f t="shared" si="28"/>
        <v>0</v>
      </c>
      <c r="P69" s="984">
        <f t="shared" si="35"/>
        <v>2631.2116382747822</v>
      </c>
      <c r="Q69" s="1056">
        <f t="shared" si="36"/>
        <v>0</v>
      </c>
      <c r="R69" s="1512"/>
      <c r="S69" s="1417"/>
      <c r="T69" s="1512"/>
      <c r="U69" s="1417"/>
      <c r="V69" s="1417">
        <f t="shared" si="29"/>
        <v>0</v>
      </c>
      <c r="W69" s="1417">
        <f t="shared" si="33"/>
        <v>0</v>
      </c>
      <c r="X69" s="1417"/>
      <c r="Y69" s="1417">
        <f t="shared" si="30"/>
        <v>0</v>
      </c>
      <c r="Z69" s="1417">
        <f t="shared" si="31"/>
        <v>0</v>
      </c>
      <c r="AA69" s="1064">
        <f t="shared" si="32"/>
        <v>0</v>
      </c>
      <c r="AB69" s="1522">
        <f t="shared" si="37"/>
        <v>0</v>
      </c>
    </row>
    <row r="70" spans="1:28">
      <c r="A70" s="975">
        <v>64</v>
      </c>
      <c r="B70" s="976" t="s">
        <v>164</v>
      </c>
      <c r="C70" s="983"/>
      <c r="D70" s="984">
        <f>'Table 3 Levels 1&amp;2'!$AP$77</f>
        <v>5041.6011463398772</v>
      </c>
      <c r="E70" s="1050">
        <f>'Table 3 Levels 1&amp;2'!V71</f>
        <v>0.79720000000000002</v>
      </c>
      <c r="F70" s="1050">
        <f>'Table 3 Levels 1&amp;2'!W71</f>
        <v>0.20280000000000001</v>
      </c>
      <c r="G70" s="984">
        <f t="shared" si="25"/>
        <v>4019.1644338621504</v>
      </c>
      <c r="H70" s="1037">
        <f t="shared" si="26"/>
        <v>0</v>
      </c>
      <c r="I70" s="1428"/>
      <c r="J70" s="1428"/>
      <c r="K70" s="1428"/>
      <c r="L70" s="1398">
        <f t="shared" si="34"/>
        <v>0</v>
      </c>
      <c r="M70" s="1037"/>
      <c r="N70" s="1436">
        <f t="shared" si="27"/>
        <v>0</v>
      </c>
      <c r="O70" s="1436">
        <f t="shared" si="28"/>
        <v>0</v>
      </c>
      <c r="P70" s="984">
        <f t="shared" si="35"/>
        <v>1022.4367124777272</v>
      </c>
      <c r="Q70" s="1056">
        <f t="shared" si="36"/>
        <v>0</v>
      </c>
      <c r="R70" s="1512"/>
      <c r="S70" s="1417"/>
      <c r="T70" s="1512"/>
      <c r="U70" s="1417"/>
      <c r="V70" s="1417">
        <f t="shared" si="29"/>
        <v>0</v>
      </c>
      <c r="W70" s="1417">
        <f t="shared" si="33"/>
        <v>0</v>
      </c>
      <c r="X70" s="1417"/>
      <c r="Y70" s="1417">
        <f t="shared" si="30"/>
        <v>0</v>
      </c>
      <c r="Z70" s="1417">
        <f t="shared" si="31"/>
        <v>0</v>
      </c>
      <c r="AA70" s="1064">
        <f t="shared" si="32"/>
        <v>0</v>
      </c>
      <c r="AB70" s="1522">
        <f t="shared" si="37"/>
        <v>0</v>
      </c>
    </row>
    <row r="71" spans="1:28">
      <c r="A71" s="979">
        <v>65</v>
      </c>
      <c r="B71" s="980" t="s">
        <v>165</v>
      </c>
      <c r="C71" s="985"/>
      <c r="D71" s="986">
        <f>'Table 3 Levels 1&amp;2'!$AP$77</f>
        <v>5041.6011463398772</v>
      </c>
      <c r="E71" s="1051">
        <f>'Table 3 Levels 1&amp;2'!V72</f>
        <v>0.64970000000000006</v>
      </c>
      <c r="F71" s="1051">
        <f>'Table 3 Levels 1&amp;2'!W72</f>
        <v>0.3503</v>
      </c>
      <c r="G71" s="986">
        <f t="shared" si="25"/>
        <v>3275.5282647770186</v>
      </c>
      <c r="H71" s="1038">
        <f t="shared" si="26"/>
        <v>0</v>
      </c>
      <c r="I71" s="1429"/>
      <c r="J71" s="1429"/>
      <c r="K71" s="1429"/>
      <c r="L71" s="1399">
        <f t="shared" ref="L71:L76" si="38">H71+K71</f>
        <v>0</v>
      </c>
      <c r="M71" s="1038"/>
      <c r="N71" s="1437">
        <f t="shared" si="27"/>
        <v>0</v>
      </c>
      <c r="O71" s="1437">
        <f t="shared" si="28"/>
        <v>0</v>
      </c>
      <c r="P71" s="986">
        <f t="shared" si="35"/>
        <v>1766.072881562859</v>
      </c>
      <c r="Q71" s="1057">
        <f t="shared" ref="Q71:Q75" si="39">P71*C71</f>
        <v>0</v>
      </c>
      <c r="R71" s="1513"/>
      <c r="S71" s="1418"/>
      <c r="T71" s="1513"/>
      <c r="U71" s="1418"/>
      <c r="V71" s="1418">
        <f t="shared" si="29"/>
        <v>0</v>
      </c>
      <c r="W71" s="1418">
        <f t="shared" si="33"/>
        <v>0</v>
      </c>
      <c r="X71" s="1418"/>
      <c r="Y71" s="1418">
        <f t="shared" si="30"/>
        <v>0</v>
      </c>
      <c r="Z71" s="1418">
        <f t="shared" si="31"/>
        <v>0</v>
      </c>
      <c r="AA71" s="1065">
        <f t="shared" si="32"/>
        <v>0</v>
      </c>
      <c r="AB71" s="1523">
        <f t="shared" ref="AB71:AB76" si="40">O71+Z71</f>
        <v>0</v>
      </c>
    </row>
    <row r="72" spans="1:28">
      <c r="A72" s="968">
        <v>66</v>
      </c>
      <c r="B72" s="969" t="s">
        <v>166</v>
      </c>
      <c r="C72" s="987"/>
      <c r="D72" s="988">
        <f>'Table 3 Levels 1&amp;2'!$AP$77</f>
        <v>5041.6011463398772</v>
      </c>
      <c r="E72" s="1049">
        <f>'Table 3 Levels 1&amp;2'!V73</f>
        <v>0.74819999999999998</v>
      </c>
      <c r="F72" s="1049">
        <f>'Table 3 Levels 1&amp;2'!W73</f>
        <v>0.25180000000000002</v>
      </c>
      <c r="G72" s="988">
        <f t="shared" ref="G72:G76" si="41">D72*E72</f>
        <v>3772.1259776914962</v>
      </c>
      <c r="H72" s="1039">
        <f t="shared" ref="H72:H76" si="42">G72*C72</f>
        <v>0</v>
      </c>
      <c r="I72" s="1211"/>
      <c r="J72" s="1211"/>
      <c r="K72" s="1211"/>
      <c r="L72" s="1039">
        <f t="shared" si="38"/>
        <v>0</v>
      </c>
      <c r="M72" s="1039"/>
      <c r="N72" s="1211">
        <f t="shared" ref="N72:N76" si="43">L72-M72</f>
        <v>0</v>
      </c>
      <c r="O72" s="1211">
        <f t="shared" ref="O72:O76" si="44">ROUND(N72/2,0)</f>
        <v>0</v>
      </c>
      <c r="P72" s="988">
        <f t="shared" si="35"/>
        <v>1269.4751686483812</v>
      </c>
      <c r="Q72" s="1058">
        <f t="shared" si="39"/>
        <v>0</v>
      </c>
      <c r="R72" s="1514"/>
      <c r="S72" s="1419"/>
      <c r="T72" s="1514"/>
      <c r="U72" s="1419"/>
      <c r="V72" s="1419">
        <f t="shared" ref="V72:V76" si="45">S72+U72</f>
        <v>0</v>
      </c>
      <c r="W72" s="1419">
        <f t="shared" ref="W72:W76" si="46">Q72+V72</f>
        <v>0</v>
      </c>
      <c r="X72" s="1419"/>
      <c r="Y72" s="1419">
        <f t="shared" ref="Y72:Y76" si="47">W72-X72</f>
        <v>0</v>
      </c>
      <c r="Z72" s="1419">
        <f t="shared" ref="Z72:Z76" si="48">ROUND(Y72/2,0)</f>
        <v>0</v>
      </c>
      <c r="AA72" s="1066">
        <f t="shared" ref="AA72:AA76" si="49">L72+W72</f>
        <v>0</v>
      </c>
      <c r="AB72" s="1524">
        <f t="shared" si="40"/>
        <v>0</v>
      </c>
    </row>
    <row r="73" spans="1:28">
      <c r="A73" s="975">
        <v>67</v>
      </c>
      <c r="B73" s="976" t="s">
        <v>33</v>
      </c>
      <c r="C73" s="983"/>
      <c r="D73" s="984">
        <f>'Table 3 Levels 1&amp;2'!$AP$77</f>
        <v>5041.6011463398772</v>
      </c>
      <c r="E73" s="1050">
        <f>'Table 3 Levels 1&amp;2'!V74</f>
        <v>0.75019999999999998</v>
      </c>
      <c r="F73" s="1050">
        <f>'Table 3 Levels 1&amp;2'!W74</f>
        <v>0.24979999999999999</v>
      </c>
      <c r="G73" s="984">
        <f t="shared" si="41"/>
        <v>3782.209179984176</v>
      </c>
      <c r="H73" s="1037">
        <f t="shared" si="42"/>
        <v>0</v>
      </c>
      <c r="I73" s="1428"/>
      <c r="J73" s="1428"/>
      <c r="K73" s="1428"/>
      <c r="L73" s="1398">
        <f t="shared" si="38"/>
        <v>0</v>
      </c>
      <c r="M73" s="1037"/>
      <c r="N73" s="1436">
        <f t="shared" si="43"/>
        <v>0</v>
      </c>
      <c r="O73" s="1436">
        <f t="shared" si="44"/>
        <v>0</v>
      </c>
      <c r="P73" s="984">
        <f t="shared" si="35"/>
        <v>1259.3919663557012</v>
      </c>
      <c r="Q73" s="1056">
        <f t="shared" si="39"/>
        <v>0</v>
      </c>
      <c r="R73" s="1512"/>
      <c r="S73" s="1417"/>
      <c r="T73" s="1512"/>
      <c r="U73" s="1417"/>
      <c r="V73" s="1417">
        <f t="shared" si="45"/>
        <v>0</v>
      </c>
      <c r="W73" s="1417">
        <f t="shared" si="46"/>
        <v>0</v>
      </c>
      <c r="X73" s="1417"/>
      <c r="Y73" s="1417">
        <f t="shared" si="47"/>
        <v>0</v>
      </c>
      <c r="Z73" s="1417">
        <f t="shared" si="48"/>
        <v>0</v>
      </c>
      <c r="AA73" s="1064">
        <f t="shared" si="49"/>
        <v>0</v>
      </c>
      <c r="AB73" s="1522">
        <f t="shared" si="40"/>
        <v>0</v>
      </c>
    </row>
    <row r="74" spans="1:28">
      <c r="A74" s="975">
        <v>68</v>
      </c>
      <c r="B74" s="976" t="s">
        <v>31</v>
      </c>
      <c r="C74" s="983"/>
      <c r="D74" s="984">
        <f>'Table 3 Levels 1&amp;2'!$AP$77</f>
        <v>5041.6011463398772</v>
      </c>
      <c r="E74" s="1050">
        <f>'Table 3 Levels 1&amp;2'!V75</f>
        <v>0.79110000000000003</v>
      </c>
      <c r="F74" s="1050">
        <f>'Table 3 Levels 1&amp;2'!W75</f>
        <v>0.2089</v>
      </c>
      <c r="G74" s="984">
        <f t="shared" si="41"/>
        <v>3988.4106668694772</v>
      </c>
      <c r="H74" s="1037">
        <f t="shared" si="42"/>
        <v>0</v>
      </c>
      <c r="I74" s="1428"/>
      <c r="J74" s="1428"/>
      <c r="K74" s="1428"/>
      <c r="L74" s="1398">
        <f t="shared" si="38"/>
        <v>0</v>
      </c>
      <c r="M74" s="1037"/>
      <c r="N74" s="1436">
        <f t="shared" si="43"/>
        <v>0</v>
      </c>
      <c r="O74" s="1436">
        <f t="shared" si="44"/>
        <v>0</v>
      </c>
      <c r="P74" s="984">
        <f t="shared" si="35"/>
        <v>1053.1904794704003</v>
      </c>
      <c r="Q74" s="1056">
        <f t="shared" si="39"/>
        <v>0</v>
      </c>
      <c r="R74" s="1512"/>
      <c r="S74" s="1417"/>
      <c r="T74" s="1512"/>
      <c r="U74" s="1417"/>
      <c r="V74" s="1417">
        <f t="shared" si="45"/>
        <v>0</v>
      </c>
      <c r="W74" s="1417">
        <f t="shared" si="46"/>
        <v>0</v>
      </c>
      <c r="X74" s="1417"/>
      <c r="Y74" s="1417">
        <f t="shared" si="47"/>
        <v>0</v>
      </c>
      <c r="Z74" s="1417">
        <f t="shared" si="48"/>
        <v>0</v>
      </c>
      <c r="AA74" s="1064">
        <f t="shared" si="49"/>
        <v>0</v>
      </c>
      <c r="AB74" s="1522">
        <f t="shared" si="40"/>
        <v>0</v>
      </c>
    </row>
    <row r="75" spans="1:28">
      <c r="A75" s="989">
        <v>69</v>
      </c>
      <c r="B75" s="990" t="s">
        <v>229</v>
      </c>
      <c r="C75" s="991"/>
      <c r="D75" s="992">
        <f>'Table 3 Levels 1&amp;2'!$AP$77</f>
        <v>5041.6011463398772</v>
      </c>
      <c r="E75" s="1052">
        <f>'Table 3 Levels 1&amp;2'!V76</f>
        <v>0.80179999999999996</v>
      </c>
      <c r="F75" s="1052">
        <f>'Table 3 Levels 1&amp;2'!W76</f>
        <v>0.19819999999999999</v>
      </c>
      <c r="G75" s="992">
        <f t="shared" si="41"/>
        <v>4042.3557991353132</v>
      </c>
      <c r="H75" s="1040">
        <f t="shared" si="42"/>
        <v>0</v>
      </c>
      <c r="I75" s="1430"/>
      <c r="J75" s="1430"/>
      <c r="K75" s="1430"/>
      <c r="L75" s="1400">
        <f t="shared" si="38"/>
        <v>0</v>
      </c>
      <c r="M75" s="1040"/>
      <c r="N75" s="1438">
        <f t="shared" si="43"/>
        <v>0</v>
      </c>
      <c r="O75" s="1438">
        <f t="shared" si="44"/>
        <v>0</v>
      </c>
      <c r="P75" s="992">
        <f t="shared" si="35"/>
        <v>999.24534720456359</v>
      </c>
      <c r="Q75" s="1059">
        <f t="shared" si="39"/>
        <v>0</v>
      </c>
      <c r="R75" s="1515"/>
      <c r="S75" s="1420"/>
      <c r="T75" s="1515"/>
      <c r="U75" s="1420"/>
      <c r="V75" s="1420">
        <f t="shared" si="45"/>
        <v>0</v>
      </c>
      <c r="W75" s="1420">
        <f t="shared" si="46"/>
        <v>0</v>
      </c>
      <c r="X75" s="1420"/>
      <c r="Y75" s="1420">
        <f t="shared" si="47"/>
        <v>0</v>
      </c>
      <c r="Z75" s="1420">
        <f t="shared" si="48"/>
        <v>0</v>
      </c>
      <c r="AA75" s="1067">
        <f t="shared" si="49"/>
        <v>0</v>
      </c>
      <c r="AB75" s="1525">
        <f t="shared" si="40"/>
        <v>0</v>
      </c>
    </row>
    <row r="76" spans="1:28">
      <c r="A76" s="1191"/>
      <c r="B76" s="1192" t="s">
        <v>992</v>
      </c>
      <c r="C76" s="1193"/>
      <c r="D76" s="1194">
        <v>5031</v>
      </c>
      <c r="E76" s="1195">
        <v>0.65</v>
      </c>
      <c r="F76" s="1195">
        <v>0.35</v>
      </c>
      <c r="G76" s="992">
        <f t="shared" si="41"/>
        <v>3270.15</v>
      </c>
      <c r="H76" s="1040">
        <f t="shared" si="42"/>
        <v>0</v>
      </c>
      <c r="I76" s="1430"/>
      <c r="J76" s="1430"/>
      <c r="K76" s="1430"/>
      <c r="L76" s="1400">
        <f t="shared" si="38"/>
        <v>0</v>
      </c>
      <c r="M76" s="1040"/>
      <c r="N76" s="1438">
        <f t="shared" si="43"/>
        <v>0</v>
      </c>
      <c r="O76" s="1438">
        <f t="shared" si="44"/>
        <v>0</v>
      </c>
      <c r="P76" s="1194">
        <v>0</v>
      </c>
      <c r="Q76" s="1196">
        <v>0</v>
      </c>
      <c r="R76" s="1516"/>
      <c r="S76" s="1518"/>
      <c r="T76" s="1516"/>
      <c r="U76" s="1518"/>
      <c r="V76" s="1518">
        <f t="shared" si="45"/>
        <v>0</v>
      </c>
      <c r="W76" s="1518">
        <f t="shared" si="46"/>
        <v>0</v>
      </c>
      <c r="X76" s="1518"/>
      <c r="Y76" s="1518">
        <f t="shared" si="47"/>
        <v>0</v>
      </c>
      <c r="Z76" s="1518">
        <f t="shared" si="48"/>
        <v>0</v>
      </c>
      <c r="AA76" s="1067">
        <f t="shared" si="49"/>
        <v>0</v>
      </c>
      <c r="AB76" s="1525">
        <f t="shared" si="40"/>
        <v>0</v>
      </c>
    </row>
    <row r="77" spans="1:28" s="1000" customFormat="1" ht="13.5" thickBot="1">
      <c r="A77" s="993"/>
      <c r="B77" s="994" t="s">
        <v>167</v>
      </c>
      <c r="C77" s="995">
        <f>SUM(C7:C76)</f>
        <v>0</v>
      </c>
      <c r="D77" s="996">
        <f>'Table 3 Levels 1&amp;2'!AP77</f>
        <v>5041.6011463398772</v>
      </c>
      <c r="E77" s="1020">
        <f>'Table 3 Levels 1&amp;2'!V77</f>
        <v>0.65</v>
      </c>
      <c r="F77" s="1020">
        <f>'Table 3 Levels 1&amp;2'!W77</f>
        <v>0.35</v>
      </c>
      <c r="G77" s="996"/>
      <c r="H77" s="997">
        <f t="shared" ref="H77:O77" si="50">SUM(H7:H76)</f>
        <v>0</v>
      </c>
      <c r="I77" s="1431"/>
      <c r="J77" s="1431"/>
      <c r="K77" s="1431"/>
      <c r="L77" s="1425">
        <f>SUM(L7:L76)</f>
        <v>0</v>
      </c>
      <c r="M77" s="1425"/>
      <c r="N77" s="1425">
        <f t="shared" si="50"/>
        <v>0</v>
      </c>
      <c r="O77" s="997">
        <f t="shared" si="50"/>
        <v>0</v>
      </c>
      <c r="P77" s="996">
        <f t="shared" ref="P77:AB77" si="51">SUM(P7:P76)</f>
        <v>113419.89266897889</v>
      </c>
      <c r="Q77" s="1060">
        <f t="shared" si="51"/>
        <v>0</v>
      </c>
      <c r="R77" s="1517"/>
      <c r="S77" s="1060"/>
      <c r="T77" s="1517"/>
      <c r="U77" s="1421"/>
      <c r="V77" s="1060">
        <f t="shared" ref="V77:W77" si="52">SUM(V7:V76)</f>
        <v>0</v>
      </c>
      <c r="W77" s="1060">
        <f t="shared" si="52"/>
        <v>0</v>
      </c>
      <c r="X77" s="1060"/>
      <c r="Y77" s="1060">
        <f>SUM(Y7:Y76)</f>
        <v>0</v>
      </c>
      <c r="Z77" s="1060">
        <f t="shared" si="51"/>
        <v>0</v>
      </c>
      <c r="AA77" s="1068">
        <f t="shared" si="51"/>
        <v>0</v>
      </c>
      <c r="AB77" s="1068">
        <f t="shared" si="51"/>
        <v>0</v>
      </c>
    </row>
    <row r="78" spans="1:28" s="1000" customFormat="1" ht="13.5" thickTop="1">
      <c r="A78" s="1001"/>
      <c r="B78" s="1001"/>
      <c r="C78" s="1002"/>
      <c r="D78" s="1002"/>
      <c r="E78" s="1002"/>
      <c r="F78" s="1002"/>
      <c r="H78" s="1003">
        <f>D77*C77</f>
        <v>0</v>
      </c>
      <c r="I78" s="1003"/>
      <c r="J78" s="1003"/>
      <c r="K78" s="1003"/>
      <c r="L78" s="1003"/>
      <c r="M78" s="1003"/>
      <c r="N78" s="1003"/>
      <c r="O78" s="1003"/>
      <c r="P78" s="1003"/>
      <c r="Q78" s="1004"/>
      <c r="R78" s="1004"/>
      <c r="S78" s="1004"/>
      <c r="T78" s="1004"/>
      <c r="U78" s="1004"/>
      <c r="V78" s="1004"/>
      <c r="W78" s="1004"/>
      <c r="X78" s="1004"/>
      <c r="Y78" s="1004"/>
      <c r="Z78" s="1004"/>
      <c r="AA78" s="1004"/>
    </row>
    <row r="79" spans="1:28" ht="12.75" customHeight="1">
      <c r="A79" s="1005"/>
      <c r="C79" s="1006"/>
      <c r="H79" s="1003">
        <f>H78-H77</f>
        <v>0</v>
      </c>
      <c r="I79" s="1003"/>
      <c r="J79" s="1003"/>
      <c r="K79" s="1003"/>
      <c r="L79" s="1003"/>
      <c r="M79" s="1003"/>
      <c r="N79" s="1003"/>
      <c r="O79" s="1003"/>
      <c r="P79" s="1003"/>
    </row>
    <row r="80" spans="1:28" ht="12.75" hidden="1" customHeight="1"/>
    <row r="81" spans="3:16" hidden="1"/>
    <row r="82" spans="3:16" hidden="1"/>
    <row r="83" spans="3:16" hidden="1"/>
    <row r="84" spans="3:16" hidden="1">
      <c r="G84" s="1007" t="s">
        <v>539</v>
      </c>
      <c r="H84" s="1007"/>
      <c r="I84" s="1007"/>
      <c r="J84" s="1007"/>
      <c r="K84" s="1007"/>
      <c r="L84" s="1007"/>
      <c r="M84" s="1007"/>
      <c r="N84" s="1007"/>
      <c r="O84" s="1007"/>
      <c r="P84" s="1007"/>
    </row>
    <row r="85" spans="3:16" ht="10.5" hidden="1" customHeight="1"/>
    <row r="86" spans="3:16" hidden="1"/>
    <row r="87" spans="3:16" hidden="1">
      <c r="C87" s="1008">
        <v>85661</v>
      </c>
      <c r="D87" s="1009" t="s">
        <v>540</v>
      </c>
      <c r="E87" s="1009"/>
      <c r="F87" s="1009"/>
    </row>
    <row r="88" spans="3:16" hidden="1">
      <c r="C88" s="1008">
        <v>650290</v>
      </c>
      <c r="D88" s="1009" t="s">
        <v>541</v>
      </c>
      <c r="E88" s="1009"/>
      <c r="F88" s="1009"/>
    </row>
    <row r="89" spans="3:16" hidden="1">
      <c r="C89" s="1010">
        <f>C87/C88</f>
        <v>0.13172738316750987</v>
      </c>
      <c r="D89" s="1009" t="s">
        <v>542</v>
      </c>
      <c r="E89" s="1009"/>
      <c r="F89" s="1009"/>
    </row>
    <row r="90" spans="3:16" hidden="1">
      <c r="C90" s="1008"/>
      <c r="D90" s="1009"/>
      <c r="E90" s="1009"/>
      <c r="F90" s="1009"/>
    </row>
    <row r="91" spans="3:16" hidden="1">
      <c r="C91" s="1008">
        <v>128510</v>
      </c>
      <c r="D91" s="1009" t="s">
        <v>543</v>
      </c>
      <c r="E91" s="1009"/>
      <c r="F91" s="1009"/>
    </row>
    <row r="92" spans="3:16" hidden="1">
      <c r="C92" s="1008">
        <v>911320</v>
      </c>
      <c r="D92" s="1009" t="s">
        <v>544</v>
      </c>
      <c r="E92" s="1009"/>
      <c r="F92" s="1009"/>
    </row>
    <row r="93" spans="3:16" hidden="1">
      <c r="C93" s="1010">
        <f>C91/C92</f>
        <v>0.14101523065443533</v>
      </c>
      <c r="D93" s="1009" t="s">
        <v>545</v>
      </c>
      <c r="E93" s="1009"/>
      <c r="F93" s="1009"/>
    </row>
    <row r="94" spans="3:16" hidden="1">
      <c r="C94" s="1008"/>
      <c r="D94" s="1009"/>
      <c r="E94" s="1009"/>
      <c r="F94" s="1009"/>
    </row>
    <row r="95" spans="3:16" hidden="1">
      <c r="C95" s="1011">
        <v>2663489616</v>
      </c>
      <c r="D95" s="1012" t="s">
        <v>546</v>
      </c>
      <c r="E95" s="1012"/>
      <c r="F95" s="1012"/>
    </row>
    <row r="96" spans="3:16" hidden="1">
      <c r="C96" s="1013">
        <f>C93</f>
        <v>0.14101523065443533</v>
      </c>
      <c r="D96" s="1012"/>
      <c r="E96" s="1012"/>
      <c r="F96" s="1012"/>
    </row>
    <row r="97" spans="2:15" hidden="1">
      <c r="C97" s="1014">
        <f>C95*C96</f>
        <v>375592602.54593337</v>
      </c>
      <c r="D97" s="1009" t="s">
        <v>547</v>
      </c>
      <c r="E97" s="1009"/>
      <c r="F97" s="1009"/>
    </row>
    <row r="98" spans="2:15" hidden="1">
      <c r="C98" s="1015">
        <f>50%/C93</f>
        <v>3.5457162866702978</v>
      </c>
      <c r="D98" s="1012" t="s">
        <v>548</v>
      </c>
      <c r="E98" s="1012"/>
      <c r="F98" s="1012"/>
    </row>
    <row r="99" spans="2:15" hidden="1">
      <c r="C99" s="1014">
        <f>C97*C98</f>
        <v>1331744808</v>
      </c>
      <c r="D99" s="1016" t="s">
        <v>549</v>
      </c>
      <c r="E99" s="1016"/>
      <c r="F99" s="1016"/>
    </row>
    <row r="100" spans="2:15" hidden="1">
      <c r="C100" s="1017">
        <f>C88</f>
        <v>650290</v>
      </c>
      <c r="D100" s="1012" t="s">
        <v>550</v>
      </c>
      <c r="E100" s="1012"/>
      <c r="F100" s="1012"/>
    </row>
    <row r="101" spans="2:15" hidden="1">
      <c r="C101" s="1014">
        <f>C99/C100</f>
        <v>2047.9244767719017</v>
      </c>
      <c r="D101" s="1012" t="s">
        <v>551</v>
      </c>
      <c r="E101" s="1012"/>
      <c r="F101" s="1012"/>
    </row>
    <row r="102" spans="2:15" hidden="1">
      <c r="C102" s="1018">
        <f>(C97/C100)*-1</f>
        <v>-577.57708490970697</v>
      </c>
      <c r="D102" s="1012" t="s">
        <v>552</v>
      </c>
      <c r="E102" s="1012"/>
      <c r="F102" s="1012"/>
    </row>
    <row r="103" spans="2:15" hidden="1">
      <c r="C103" s="1019">
        <f>SUM(C101:C102)</f>
        <v>1470.3473918621949</v>
      </c>
      <c r="D103" s="1012" t="s">
        <v>553</v>
      </c>
      <c r="E103" s="1012"/>
      <c r="F103" s="1012"/>
    </row>
    <row r="104" spans="2:15" hidden="1">
      <c r="C104" s="1019"/>
      <c r="D104" s="1012"/>
      <c r="E104" s="1012"/>
      <c r="F104" s="1012"/>
    </row>
    <row r="105" spans="2:15" hidden="1">
      <c r="C105" s="1019"/>
      <c r="D105" s="1012"/>
      <c r="E105" s="1012"/>
      <c r="F105" s="1012"/>
    </row>
    <row r="106" spans="2:15" hidden="1">
      <c r="D106" s="1012"/>
      <c r="E106" s="1012"/>
      <c r="F106" s="1012"/>
    </row>
    <row r="107" spans="2:15" hidden="1"/>
    <row r="108" spans="2:15" ht="13.5" thickBot="1">
      <c r="B108" s="1610" t="s">
        <v>1327</v>
      </c>
      <c r="C108" s="1611">
        <v>295</v>
      </c>
      <c r="D108" s="1612">
        <f>'Table 3 Levels 1&amp;2'!AP77</f>
        <v>5041.6011463398772</v>
      </c>
      <c r="E108" s="1613"/>
      <c r="F108" s="1613"/>
      <c r="G108" s="1613"/>
      <c r="H108" s="1614">
        <f>C108*D108</f>
        <v>1487272.3381702637</v>
      </c>
      <c r="I108" s="1618">
        <f>'[1]Midyear Adjustment Summary'!$C$80</f>
        <v>30277.693638025521</v>
      </c>
      <c r="J108" s="1618">
        <f>'[1]Midyear Adjustment Summary'!$D$80</f>
        <v>-65540.814902418409</v>
      </c>
      <c r="K108" s="1619">
        <f>SUM(H108:J108)</f>
        <v>1452009.2169058709</v>
      </c>
      <c r="L108" s="1620"/>
      <c r="M108" s="1619">
        <f>804396+407660</f>
        <v>1212056</v>
      </c>
      <c r="N108" s="1619">
        <f>K108-M108</f>
        <v>239953.21690587094</v>
      </c>
      <c r="O108" s="1619">
        <f>N108/2</f>
        <v>119976.60845293547</v>
      </c>
    </row>
    <row r="109" spans="2:15" ht="13.5" thickTop="1">
      <c r="B109" s="1615" t="s">
        <v>1328</v>
      </c>
      <c r="C109" s="1616"/>
      <c r="D109" s="1616"/>
      <c r="E109" s="1616"/>
      <c r="F109" s="1616"/>
      <c r="G109" s="1616"/>
      <c r="H109" s="1617"/>
      <c r="I109" s="1620"/>
      <c r="J109" s="1620"/>
      <c r="K109" s="1620"/>
      <c r="L109" s="1620"/>
      <c r="M109" s="1620"/>
      <c r="N109" s="1620"/>
      <c r="O109" s="1620"/>
    </row>
    <row r="111" spans="2:15">
      <c r="M111" s="1009" t="s">
        <v>1421</v>
      </c>
    </row>
  </sheetData>
  <mergeCells count="31">
    <mergeCell ref="I1:O1"/>
    <mergeCell ref="R3:R4"/>
    <mergeCell ref="S3:S4"/>
    <mergeCell ref="T3:T4"/>
    <mergeCell ref="U3:U4"/>
    <mergeCell ref="I3:I4"/>
    <mergeCell ref="J3:J4"/>
    <mergeCell ref="K3:K4"/>
    <mergeCell ref="L3:L4"/>
    <mergeCell ref="M3:M4"/>
    <mergeCell ref="N3:N4"/>
    <mergeCell ref="P2:Z2"/>
    <mergeCell ref="P3:P4"/>
    <mergeCell ref="Q3:Q4"/>
    <mergeCell ref="O3:O4"/>
    <mergeCell ref="AA2:AA4"/>
    <mergeCell ref="AB2:AB4"/>
    <mergeCell ref="V3:V4"/>
    <mergeCell ref="W3:W4"/>
    <mergeCell ref="X3:X4"/>
    <mergeCell ref="Y3:Y4"/>
    <mergeCell ref="Z3:Z4"/>
    <mergeCell ref="C2:H2"/>
    <mergeCell ref="I2:K2"/>
    <mergeCell ref="A2:B4"/>
    <mergeCell ref="C3:C4"/>
    <mergeCell ref="D3:D4"/>
    <mergeCell ref="G3:G4"/>
    <mergeCell ref="H3:H4"/>
    <mergeCell ref="E3:E4"/>
    <mergeCell ref="F3:F4"/>
  </mergeCells>
  <printOptions horizontalCentered="1"/>
  <pageMargins left="0.27" right="0.25" top="0.87" bottom="0.2" header="0.25" footer="0.2"/>
  <pageSetup paperSize="5" scale="74" firstPageNumber="38" fitToWidth="3" orientation="portrait" useFirstPageNumber="1" r:id="rId1"/>
  <headerFooter alignWithMargins="0">
    <oddHeader xml:space="preserve">&amp;L&amp;"Arial,Bold"&amp;16Table 5A2:  FY2012-13 MFP Budget Letter (May 2013)
&amp;14Louisiana School for Math, Science and the Arts (LSMSA) 
&amp;R&amp;"Arial,Bold"&amp;12&amp;KFF0000
</oddHeader>
    <oddFooter>&amp;R&amp;P</oddFooter>
  </headerFooter>
  <colBreaks count="3" manualBreakCount="3">
    <brk id="8" max="109" man="1"/>
    <brk id="15" max="109" man="1"/>
    <brk id="23" max="1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B108"/>
  <sheetViews>
    <sheetView view="pageBreakPreview" zoomScale="90" zoomScaleNormal="100" zoomScaleSheetLayoutView="90" workbookViewId="0">
      <pane xSplit="2" ySplit="6" topLeftCell="C67" activePane="bottomRight" state="frozen"/>
      <selection activeCell="A5" sqref="A5:A6"/>
      <selection pane="topRight" activeCell="A5" sqref="A5:A6"/>
      <selection pane="bottomLeft" activeCell="A5" sqref="A5:A6"/>
      <selection pane="bottomRight" activeCell="X76" sqref="X8:X76"/>
    </sheetView>
  </sheetViews>
  <sheetFormatPr defaultColWidth="12.5703125" defaultRowHeight="12.75"/>
  <cols>
    <col min="1" max="1" width="3.85546875" style="961" customWidth="1"/>
    <col min="2" max="2" width="17.85546875" style="961" bestFit="1" customWidth="1"/>
    <col min="3" max="3" width="11" style="962" customWidth="1"/>
    <col min="4" max="4" width="14.28515625" style="962" customWidth="1"/>
    <col min="5" max="5" width="11.5703125" style="962" customWidth="1"/>
    <col min="6" max="6" width="10.85546875" style="962" customWidth="1"/>
    <col min="7" max="7" width="11" style="962" customWidth="1"/>
    <col min="8" max="8" width="9.85546875" style="962" customWidth="1"/>
    <col min="9" max="9" width="12.7109375" style="962" customWidth="1"/>
    <col min="10" max="10" width="13.85546875" style="962" bestFit="1" customWidth="1"/>
    <col min="11" max="11" width="11.140625" style="962" bestFit="1" customWidth="1"/>
    <col min="12" max="14" width="14.7109375" style="962" customWidth="1"/>
    <col min="15" max="15" width="9.85546875" style="962" customWidth="1"/>
    <col min="16" max="16" width="11" style="962" customWidth="1"/>
    <col min="17" max="17" width="10.42578125" style="962" customWidth="1"/>
    <col min="18" max="18" width="13.140625" style="962" customWidth="1"/>
    <col min="19" max="19" width="11.85546875" style="962" customWidth="1"/>
    <col min="20" max="20" width="12.42578125" style="962" customWidth="1"/>
    <col min="21" max="21" width="12.5703125" style="962" customWidth="1"/>
    <col min="22" max="22" width="11" style="962" customWidth="1"/>
    <col min="23" max="24" width="10.42578125" style="962" customWidth="1"/>
    <col min="25" max="25" width="12.42578125" style="962" customWidth="1"/>
    <col min="26" max="26" width="10.42578125" style="962" customWidth="1"/>
    <col min="27" max="28" width="12.5703125" style="961" customWidth="1"/>
    <col min="29" max="16384" width="12.5703125" style="961"/>
  </cols>
  <sheetData>
    <row r="1" spans="1:28" ht="30.75" customHeight="1">
      <c r="A1" s="1627" t="s">
        <v>1348</v>
      </c>
      <c r="B1" s="1628"/>
      <c r="C1" s="1629"/>
      <c r="D1" s="1629"/>
      <c r="E1" s="1432"/>
      <c r="F1" s="1432"/>
      <c r="I1" s="1899" t="s">
        <v>690</v>
      </c>
      <c r="J1" s="1900"/>
      <c r="K1" s="1900"/>
      <c r="L1" s="1900"/>
      <c r="M1" s="1921"/>
      <c r="N1" s="1921"/>
      <c r="O1" s="1900"/>
      <c r="P1" s="1433"/>
    </row>
    <row r="2" spans="1:28" s="963" customFormat="1" ht="31.5" customHeight="1">
      <c r="A2" s="1905" t="s">
        <v>696</v>
      </c>
      <c r="B2" s="1906"/>
      <c r="C2" s="1899" t="s">
        <v>690</v>
      </c>
      <c r="D2" s="1900"/>
      <c r="E2" s="1900"/>
      <c r="F2" s="1900"/>
      <c r="G2" s="1900"/>
      <c r="H2" s="1900"/>
      <c r="I2" s="1902" t="s">
        <v>1188</v>
      </c>
      <c r="J2" s="1903"/>
      <c r="K2" s="1904"/>
      <c r="P2" s="1926" t="s">
        <v>719</v>
      </c>
      <c r="Q2" s="1927"/>
      <c r="R2" s="1927"/>
      <c r="S2" s="1927"/>
      <c r="T2" s="1927"/>
      <c r="U2" s="1927"/>
      <c r="V2" s="1927"/>
      <c r="W2" s="1927"/>
      <c r="X2" s="1927"/>
      <c r="Y2" s="1927"/>
      <c r="Z2" s="1928"/>
      <c r="AA2" s="1914" t="s">
        <v>1105</v>
      </c>
      <c r="AB2" s="1914" t="s">
        <v>1103</v>
      </c>
    </row>
    <row r="3" spans="1:28" ht="87.75" customHeight="1">
      <c r="A3" s="1907"/>
      <c r="B3" s="1908"/>
      <c r="C3" s="1931" t="s">
        <v>1271</v>
      </c>
      <c r="D3" s="1933" t="s">
        <v>698</v>
      </c>
      <c r="E3" s="1911" t="s">
        <v>699</v>
      </c>
      <c r="F3" s="1911" t="s">
        <v>700</v>
      </c>
      <c r="G3" s="1911" t="s">
        <v>717</v>
      </c>
      <c r="H3" s="1911" t="s">
        <v>1146</v>
      </c>
      <c r="I3" s="1922" t="s">
        <v>1209</v>
      </c>
      <c r="J3" s="1922" t="s">
        <v>1210</v>
      </c>
      <c r="K3" s="1922" t="s">
        <v>1208</v>
      </c>
      <c r="L3" s="1911" t="s">
        <v>1211</v>
      </c>
      <c r="M3" s="1911" t="s">
        <v>1329</v>
      </c>
      <c r="N3" s="1911" t="s">
        <v>1403</v>
      </c>
      <c r="O3" s="1911" t="s">
        <v>1125</v>
      </c>
      <c r="P3" s="1934" t="s">
        <v>718</v>
      </c>
      <c r="Q3" s="1919" t="s">
        <v>1104</v>
      </c>
      <c r="R3" s="1917" t="s">
        <v>1218</v>
      </c>
      <c r="S3" s="1917" t="s">
        <v>1196</v>
      </c>
      <c r="T3" s="1917" t="s">
        <v>1226</v>
      </c>
      <c r="U3" s="1917" t="s">
        <v>1220</v>
      </c>
      <c r="V3" s="1917" t="s">
        <v>1194</v>
      </c>
      <c r="W3" s="1917" t="s">
        <v>1199</v>
      </c>
      <c r="X3" s="1917" t="s">
        <v>1330</v>
      </c>
      <c r="Y3" s="1917" t="s">
        <v>1403</v>
      </c>
      <c r="Z3" s="1919" t="s">
        <v>1126</v>
      </c>
      <c r="AA3" s="1915"/>
      <c r="AB3" s="1915"/>
    </row>
    <row r="4" spans="1:28" ht="70.5" customHeight="1">
      <c r="A4" s="1909"/>
      <c r="B4" s="1910"/>
      <c r="C4" s="1932"/>
      <c r="D4" s="1933"/>
      <c r="E4" s="1912"/>
      <c r="F4" s="1912"/>
      <c r="G4" s="1912"/>
      <c r="H4" s="1912"/>
      <c r="I4" s="1935"/>
      <c r="J4" s="1935"/>
      <c r="K4" s="1935"/>
      <c r="L4" s="1912"/>
      <c r="M4" s="1912"/>
      <c r="N4" s="1912"/>
      <c r="O4" s="1912"/>
      <c r="P4" s="1930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6"/>
      <c r="AB4" s="1916"/>
    </row>
    <row r="5" spans="1:28" s="967" customFormat="1" ht="14.25" customHeight="1">
      <c r="A5" s="964"/>
      <c r="B5" s="965"/>
      <c r="C5" s="966">
        <v>1</v>
      </c>
      <c r="D5" s="966">
        <f t="shared" ref="D5:H5" si="0">C5+1</f>
        <v>2</v>
      </c>
      <c r="E5" s="966">
        <f t="shared" si="0"/>
        <v>3</v>
      </c>
      <c r="F5" s="966">
        <f t="shared" si="0"/>
        <v>4</v>
      </c>
      <c r="G5" s="966">
        <f t="shared" si="0"/>
        <v>5</v>
      </c>
      <c r="H5" s="966">
        <f t="shared" si="0"/>
        <v>6</v>
      </c>
      <c r="I5" s="966">
        <f t="shared" ref="I5" si="1">H5+1</f>
        <v>7</v>
      </c>
      <c r="J5" s="966">
        <f t="shared" ref="J5" si="2">I5+1</f>
        <v>8</v>
      </c>
      <c r="K5" s="966">
        <f t="shared" ref="K5" si="3">J5+1</f>
        <v>9</v>
      </c>
      <c r="L5" s="966">
        <f t="shared" ref="L5" si="4">K5+1</f>
        <v>10</v>
      </c>
      <c r="M5" s="966">
        <f t="shared" ref="M5" si="5">L5+1</f>
        <v>11</v>
      </c>
      <c r="N5" s="966">
        <f t="shared" ref="N5" si="6">M5+1</f>
        <v>12</v>
      </c>
      <c r="O5" s="966">
        <f t="shared" ref="O5" si="7">N5+1</f>
        <v>13</v>
      </c>
      <c r="P5" s="966">
        <f t="shared" ref="P5" si="8">O5+1</f>
        <v>14</v>
      </c>
      <c r="Q5" s="966">
        <f t="shared" ref="Q5" si="9">P5+1</f>
        <v>15</v>
      </c>
      <c r="R5" s="966">
        <f t="shared" ref="R5" si="10">Q5+1</f>
        <v>16</v>
      </c>
      <c r="S5" s="966">
        <f t="shared" ref="S5" si="11">R5+1</f>
        <v>17</v>
      </c>
      <c r="T5" s="966">
        <f t="shared" ref="T5" si="12">S5+1</f>
        <v>18</v>
      </c>
      <c r="U5" s="966">
        <f t="shared" ref="U5" si="13">T5+1</f>
        <v>19</v>
      </c>
      <c r="V5" s="966">
        <f t="shared" ref="V5" si="14">U5+1</f>
        <v>20</v>
      </c>
      <c r="W5" s="966">
        <f t="shared" ref="W5" si="15">V5+1</f>
        <v>21</v>
      </c>
      <c r="X5" s="966">
        <f t="shared" ref="X5" si="16">W5+1</f>
        <v>22</v>
      </c>
      <c r="Y5" s="966">
        <f t="shared" ref="Y5" si="17">X5+1</f>
        <v>23</v>
      </c>
      <c r="Z5" s="966">
        <f t="shared" ref="Z5" si="18">Y5+1</f>
        <v>24</v>
      </c>
      <c r="AA5" s="966">
        <f t="shared" ref="AA5" si="19">Z5+1</f>
        <v>25</v>
      </c>
      <c r="AB5" s="966">
        <f t="shared" ref="AB5" si="20">AA5+1</f>
        <v>26</v>
      </c>
    </row>
    <row r="6" spans="1:28" s="1025" customFormat="1" ht="27" customHeight="1">
      <c r="A6" s="1021"/>
      <c r="B6" s="1022"/>
      <c r="C6" s="1023" t="s">
        <v>611</v>
      </c>
      <c r="D6" s="1024" t="s">
        <v>529</v>
      </c>
      <c r="E6" s="1024" t="s">
        <v>529</v>
      </c>
      <c r="F6" s="1024" t="s">
        <v>529</v>
      </c>
      <c r="G6" s="1024" t="s">
        <v>691</v>
      </c>
      <c r="H6" s="1024" t="s">
        <v>692</v>
      </c>
      <c r="I6" s="1395"/>
      <c r="J6" s="1395"/>
      <c r="K6" s="1395" t="s">
        <v>749</v>
      </c>
      <c r="L6" s="1395" t="s">
        <v>1215</v>
      </c>
      <c r="M6" s="1024"/>
      <c r="N6" s="1024" t="s">
        <v>1241</v>
      </c>
      <c r="O6" s="1024" t="s">
        <v>1423</v>
      </c>
      <c r="P6" s="1024" t="s">
        <v>697</v>
      </c>
      <c r="Q6" s="1024" t="s">
        <v>1212</v>
      </c>
      <c r="R6" s="1024"/>
      <c r="S6" s="1024" t="s">
        <v>1234</v>
      </c>
      <c r="T6" s="1024"/>
      <c r="U6" s="1024" t="s">
        <v>1235</v>
      </c>
      <c r="V6" s="1024" t="s">
        <v>1237</v>
      </c>
      <c r="W6" s="1024" t="s">
        <v>1236</v>
      </c>
      <c r="X6" s="1024"/>
      <c r="Y6" s="1024" t="s">
        <v>1238</v>
      </c>
      <c r="Z6" s="1024" t="s">
        <v>1424</v>
      </c>
      <c r="AA6" s="1024" t="s">
        <v>1239</v>
      </c>
      <c r="AB6" s="1024" t="s">
        <v>1240</v>
      </c>
    </row>
    <row r="7" spans="1:28">
      <c r="A7" s="968">
        <v>1</v>
      </c>
      <c r="B7" s="969" t="s">
        <v>102</v>
      </c>
      <c r="C7" s="970"/>
      <c r="D7" s="971">
        <f>'Table 3 Levels 1&amp;2'!$AP$77</f>
        <v>5041.6011463398772</v>
      </c>
      <c r="E7" s="1049">
        <f>'Table 3 Levels 1&amp;2'!V8</f>
        <v>0.77039999999999997</v>
      </c>
      <c r="F7" s="1049">
        <f>'Table 3 Levels 1&amp;2'!W8</f>
        <v>0.2296</v>
      </c>
      <c r="G7" s="971">
        <f>D7*E7</f>
        <v>3884.0495231402415</v>
      </c>
      <c r="H7" s="972">
        <f>G7*C7</f>
        <v>0</v>
      </c>
      <c r="I7" s="972"/>
      <c r="J7" s="972"/>
      <c r="K7" s="972"/>
      <c r="L7" s="972">
        <f>H7+K7</f>
        <v>0</v>
      </c>
      <c r="M7" s="972">
        <v>0</v>
      </c>
      <c r="N7" s="972">
        <f>L7-M7</f>
        <v>0</v>
      </c>
      <c r="O7" s="972">
        <f>ROUND(N7/2,0)</f>
        <v>0</v>
      </c>
      <c r="P7" s="971">
        <f>D7*F7</f>
        <v>1157.5516231996357</v>
      </c>
      <c r="Q7" s="1053">
        <f>P7*C7</f>
        <v>0</v>
      </c>
      <c r="R7" s="1509"/>
      <c r="S7" s="1053"/>
      <c r="T7" s="1509"/>
      <c r="U7" s="1414"/>
      <c r="V7" s="1414"/>
      <c r="W7" s="1053">
        <f>Q7+V7</f>
        <v>0</v>
      </c>
      <c r="X7" s="1053"/>
      <c r="Y7" s="1053">
        <f>W7-X7</f>
        <v>0</v>
      </c>
      <c r="Z7" s="1053">
        <f>ROUND(Y7/2,0)</f>
        <v>0</v>
      </c>
      <c r="AA7" s="1061">
        <f>W7+L7</f>
        <v>0</v>
      </c>
      <c r="AB7" s="1061">
        <f>O7+Z7</f>
        <v>0</v>
      </c>
    </row>
    <row r="8" spans="1:28">
      <c r="A8" s="975">
        <v>2</v>
      </c>
      <c r="B8" s="976" t="s">
        <v>103</v>
      </c>
      <c r="C8" s="977"/>
      <c r="D8" s="978">
        <f>'Table 3 Levels 1&amp;2'!$AP$77</f>
        <v>5041.6011463398772</v>
      </c>
      <c r="E8" s="1050">
        <f>'Table 3 Levels 1&amp;2'!V9</f>
        <v>0.85099999999999998</v>
      </c>
      <c r="F8" s="1050">
        <f>'Table 3 Levels 1&amp;2'!W9</f>
        <v>0.14899999999999999</v>
      </c>
      <c r="G8" s="978">
        <f t="shared" ref="G8:G71" si="21">D8*E8</f>
        <v>4290.402575535235</v>
      </c>
      <c r="H8" s="1030">
        <f t="shared" ref="H8:H71" si="22">G8*C8</f>
        <v>0</v>
      </c>
      <c r="I8" s="1426"/>
      <c r="J8" s="1426"/>
      <c r="K8" s="1426"/>
      <c r="L8" s="1426">
        <f t="shared" ref="L8:L71" si="23">H8+K8</f>
        <v>0</v>
      </c>
      <c r="M8" s="1434"/>
      <c r="N8" s="1434">
        <f t="shared" ref="N8:N71" si="24">L8-M8</f>
        <v>0</v>
      </c>
      <c r="O8" s="1030">
        <f t="shared" ref="O8:O71" si="25">ROUND(N8/2,0)</f>
        <v>0</v>
      </c>
      <c r="P8" s="978">
        <f t="shared" ref="P8:P71" si="26">D8*F8</f>
        <v>751.19857080464169</v>
      </c>
      <c r="Q8" s="1054">
        <f t="shared" ref="Q8:Q71" si="27">P8*C8</f>
        <v>0</v>
      </c>
      <c r="R8" s="1510"/>
      <c r="S8" s="1054"/>
      <c r="T8" s="1510"/>
      <c r="U8" s="1415"/>
      <c r="V8" s="1415"/>
      <c r="W8" s="1054">
        <f>Q8+V8</f>
        <v>0</v>
      </c>
      <c r="X8" s="1054"/>
      <c r="Y8" s="1054">
        <f t="shared" ref="Y8:Y71" si="28">W8-X8</f>
        <v>0</v>
      </c>
      <c r="Z8" s="1054">
        <f t="shared" ref="Z8:Z71" si="29">ROUND(Y8/2,0)</f>
        <v>0</v>
      </c>
      <c r="AA8" s="1062">
        <f t="shared" ref="AA8:AA71" si="30">W8+L8</f>
        <v>0</v>
      </c>
      <c r="AB8" s="1062">
        <f t="shared" ref="AB8:AB71" si="31">O8+Z8</f>
        <v>0</v>
      </c>
    </row>
    <row r="9" spans="1:28" ht="12.75" customHeight="1">
      <c r="A9" s="975">
        <v>3</v>
      </c>
      <c r="B9" s="976" t="s">
        <v>104</v>
      </c>
      <c r="C9" s="977"/>
      <c r="D9" s="978">
        <f>'Table 3 Levels 1&amp;2'!$AP$77</f>
        <v>5041.6011463398772</v>
      </c>
      <c r="E9" s="1050">
        <f>'Table 3 Levels 1&amp;2'!V10</f>
        <v>0.67800000000000005</v>
      </c>
      <c r="F9" s="1050">
        <f>'Table 3 Levels 1&amp;2'!W10</f>
        <v>0.32200000000000001</v>
      </c>
      <c r="G9" s="978">
        <f t="shared" si="21"/>
        <v>3418.2055772184372</v>
      </c>
      <c r="H9" s="1030">
        <f t="shared" si="22"/>
        <v>0</v>
      </c>
      <c r="I9" s="1426"/>
      <c r="J9" s="1426"/>
      <c r="K9" s="1426"/>
      <c r="L9" s="1426">
        <f t="shared" si="23"/>
        <v>0</v>
      </c>
      <c r="M9" s="1434"/>
      <c r="N9" s="1434">
        <f t="shared" si="24"/>
        <v>0</v>
      </c>
      <c r="O9" s="1030">
        <f t="shared" si="25"/>
        <v>0</v>
      </c>
      <c r="P9" s="978">
        <f t="shared" si="26"/>
        <v>1623.3955691214405</v>
      </c>
      <c r="Q9" s="1054">
        <f t="shared" si="27"/>
        <v>0</v>
      </c>
      <c r="R9" s="1510"/>
      <c r="S9" s="1054"/>
      <c r="T9" s="1510"/>
      <c r="U9" s="1415"/>
      <c r="V9" s="1415"/>
      <c r="W9" s="1054">
        <f t="shared" ref="W9:W71" si="32">Q9+V9</f>
        <v>0</v>
      </c>
      <c r="X9" s="1054"/>
      <c r="Y9" s="1054">
        <f t="shared" si="28"/>
        <v>0</v>
      </c>
      <c r="Z9" s="1054">
        <f t="shared" si="29"/>
        <v>0</v>
      </c>
      <c r="AA9" s="1062">
        <f t="shared" si="30"/>
        <v>0</v>
      </c>
      <c r="AB9" s="1062">
        <f t="shared" si="31"/>
        <v>0</v>
      </c>
    </row>
    <row r="10" spans="1:28" ht="12.75" customHeight="1">
      <c r="A10" s="975">
        <v>4</v>
      </c>
      <c r="B10" s="976" t="s">
        <v>105</v>
      </c>
      <c r="C10" s="977"/>
      <c r="D10" s="978">
        <f>'Table 3 Levels 1&amp;2'!$AP$77</f>
        <v>5041.6011463398772</v>
      </c>
      <c r="E10" s="1050">
        <f>'Table 3 Levels 1&amp;2'!V11</f>
        <v>0.79959999999999998</v>
      </c>
      <c r="F10" s="1050">
        <f>'Table 3 Levels 1&amp;2'!W11</f>
        <v>0.20039999999999999</v>
      </c>
      <c r="G10" s="978">
        <f t="shared" si="21"/>
        <v>4031.2642766133658</v>
      </c>
      <c r="H10" s="1030">
        <f t="shared" si="22"/>
        <v>0</v>
      </c>
      <c r="I10" s="1426"/>
      <c r="J10" s="1426"/>
      <c r="K10" s="1426"/>
      <c r="L10" s="1426">
        <f t="shared" si="23"/>
        <v>0</v>
      </c>
      <c r="M10" s="1434"/>
      <c r="N10" s="1434">
        <f t="shared" si="24"/>
        <v>0</v>
      </c>
      <c r="O10" s="1030">
        <f t="shared" si="25"/>
        <v>0</v>
      </c>
      <c r="P10" s="978">
        <f t="shared" si="26"/>
        <v>1010.3368697265114</v>
      </c>
      <c r="Q10" s="1054">
        <f t="shared" si="27"/>
        <v>0</v>
      </c>
      <c r="R10" s="1510"/>
      <c r="S10" s="1054"/>
      <c r="T10" s="1510"/>
      <c r="U10" s="1415"/>
      <c r="V10" s="1415"/>
      <c r="W10" s="1054">
        <f t="shared" si="32"/>
        <v>0</v>
      </c>
      <c r="X10" s="1054"/>
      <c r="Y10" s="1054">
        <f t="shared" si="28"/>
        <v>0</v>
      </c>
      <c r="Z10" s="1054">
        <f t="shared" si="29"/>
        <v>0</v>
      </c>
      <c r="AA10" s="1062">
        <f t="shared" si="30"/>
        <v>0</v>
      </c>
      <c r="AB10" s="1062">
        <f t="shared" si="31"/>
        <v>0</v>
      </c>
    </row>
    <row r="11" spans="1:28">
      <c r="A11" s="979">
        <v>5</v>
      </c>
      <c r="B11" s="980" t="s">
        <v>106</v>
      </c>
      <c r="C11" s="981"/>
      <c r="D11" s="982">
        <f>'Table 3 Levels 1&amp;2'!$AP$77</f>
        <v>5041.6011463398772</v>
      </c>
      <c r="E11" s="1051">
        <f>'Table 3 Levels 1&amp;2'!V12</f>
        <v>0.82699999999999996</v>
      </c>
      <c r="F11" s="1051">
        <f>'Table 3 Levels 1&amp;2'!W12</f>
        <v>0.17299999999999999</v>
      </c>
      <c r="G11" s="982">
        <f t="shared" si="21"/>
        <v>4169.4041480230781</v>
      </c>
      <c r="H11" s="1033">
        <f t="shared" si="22"/>
        <v>0</v>
      </c>
      <c r="I11" s="1427"/>
      <c r="J11" s="1427"/>
      <c r="K11" s="1427"/>
      <c r="L11" s="1427">
        <f t="shared" si="23"/>
        <v>0</v>
      </c>
      <c r="M11" s="1435"/>
      <c r="N11" s="1435">
        <f t="shared" si="24"/>
        <v>0</v>
      </c>
      <c r="O11" s="1033">
        <f t="shared" si="25"/>
        <v>0</v>
      </c>
      <c r="P11" s="982">
        <f t="shared" si="26"/>
        <v>872.19699831679873</v>
      </c>
      <c r="Q11" s="1055">
        <f t="shared" si="27"/>
        <v>0</v>
      </c>
      <c r="R11" s="1511"/>
      <c r="S11" s="1055"/>
      <c r="T11" s="1511"/>
      <c r="U11" s="1416"/>
      <c r="V11" s="1416"/>
      <c r="W11" s="1055">
        <f t="shared" si="32"/>
        <v>0</v>
      </c>
      <c r="X11" s="1055"/>
      <c r="Y11" s="1055">
        <f t="shared" si="28"/>
        <v>0</v>
      </c>
      <c r="Z11" s="1055">
        <f t="shared" si="29"/>
        <v>0</v>
      </c>
      <c r="AA11" s="1063">
        <f t="shared" si="30"/>
        <v>0</v>
      </c>
      <c r="AB11" s="1063">
        <f t="shared" si="31"/>
        <v>0</v>
      </c>
    </row>
    <row r="12" spans="1:28" ht="12.75" customHeight="1">
      <c r="A12" s="968">
        <v>6</v>
      </c>
      <c r="B12" s="969" t="s">
        <v>107</v>
      </c>
      <c r="C12" s="970"/>
      <c r="D12" s="971">
        <f>'Table 3 Levels 1&amp;2'!$AP$77</f>
        <v>5041.6011463398772</v>
      </c>
      <c r="E12" s="1049">
        <f>'Table 3 Levels 1&amp;2'!V13</f>
        <v>0.77800000000000002</v>
      </c>
      <c r="F12" s="1049">
        <f>'Table 3 Levels 1&amp;2'!W13</f>
        <v>0.222</v>
      </c>
      <c r="G12" s="971">
        <f t="shared" si="21"/>
        <v>3922.3656918524248</v>
      </c>
      <c r="H12" s="972">
        <f t="shared" si="22"/>
        <v>0</v>
      </c>
      <c r="I12" s="1213"/>
      <c r="J12" s="1213"/>
      <c r="K12" s="1213"/>
      <c r="L12" s="1213">
        <f t="shared" si="23"/>
        <v>0</v>
      </c>
      <c r="M12" s="1213"/>
      <c r="N12" s="1213">
        <f t="shared" si="24"/>
        <v>0</v>
      </c>
      <c r="O12" s="972">
        <f t="shared" si="25"/>
        <v>0</v>
      </c>
      <c r="P12" s="971">
        <f t="shared" si="26"/>
        <v>1119.2354544874527</v>
      </c>
      <c r="Q12" s="1053">
        <f t="shared" si="27"/>
        <v>0</v>
      </c>
      <c r="R12" s="1509"/>
      <c r="S12" s="1053"/>
      <c r="T12" s="1509"/>
      <c r="U12" s="1414"/>
      <c r="V12" s="1414"/>
      <c r="W12" s="1053">
        <f t="shared" si="32"/>
        <v>0</v>
      </c>
      <c r="X12" s="1053"/>
      <c r="Y12" s="1053">
        <f t="shared" si="28"/>
        <v>0</v>
      </c>
      <c r="Z12" s="1053">
        <f t="shared" si="29"/>
        <v>0</v>
      </c>
      <c r="AA12" s="1061">
        <f t="shared" si="30"/>
        <v>0</v>
      </c>
      <c r="AB12" s="1061">
        <f t="shared" si="31"/>
        <v>0</v>
      </c>
    </row>
    <row r="13" spans="1:28">
      <c r="A13" s="975">
        <v>7</v>
      </c>
      <c r="B13" s="976" t="s">
        <v>108</v>
      </c>
      <c r="C13" s="977"/>
      <c r="D13" s="978">
        <f>'Table 3 Levels 1&amp;2'!$AP$77</f>
        <v>5041.6011463398772</v>
      </c>
      <c r="E13" s="1050">
        <f>'Table 3 Levels 1&amp;2'!V14</f>
        <v>0.25</v>
      </c>
      <c r="F13" s="1050">
        <f>'Table 3 Levels 1&amp;2'!W14</f>
        <v>0.75</v>
      </c>
      <c r="G13" s="978">
        <f t="shared" si="21"/>
        <v>1260.4002865849693</v>
      </c>
      <c r="H13" s="1030">
        <f t="shared" si="22"/>
        <v>0</v>
      </c>
      <c r="I13" s="1426"/>
      <c r="J13" s="1426"/>
      <c r="K13" s="1426"/>
      <c r="L13" s="1426">
        <f t="shared" si="23"/>
        <v>0</v>
      </c>
      <c r="M13" s="1434"/>
      <c r="N13" s="1434">
        <f t="shared" si="24"/>
        <v>0</v>
      </c>
      <c r="O13" s="1030">
        <f t="shared" si="25"/>
        <v>0</v>
      </c>
      <c r="P13" s="978">
        <f t="shared" si="26"/>
        <v>3781.2008597549079</v>
      </c>
      <c r="Q13" s="1054">
        <f t="shared" si="27"/>
        <v>0</v>
      </c>
      <c r="R13" s="1510"/>
      <c r="S13" s="1054"/>
      <c r="T13" s="1510"/>
      <c r="U13" s="1415"/>
      <c r="V13" s="1415"/>
      <c r="W13" s="1054">
        <f t="shared" si="32"/>
        <v>0</v>
      </c>
      <c r="X13" s="1054"/>
      <c r="Y13" s="1054">
        <f t="shared" si="28"/>
        <v>0</v>
      </c>
      <c r="Z13" s="1054">
        <f t="shared" si="29"/>
        <v>0</v>
      </c>
      <c r="AA13" s="1062">
        <f t="shared" si="30"/>
        <v>0</v>
      </c>
      <c r="AB13" s="1062">
        <f t="shared" si="31"/>
        <v>0</v>
      </c>
    </row>
    <row r="14" spans="1:28">
      <c r="A14" s="975">
        <v>8</v>
      </c>
      <c r="B14" s="976" t="s">
        <v>109</v>
      </c>
      <c r="C14" s="977"/>
      <c r="D14" s="978">
        <f>'Table 3 Levels 1&amp;2'!$AP$77</f>
        <v>5041.6011463398772</v>
      </c>
      <c r="E14" s="1050">
        <f>'Table 3 Levels 1&amp;2'!V15</f>
        <v>0.64159999999999995</v>
      </c>
      <c r="F14" s="1050">
        <f>'Table 3 Levels 1&amp;2'!W15</f>
        <v>0.3584</v>
      </c>
      <c r="G14" s="978">
        <f t="shared" si="21"/>
        <v>3234.6912954916652</v>
      </c>
      <c r="H14" s="1030">
        <f t="shared" si="22"/>
        <v>0</v>
      </c>
      <c r="I14" s="1426"/>
      <c r="J14" s="1426"/>
      <c r="K14" s="1426"/>
      <c r="L14" s="1426">
        <f t="shared" si="23"/>
        <v>0</v>
      </c>
      <c r="M14" s="1434"/>
      <c r="N14" s="1434">
        <f t="shared" si="24"/>
        <v>0</v>
      </c>
      <c r="O14" s="1030">
        <f t="shared" si="25"/>
        <v>0</v>
      </c>
      <c r="P14" s="978">
        <f t="shared" si="26"/>
        <v>1806.909850848212</v>
      </c>
      <c r="Q14" s="1054">
        <f t="shared" si="27"/>
        <v>0</v>
      </c>
      <c r="R14" s="1510"/>
      <c r="S14" s="1054"/>
      <c r="T14" s="1510"/>
      <c r="U14" s="1415"/>
      <c r="V14" s="1415"/>
      <c r="W14" s="1054">
        <f t="shared" si="32"/>
        <v>0</v>
      </c>
      <c r="X14" s="1054"/>
      <c r="Y14" s="1054">
        <f t="shared" si="28"/>
        <v>0</v>
      </c>
      <c r="Z14" s="1054">
        <f t="shared" si="29"/>
        <v>0</v>
      </c>
      <c r="AA14" s="1062">
        <f t="shared" si="30"/>
        <v>0</v>
      </c>
      <c r="AB14" s="1062">
        <f t="shared" si="31"/>
        <v>0</v>
      </c>
    </row>
    <row r="15" spans="1:28">
      <c r="A15" s="975">
        <v>9</v>
      </c>
      <c r="B15" s="976" t="s">
        <v>110</v>
      </c>
      <c r="C15" s="977"/>
      <c r="D15" s="978">
        <f>'Table 3 Levels 1&amp;2'!$AP$77</f>
        <v>5041.6011463398772</v>
      </c>
      <c r="E15" s="1050">
        <f>'Table 3 Levels 1&amp;2'!V16</f>
        <v>0.66069999999999995</v>
      </c>
      <c r="F15" s="1050">
        <f>'Table 3 Levels 1&amp;2'!W16</f>
        <v>0.33929999999999999</v>
      </c>
      <c r="G15" s="978">
        <f t="shared" si="21"/>
        <v>3330.9858773867568</v>
      </c>
      <c r="H15" s="1030">
        <f t="shared" si="22"/>
        <v>0</v>
      </c>
      <c r="I15" s="1426"/>
      <c r="J15" s="1426"/>
      <c r="K15" s="1426"/>
      <c r="L15" s="1426">
        <f t="shared" si="23"/>
        <v>0</v>
      </c>
      <c r="M15" s="1434"/>
      <c r="N15" s="1434">
        <f t="shared" si="24"/>
        <v>0</v>
      </c>
      <c r="O15" s="1030">
        <f t="shared" si="25"/>
        <v>0</v>
      </c>
      <c r="P15" s="978">
        <f t="shared" si="26"/>
        <v>1710.6152689531202</v>
      </c>
      <c r="Q15" s="1054">
        <f t="shared" si="27"/>
        <v>0</v>
      </c>
      <c r="R15" s="1510"/>
      <c r="S15" s="1054"/>
      <c r="T15" s="1510"/>
      <c r="U15" s="1415"/>
      <c r="V15" s="1415"/>
      <c r="W15" s="1054">
        <f t="shared" si="32"/>
        <v>0</v>
      </c>
      <c r="X15" s="1054"/>
      <c r="Y15" s="1054">
        <f t="shared" si="28"/>
        <v>0</v>
      </c>
      <c r="Z15" s="1054">
        <f t="shared" si="29"/>
        <v>0</v>
      </c>
      <c r="AA15" s="1062">
        <f t="shared" si="30"/>
        <v>0</v>
      </c>
      <c r="AB15" s="1062">
        <f t="shared" si="31"/>
        <v>0</v>
      </c>
    </row>
    <row r="16" spans="1:28">
      <c r="A16" s="979">
        <v>10</v>
      </c>
      <c r="B16" s="980" t="s">
        <v>111</v>
      </c>
      <c r="C16" s="981"/>
      <c r="D16" s="982">
        <f>'Table 3 Levels 1&amp;2'!$AP$77</f>
        <v>5041.6011463398772</v>
      </c>
      <c r="E16" s="1051">
        <f>'Table 3 Levels 1&amp;2'!V17</f>
        <v>0.63980000000000004</v>
      </c>
      <c r="F16" s="1051">
        <f>'Table 3 Levels 1&amp;2'!W17</f>
        <v>0.36020000000000002</v>
      </c>
      <c r="G16" s="982">
        <f t="shared" si="21"/>
        <v>3225.6164134282535</v>
      </c>
      <c r="H16" s="1033">
        <f t="shared" si="22"/>
        <v>0</v>
      </c>
      <c r="I16" s="1427"/>
      <c r="J16" s="1427"/>
      <c r="K16" s="1427"/>
      <c r="L16" s="1427">
        <f t="shared" si="23"/>
        <v>0</v>
      </c>
      <c r="M16" s="1435"/>
      <c r="N16" s="1435">
        <f t="shared" si="24"/>
        <v>0</v>
      </c>
      <c r="O16" s="1033">
        <f t="shared" si="25"/>
        <v>0</v>
      </c>
      <c r="P16" s="982">
        <f t="shared" si="26"/>
        <v>1815.984732911624</v>
      </c>
      <c r="Q16" s="1055">
        <f t="shared" si="27"/>
        <v>0</v>
      </c>
      <c r="R16" s="1511"/>
      <c r="S16" s="1055"/>
      <c r="T16" s="1511"/>
      <c r="U16" s="1416"/>
      <c r="V16" s="1416"/>
      <c r="W16" s="1055">
        <f t="shared" si="32"/>
        <v>0</v>
      </c>
      <c r="X16" s="1055"/>
      <c r="Y16" s="1055">
        <f t="shared" si="28"/>
        <v>0</v>
      </c>
      <c r="Z16" s="1055">
        <f t="shared" si="29"/>
        <v>0</v>
      </c>
      <c r="AA16" s="1063">
        <f t="shared" si="30"/>
        <v>0</v>
      </c>
      <c r="AB16" s="1063">
        <f t="shared" si="31"/>
        <v>0</v>
      </c>
    </row>
    <row r="17" spans="1:28">
      <c r="A17" s="968">
        <v>11</v>
      </c>
      <c r="B17" s="969" t="s">
        <v>112</v>
      </c>
      <c r="C17" s="970"/>
      <c r="D17" s="971">
        <f>'Table 3 Levels 1&amp;2'!$AP$77</f>
        <v>5041.6011463398772</v>
      </c>
      <c r="E17" s="1049">
        <f>'Table 3 Levels 1&amp;2'!V18</f>
        <v>0.82399999999999995</v>
      </c>
      <c r="F17" s="1049">
        <f>'Table 3 Levels 1&amp;2'!W18</f>
        <v>0.17599999999999999</v>
      </c>
      <c r="G17" s="971">
        <f t="shared" si="21"/>
        <v>4154.2793445840589</v>
      </c>
      <c r="H17" s="972">
        <f t="shared" si="22"/>
        <v>0</v>
      </c>
      <c r="I17" s="1213"/>
      <c r="J17" s="1213"/>
      <c r="K17" s="1213"/>
      <c r="L17" s="1213">
        <f t="shared" si="23"/>
        <v>0</v>
      </c>
      <c r="M17" s="1213"/>
      <c r="N17" s="1213">
        <f t="shared" si="24"/>
        <v>0</v>
      </c>
      <c r="O17" s="972">
        <f t="shared" si="25"/>
        <v>0</v>
      </c>
      <c r="P17" s="971">
        <f t="shared" si="26"/>
        <v>887.32180175581834</v>
      </c>
      <c r="Q17" s="1053">
        <f t="shared" si="27"/>
        <v>0</v>
      </c>
      <c r="R17" s="1509"/>
      <c r="S17" s="1053"/>
      <c r="T17" s="1509"/>
      <c r="U17" s="1414"/>
      <c r="V17" s="1414"/>
      <c r="W17" s="1053">
        <f t="shared" si="32"/>
        <v>0</v>
      </c>
      <c r="X17" s="1053"/>
      <c r="Y17" s="1053">
        <f t="shared" si="28"/>
        <v>0</v>
      </c>
      <c r="Z17" s="1053">
        <f t="shared" si="29"/>
        <v>0</v>
      </c>
      <c r="AA17" s="1061">
        <f t="shared" si="30"/>
        <v>0</v>
      </c>
      <c r="AB17" s="1061">
        <f t="shared" si="31"/>
        <v>0</v>
      </c>
    </row>
    <row r="18" spans="1:28">
      <c r="A18" s="975">
        <v>12</v>
      </c>
      <c r="B18" s="976" t="s">
        <v>113</v>
      </c>
      <c r="C18" s="977"/>
      <c r="D18" s="978">
        <f>'Table 3 Levels 1&amp;2'!$AP$77</f>
        <v>5041.6011463398772</v>
      </c>
      <c r="E18" s="1050">
        <f>'Table 3 Levels 1&amp;2'!V19</f>
        <v>0.28299999999999997</v>
      </c>
      <c r="F18" s="1050">
        <f>'Table 3 Levels 1&amp;2'!W19</f>
        <v>0.71699999999999997</v>
      </c>
      <c r="G18" s="978">
        <f t="shared" si="21"/>
        <v>1426.7731244141851</v>
      </c>
      <c r="H18" s="1030">
        <f t="shared" si="22"/>
        <v>0</v>
      </c>
      <c r="I18" s="1426"/>
      <c r="J18" s="1426"/>
      <c r="K18" s="1426"/>
      <c r="L18" s="1426">
        <f t="shared" si="23"/>
        <v>0</v>
      </c>
      <c r="M18" s="1434"/>
      <c r="N18" s="1434">
        <f t="shared" si="24"/>
        <v>0</v>
      </c>
      <c r="O18" s="1030">
        <f t="shared" si="25"/>
        <v>0</v>
      </c>
      <c r="P18" s="978">
        <f t="shared" si="26"/>
        <v>3614.8280219256917</v>
      </c>
      <c r="Q18" s="1054">
        <f t="shared" si="27"/>
        <v>0</v>
      </c>
      <c r="R18" s="1510"/>
      <c r="S18" s="1054"/>
      <c r="T18" s="1510"/>
      <c r="U18" s="1415"/>
      <c r="V18" s="1415"/>
      <c r="W18" s="1054">
        <f t="shared" si="32"/>
        <v>0</v>
      </c>
      <c r="X18" s="1054"/>
      <c r="Y18" s="1054">
        <f t="shared" si="28"/>
        <v>0</v>
      </c>
      <c r="Z18" s="1054">
        <f t="shared" si="29"/>
        <v>0</v>
      </c>
      <c r="AA18" s="1062">
        <f t="shared" si="30"/>
        <v>0</v>
      </c>
      <c r="AB18" s="1062">
        <f t="shared" si="31"/>
        <v>0</v>
      </c>
    </row>
    <row r="19" spans="1:28">
      <c r="A19" s="975">
        <v>13</v>
      </c>
      <c r="B19" s="976" t="s">
        <v>114</v>
      </c>
      <c r="C19" s="977"/>
      <c r="D19" s="978">
        <f>'Table 3 Levels 1&amp;2'!$AP$77</f>
        <v>5041.6011463398772</v>
      </c>
      <c r="E19" s="1050">
        <f>'Table 3 Levels 1&amp;2'!V20</f>
        <v>0.83599999999999997</v>
      </c>
      <c r="F19" s="1050">
        <f>'Table 3 Levels 1&amp;2'!W20</f>
        <v>0.16400000000000001</v>
      </c>
      <c r="G19" s="978">
        <f t="shared" si="21"/>
        <v>4214.7785583401374</v>
      </c>
      <c r="H19" s="1030">
        <f t="shared" si="22"/>
        <v>0</v>
      </c>
      <c r="I19" s="1426"/>
      <c r="J19" s="1426"/>
      <c r="K19" s="1426"/>
      <c r="L19" s="1426">
        <f t="shared" si="23"/>
        <v>0</v>
      </c>
      <c r="M19" s="1434"/>
      <c r="N19" s="1434">
        <f t="shared" si="24"/>
        <v>0</v>
      </c>
      <c r="O19" s="1030">
        <f t="shared" si="25"/>
        <v>0</v>
      </c>
      <c r="P19" s="978">
        <f t="shared" si="26"/>
        <v>826.82258799973988</v>
      </c>
      <c r="Q19" s="1054">
        <f t="shared" si="27"/>
        <v>0</v>
      </c>
      <c r="R19" s="1510"/>
      <c r="S19" s="1054"/>
      <c r="T19" s="1510"/>
      <c r="U19" s="1415"/>
      <c r="V19" s="1415"/>
      <c r="W19" s="1054">
        <f t="shared" si="32"/>
        <v>0</v>
      </c>
      <c r="X19" s="1054"/>
      <c r="Y19" s="1054">
        <f t="shared" si="28"/>
        <v>0</v>
      </c>
      <c r="Z19" s="1054">
        <f t="shared" si="29"/>
        <v>0</v>
      </c>
      <c r="AA19" s="1062">
        <f t="shared" si="30"/>
        <v>0</v>
      </c>
      <c r="AB19" s="1062">
        <f t="shared" si="31"/>
        <v>0</v>
      </c>
    </row>
    <row r="20" spans="1:28" ht="12.75" customHeight="1">
      <c r="A20" s="975">
        <v>14</v>
      </c>
      <c r="B20" s="976" t="s">
        <v>115</v>
      </c>
      <c r="C20" s="977"/>
      <c r="D20" s="978">
        <f>'Table 3 Levels 1&amp;2'!$AP$77</f>
        <v>5041.6011463398772</v>
      </c>
      <c r="E20" s="1050">
        <f>'Table 3 Levels 1&amp;2'!V21</f>
        <v>0.69799999999999995</v>
      </c>
      <c r="F20" s="1050">
        <f>'Table 3 Levels 1&amp;2'!W21</f>
        <v>0.30199999999999999</v>
      </c>
      <c r="G20" s="978">
        <f t="shared" si="21"/>
        <v>3519.0376001452341</v>
      </c>
      <c r="H20" s="1030">
        <f t="shared" si="22"/>
        <v>0</v>
      </c>
      <c r="I20" s="1426"/>
      <c r="J20" s="1426"/>
      <c r="K20" s="1426"/>
      <c r="L20" s="1426">
        <f t="shared" si="23"/>
        <v>0</v>
      </c>
      <c r="M20" s="1434"/>
      <c r="N20" s="1434">
        <f t="shared" si="24"/>
        <v>0</v>
      </c>
      <c r="O20" s="1030">
        <f t="shared" si="25"/>
        <v>0</v>
      </c>
      <c r="P20" s="978">
        <f t="shared" si="26"/>
        <v>1522.5635461946429</v>
      </c>
      <c r="Q20" s="1054">
        <f t="shared" si="27"/>
        <v>0</v>
      </c>
      <c r="R20" s="1510"/>
      <c r="S20" s="1054"/>
      <c r="T20" s="1510"/>
      <c r="U20" s="1415"/>
      <c r="V20" s="1415"/>
      <c r="W20" s="1054">
        <f t="shared" si="32"/>
        <v>0</v>
      </c>
      <c r="X20" s="1054"/>
      <c r="Y20" s="1054">
        <f t="shared" si="28"/>
        <v>0</v>
      </c>
      <c r="Z20" s="1054">
        <f t="shared" si="29"/>
        <v>0</v>
      </c>
      <c r="AA20" s="1062">
        <f t="shared" si="30"/>
        <v>0</v>
      </c>
      <c r="AB20" s="1062">
        <f t="shared" si="31"/>
        <v>0</v>
      </c>
    </row>
    <row r="21" spans="1:28">
      <c r="A21" s="979">
        <v>15</v>
      </c>
      <c r="B21" s="980" t="s">
        <v>116</v>
      </c>
      <c r="C21" s="981"/>
      <c r="D21" s="982">
        <f>'Table 3 Levels 1&amp;2'!$AP$77</f>
        <v>5041.6011463398772</v>
      </c>
      <c r="E21" s="1051">
        <f>'Table 3 Levels 1&amp;2'!V22</f>
        <v>0.78559999999999997</v>
      </c>
      <c r="F21" s="1051">
        <f>'Table 3 Levels 1&amp;2'!W22</f>
        <v>0.21440000000000001</v>
      </c>
      <c r="G21" s="982">
        <f t="shared" si="21"/>
        <v>3960.6818605646072</v>
      </c>
      <c r="H21" s="1033">
        <f t="shared" si="22"/>
        <v>0</v>
      </c>
      <c r="I21" s="1427"/>
      <c r="J21" s="1427"/>
      <c r="K21" s="1427"/>
      <c r="L21" s="1427">
        <f t="shared" si="23"/>
        <v>0</v>
      </c>
      <c r="M21" s="1435"/>
      <c r="N21" s="1435">
        <f t="shared" si="24"/>
        <v>0</v>
      </c>
      <c r="O21" s="1033">
        <f t="shared" si="25"/>
        <v>0</v>
      </c>
      <c r="P21" s="982">
        <f t="shared" si="26"/>
        <v>1080.9192857752698</v>
      </c>
      <c r="Q21" s="1055">
        <f t="shared" si="27"/>
        <v>0</v>
      </c>
      <c r="R21" s="1511"/>
      <c r="S21" s="1055"/>
      <c r="T21" s="1511"/>
      <c r="U21" s="1416"/>
      <c r="V21" s="1416"/>
      <c r="W21" s="1055">
        <f t="shared" si="32"/>
        <v>0</v>
      </c>
      <c r="X21" s="1055"/>
      <c r="Y21" s="1055">
        <f t="shared" si="28"/>
        <v>0</v>
      </c>
      <c r="Z21" s="1055">
        <f t="shared" si="29"/>
        <v>0</v>
      </c>
      <c r="AA21" s="1063">
        <f t="shared" si="30"/>
        <v>0</v>
      </c>
      <c r="AB21" s="1063">
        <f t="shared" si="31"/>
        <v>0</v>
      </c>
    </row>
    <row r="22" spans="1:28">
      <c r="A22" s="968">
        <v>16</v>
      </c>
      <c r="B22" s="969" t="s">
        <v>117</v>
      </c>
      <c r="C22" s="970"/>
      <c r="D22" s="971">
        <f>'Table 3 Levels 1&amp;2'!$AP$77</f>
        <v>5041.6011463398772</v>
      </c>
      <c r="E22" s="1049">
        <f>'Table 3 Levels 1&amp;2'!V23</f>
        <v>0.25</v>
      </c>
      <c r="F22" s="1049">
        <f>'Table 3 Levels 1&amp;2'!W23</f>
        <v>0.75</v>
      </c>
      <c r="G22" s="971">
        <f t="shared" si="21"/>
        <v>1260.4002865849693</v>
      </c>
      <c r="H22" s="972">
        <f t="shared" si="22"/>
        <v>0</v>
      </c>
      <c r="I22" s="1213"/>
      <c r="J22" s="1213"/>
      <c r="K22" s="1213"/>
      <c r="L22" s="1213">
        <f t="shared" si="23"/>
        <v>0</v>
      </c>
      <c r="M22" s="1213"/>
      <c r="N22" s="1213">
        <f t="shared" si="24"/>
        <v>0</v>
      </c>
      <c r="O22" s="972">
        <f t="shared" si="25"/>
        <v>0</v>
      </c>
      <c r="P22" s="971">
        <f t="shared" si="26"/>
        <v>3781.2008597549079</v>
      </c>
      <c r="Q22" s="1053">
        <f t="shared" si="27"/>
        <v>0</v>
      </c>
      <c r="R22" s="1509"/>
      <c r="S22" s="1053"/>
      <c r="T22" s="1509"/>
      <c r="U22" s="1414"/>
      <c r="V22" s="1414"/>
      <c r="W22" s="1053">
        <f t="shared" si="32"/>
        <v>0</v>
      </c>
      <c r="X22" s="1053"/>
      <c r="Y22" s="1053">
        <f t="shared" si="28"/>
        <v>0</v>
      </c>
      <c r="Z22" s="1053">
        <f t="shared" si="29"/>
        <v>0</v>
      </c>
      <c r="AA22" s="1061">
        <f t="shared" si="30"/>
        <v>0</v>
      </c>
      <c r="AB22" s="1061">
        <f t="shared" si="31"/>
        <v>0</v>
      </c>
    </row>
    <row r="23" spans="1:28">
      <c r="A23" s="975">
        <v>17</v>
      </c>
      <c r="B23" s="976" t="s">
        <v>118</v>
      </c>
      <c r="C23" s="977"/>
      <c r="D23" s="978">
        <f>'Table 3 Levels 1&amp;2'!$AP$77</f>
        <v>5041.6011463398772</v>
      </c>
      <c r="E23" s="1050">
        <f>'Table 3 Levels 1&amp;2'!V24</f>
        <v>0.49280000000000002</v>
      </c>
      <c r="F23" s="1050">
        <f>'Table 3 Levels 1&amp;2'!W24</f>
        <v>0.50719999999999998</v>
      </c>
      <c r="G23" s="978">
        <f t="shared" si="21"/>
        <v>2484.5010449162914</v>
      </c>
      <c r="H23" s="1030">
        <f t="shared" si="22"/>
        <v>0</v>
      </c>
      <c r="I23" s="1426"/>
      <c r="J23" s="1426"/>
      <c r="K23" s="1426"/>
      <c r="L23" s="1426">
        <f t="shared" si="23"/>
        <v>0</v>
      </c>
      <c r="M23" s="1434"/>
      <c r="N23" s="1434">
        <f t="shared" si="24"/>
        <v>0</v>
      </c>
      <c r="O23" s="1030">
        <f t="shared" si="25"/>
        <v>0</v>
      </c>
      <c r="P23" s="978">
        <f t="shared" si="26"/>
        <v>2557.1001014235858</v>
      </c>
      <c r="Q23" s="1054">
        <f t="shared" si="27"/>
        <v>0</v>
      </c>
      <c r="R23" s="1510"/>
      <c r="S23" s="1054"/>
      <c r="T23" s="1510"/>
      <c r="U23" s="1415"/>
      <c r="V23" s="1415"/>
      <c r="W23" s="1054">
        <f t="shared" si="32"/>
        <v>0</v>
      </c>
      <c r="X23" s="1054"/>
      <c r="Y23" s="1054">
        <f t="shared" si="28"/>
        <v>0</v>
      </c>
      <c r="Z23" s="1054">
        <f t="shared" si="29"/>
        <v>0</v>
      </c>
      <c r="AA23" s="1062">
        <f t="shared" si="30"/>
        <v>0</v>
      </c>
      <c r="AB23" s="1062">
        <f t="shared" si="31"/>
        <v>0</v>
      </c>
    </row>
    <row r="24" spans="1:28">
      <c r="A24" s="975">
        <v>18</v>
      </c>
      <c r="B24" s="976" t="s">
        <v>119</v>
      </c>
      <c r="C24" s="977"/>
      <c r="D24" s="978">
        <f>'Table 3 Levels 1&amp;2'!$AP$77</f>
        <v>5041.6011463398772</v>
      </c>
      <c r="E24" s="1050">
        <f>'Table 3 Levels 1&amp;2'!V25</f>
        <v>0.83309999999999995</v>
      </c>
      <c r="F24" s="1050">
        <f>'Table 3 Levels 1&amp;2'!W25</f>
        <v>0.16689999999999999</v>
      </c>
      <c r="G24" s="978">
        <f t="shared" si="21"/>
        <v>4200.1579150157513</v>
      </c>
      <c r="H24" s="1030">
        <f t="shared" si="22"/>
        <v>0</v>
      </c>
      <c r="I24" s="1426"/>
      <c r="J24" s="1426"/>
      <c r="K24" s="1426"/>
      <c r="L24" s="1426">
        <f t="shared" si="23"/>
        <v>0</v>
      </c>
      <c r="M24" s="1434"/>
      <c r="N24" s="1434">
        <f t="shared" si="24"/>
        <v>0</v>
      </c>
      <c r="O24" s="1030">
        <f t="shared" si="25"/>
        <v>0</v>
      </c>
      <c r="P24" s="978">
        <f t="shared" si="26"/>
        <v>841.44323132412546</v>
      </c>
      <c r="Q24" s="1054">
        <f t="shared" si="27"/>
        <v>0</v>
      </c>
      <c r="R24" s="1510"/>
      <c r="S24" s="1054"/>
      <c r="T24" s="1510"/>
      <c r="U24" s="1415"/>
      <c r="V24" s="1415"/>
      <c r="W24" s="1054">
        <f t="shared" si="32"/>
        <v>0</v>
      </c>
      <c r="X24" s="1054"/>
      <c r="Y24" s="1054">
        <f t="shared" si="28"/>
        <v>0</v>
      </c>
      <c r="Z24" s="1054">
        <f t="shared" si="29"/>
        <v>0</v>
      </c>
      <c r="AA24" s="1062">
        <f t="shared" si="30"/>
        <v>0</v>
      </c>
      <c r="AB24" s="1062">
        <f t="shared" si="31"/>
        <v>0</v>
      </c>
    </row>
    <row r="25" spans="1:28">
      <c r="A25" s="975">
        <v>19</v>
      </c>
      <c r="B25" s="976" t="s">
        <v>120</v>
      </c>
      <c r="C25" s="977"/>
      <c r="D25" s="978">
        <f>'Table 3 Levels 1&amp;2'!$AP$77</f>
        <v>5041.6011463398772</v>
      </c>
      <c r="E25" s="1050">
        <f>'Table 3 Levels 1&amp;2'!V26</f>
        <v>0.75600000000000001</v>
      </c>
      <c r="F25" s="1050">
        <f>'Table 3 Levels 1&amp;2'!W26</f>
        <v>0.24399999999999999</v>
      </c>
      <c r="G25" s="978">
        <f t="shared" si="21"/>
        <v>3811.4504666329472</v>
      </c>
      <c r="H25" s="1030">
        <f t="shared" si="22"/>
        <v>0</v>
      </c>
      <c r="I25" s="1426"/>
      <c r="J25" s="1426"/>
      <c r="K25" s="1426"/>
      <c r="L25" s="1426">
        <f t="shared" si="23"/>
        <v>0</v>
      </c>
      <c r="M25" s="1434"/>
      <c r="N25" s="1434">
        <f t="shared" si="24"/>
        <v>0</v>
      </c>
      <c r="O25" s="1030">
        <f t="shared" si="25"/>
        <v>0</v>
      </c>
      <c r="P25" s="978">
        <f t="shared" si="26"/>
        <v>1230.1506797069301</v>
      </c>
      <c r="Q25" s="1054">
        <f t="shared" si="27"/>
        <v>0</v>
      </c>
      <c r="R25" s="1510"/>
      <c r="S25" s="1054"/>
      <c r="T25" s="1510"/>
      <c r="U25" s="1415"/>
      <c r="V25" s="1415"/>
      <c r="W25" s="1054">
        <f t="shared" si="32"/>
        <v>0</v>
      </c>
      <c r="X25" s="1054"/>
      <c r="Y25" s="1054">
        <f t="shared" si="28"/>
        <v>0</v>
      </c>
      <c r="Z25" s="1054">
        <f t="shared" si="29"/>
        <v>0</v>
      </c>
      <c r="AA25" s="1062">
        <f t="shared" si="30"/>
        <v>0</v>
      </c>
      <c r="AB25" s="1062">
        <f t="shared" si="31"/>
        <v>0</v>
      </c>
    </row>
    <row r="26" spans="1:28">
      <c r="A26" s="979">
        <v>20</v>
      </c>
      <c r="B26" s="980" t="s">
        <v>121</v>
      </c>
      <c r="C26" s="981"/>
      <c r="D26" s="982">
        <f>'Table 3 Levels 1&amp;2'!$AP$77</f>
        <v>5041.6011463398772</v>
      </c>
      <c r="E26" s="1051">
        <f>'Table 3 Levels 1&amp;2'!V27</f>
        <v>0.80810000000000004</v>
      </c>
      <c r="F26" s="1051">
        <f>'Table 3 Levels 1&amp;2'!W27</f>
        <v>0.19189999999999999</v>
      </c>
      <c r="G26" s="982">
        <f t="shared" si="21"/>
        <v>4074.117886357255</v>
      </c>
      <c r="H26" s="1033">
        <f t="shared" si="22"/>
        <v>0</v>
      </c>
      <c r="I26" s="1427"/>
      <c r="J26" s="1427"/>
      <c r="K26" s="1427"/>
      <c r="L26" s="1427">
        <f t="shared" si="23"/>
        <v>0</v>
      </c>
      <c r="M26" s="1435"/>
      <c r="N26" s="1435">
        <f t="shared" si="24"/>
        <v>0</v>
      </c>
      <c r="O26" s="1033">
        <f t="shared" si="25"/>
        <v>0</v>
      </c>
      <c r="P26" s="982">
        <f t="shared" si="26"/>
        <v>967.48325998262237</v>
      </c>
      <c r="Q26" s="1055">
        <f t="shared" si="27"/>
        <v>0</v>
      </c>
      <c r="R26" s="1511"/>
      <c r="S26" s="1055"/>
      <c r="T26" s="1511"/>
      <c r="U26" s="1416"/>
      <c r="V26" s="1416"/>
      <c r="W26" s="1055">
        <f t="shared" si="32"/>
        <v>0</v>
      </c>
      <c r="X26" s="1055"/>
      <c r="Y26" s="1055">
        <f t="shared" si="28"/>
        <v>0</v>
      </c>
      <c r="Z26" s="1055">
        <f t="shared" si="29"/>
        <v>0</v>
      </c>
      <c r="AA26" s="1063">
        <f t="shared" si="30"/>
        <v>0</v>
      </c>
      <c r="AB26" s="1063">
        <f t="shared" si="31"/>
        <v>0</v>
      </c>
    </row>
    <row r="27" spans="1:28">
      <c r="A27" s="968">
        <v>21</v>
      </c>
      <c r="B27" s="969" t="s">
        <v>122</v>
      </c>
      <c r="C27" s="970"/>
      <c r="D27" s="971">
        <f>'Table 3 Levels 1&amp;2'!$AP$77</f>
        <v>5041.6011463398772</v>
      </c>
      <c r="E27" s="1049">
        <f>'Table 3 Levels 1&amp;2'!V28</f>
        <v>0.82410000000000005</v>
      </c>
      <c r="F27" s="1049">
        <f>'Table 3 Levels 1&amp;2'!W28</f>
        <v>0.1759</v>
      </c>
      <c r="G27" s="971">
        <f t="shared" si="21"/>
        <v>4154.7835046986929</v>
      </c>
      <c r="H27" s="972">
        <f t="shared" si="22"/>
        <v>0</v>
      </c>
      <c r="I27" s="1213"/>
      <c r="J27" s="1213"/>
      <c r="K27" s="1213"/>
      <c r="L27" s="1213">
        <f t="shared" si="23"/>
        <v>0</v>
      </c>
      <c r="M27" s="1213"/>
      <c r="N27" s="1213">
        <f t="shared" si="24"/>
        <v>0</v>
      </c>
      <c r="O27" s="972">
        <f t="shared" si="25"/>
        <v>0</v>
      </c>
      <c r="P27" s="971">
        <f t="shared" si="26"/>
        <v>886.81764164118442</v>
      </c>
      <c r="Q27" s="1053">
        <f t="shared" si="27"/>
        <v>0</v>
      </c>
      <c r="R27" s="1509"/>
      <c r="S27" s="1053"/>
      <c r="T27" s="1509"/>
      <c r="U27" s="1414"/>
      <c r="V27" s="1414"/>
      <c r="W27" s="1053">
        <f t="shared" si="32"/>
        <v>0</v>
      </c>
      <c r="X27" s="1053"/>
      <c r="Y27" s="1053">
        <f t="shared" si="28"/>
        <v>0</v>
      </c>
      <c r="Z27" s="1053">
        <f t="shared" si="29"/>
        <v>0</v>
      </c>
      <c r="AA27" s="1061">
        <f t="shared" si="30"/>
        <v>0</v>
      </c>
      <c r="AB27" s="1061">
        <f t="shared" si="31"/>
        <v>0</v>
      </c>
    </row>
    <row r="28" spans="1:28">
      <c r="A28" s="975">
        <v>22</v>
      </c>
      <c r="B28" s="976" t="s">
        <v>123</v>
      </c>
      <c r="C28" s="977"/>
      <c r="D28" s="978">
        <f>'Table 3 Levels 1&amp;2'!$AP$77</f>
        <v>5041.6011463398772</v>
      </c>
      <c r="E28" s="1050">
        <f>'Table 3 Levels 1&amp;2'!V29</f>
        <v>0.89900000000000002</v>
      </c>
      <c r="F28" s="1050">
        <f>'Table 3 Levels 1&amp;2'!W29</f>
        <v>0.10100000000000001</v>
      </c>
      <c r="G28" s="978">
        <f t="shared" si="21"/>
        <v>4532.3994305595497</v>
      </c>
      <c r="H28" s="1030">
        <f t="shared" si="22"/>
        <v>0</v>
      </c>
      <c r="I28" s="1426"/>
      <c r="J28" s="1426"/>
      <c r="K28" s="1426"/>
      <c r="L28" s="1426">
        <f t="shared" si="23"/>
        <v>0</v>
      </c>
      <c r="M28" s="1434"/>
      <c r="N28" s="1434">
        <f t="shared" si="24"/>
        <v>0</v>
      </c>
      <c r="O28" s="1030">
        <f t="shared" si="25"/>
        <v>0</v>
      </c>
      <c r="P28" s="978">
        <f t="shared" si="26"/>
        <v>509.20171578032762</v>
      </c>
      <c r="Q28" s="1054">
        <f t="shared" si="27"/>
        <v>0</v>
      </c>
      <c r="R28" s="1510"/>
      <c r="S28" s="1054"/>
      <c r="T28" s="1510"/>
      <c r="U28" s="1415"/>
      <c r="V28" s="1415"/>
      <c r="W28" s="1054">
        <f t="shared" si="32"/>
        <v>0</v>
      </c>
      <c r="X28" s="1054"/>
      <c r="Y28" s="1054">
        <f t="shared" si="28"/>
        <v>0</v>
      </c>
      <c r="Z28" s="1054">
        <f t="shared" si="29"/>
        <v>0</v>
      </c>
      <c r="AA28" s="1062">
        <f t="shared" si="30"/>
        <v>0</v>
      </c>
      <c r="AB28" s="1062">
        <f t="shared" si="31"/>
        <v>0</v>
      </c>
    </row>
    <row r="29" spans="1:28">
      <c r="A29" s="975">
        <v>23</v>
      </c>
      <c r="B29" s="976" t="s">
        <v>124</v>
      </c>
      <c r="C29" s="977"/>
      <c r="D29" s="978">
        <f>'Table 3 Levels 1&amp;2'!$AP$77</f>
        <v>5041.6011463398772</v>
      </c>
      <c r="E29" s="1050">
        <f>'Table 3 Levels 1&amp;2'!V30</f>
        <v>0.71740000000000004</v>
      </c>
      <c r="F29" s="1050">
        <f>'Table 3 Levels 1&amp;2'!W30</f>
        <v>0.28260000000000002</v>
      </c>
      <c r="G29" s="978">
        <f t="shared" si="21"/>
        <v>3616.8446623842283</v>
      </c>
      <c r="H29" s="1030">
        <f t="shared" si="22"/>
        <v>0</v>
      </c>
      <c r="I29" s="1426"/>
      <c r="J29" s="1426"/>
      <c r="K29" s="1426"/>
      <c r="L29" s="1426">
        <f t="shared" si="23"/>
        <v>0</v>
      </c>
      <c r="M29" s="1434"/>
      <c r="N29" s="1434">
        <f t="shared" si="24"/>
        <v>0</v>
      </c>
      <c r="O29" s="1030">
        <f t="shared" si="25"/>
        <v>0</v>
      </c>
      <c r="P29" s="978">
        <f t="shared" si="26"/>
        <v>1424.7564839556494</v>
      </c>
      <c r="Q29" s="1054">
        <f t="shared" si="27"/>
        <v>0</v>
      </c>
      <c r="R29" s="1510"/>
      <c r="S29" s="1054"/>
      <c r="T29" s="1510"/>
      <c r="U29" s="1415"/>
      <c r="V29" s="1415"/>
      <c r="W29" s="1054">
        <f t="shared" si="32"/>
        <v>0</v>
      </c>
      <c r="X29" s="1054"/>
      <c r="Y29" s="1054">
        <f t="shared" si="28"/>
        <v>0</v>
      </c>
      <c r="Z29" s="1054">
        <f t="shared" si="29"/>
        <v>0</v>
      </c>
      <c r="AA29" s="1062">
        <f t="shared" si="30"/>
        <v>0</v>
      </c>
      <c r="AB29" s="1062">
        <f t="shared" si="31"/>
        <v>0</v>
      </c>
    </row>
    <row r="30" spans="1:28">
      <c r="A30" s="975">
        <v>24</v>
      </c>
      <c r="B30" s="976" t="s">
        <v>125</v>
      </c>
      <c r="C30" s="977"/>
      <c r="D30" s="978">
        <f>'Table 3 Levels 1&amp;2'!$AP$77</f>
        <v>5041.6011463398772</v>
      </c>
      <c r="E30" s="1050">
        <f>'Table 3 Levels 1&amp;2'!V31</f>
        <v>0.38040000000000002</v>
      </c>
      <c r="F30" s="1050">
        <f>'Table 3 Levels 1&amp;2'!W31</f>
        <v>0.61960000000000004</v>
      </c>
      <c r="G30" s="978">
        <f t="shared" si="21"/>
        <v>1917.8250760676895</v>
      </c>
      <c r="H30" s="1030">
        <f t="shared" si="22"/>
        <v>0</v>
      </c>
      <c r="I30" s="1426"/>
      <c r="J30" s="1426"/>
      <c r="K30" s="1426"/>
      <c r="L30" s="1426">
        <f t="shared" si="23"/>
        <v>0</v>
      </c>
      <c r="M30" s="1434"/>
      <c r="N30" s="1434">
        <f t="shared" si="24"/>
        <v>0</v>
      </c>
      <c r="O30" s="1030">
        <f t="shared" si="25"/>
        <v>0</v>
      </c>
      <c r="P30" s="978">
        <f t="shared" si="26"/>
        <v>3123.776070272188</v>
      </c>
      <c r="Q30" s="1054">
        <f t="shared" si="27"/>
        <v>0</v>
      </c>
      <c r="R30" s="1510"/>
      <c r="S30" s="1054"/>
      <c r="T30" s="1510"/>
      <c r="U30" s="1415"/>
      <c r="V30" s="1415"/>
      <c r="W30" s="1054">
        <f t="shared" si="32"/>
        <v>0</v>
      </c>
      <c r="X30" s="1054"/>
      <c r="Y30" s="1054">
        <f t="shared" si="28"/>
        <v>0</v>
      </c>
      <c r="Z30" s="1054">
        <f t="shared" si="29"/>
        <v>0</v>
      </c>
      <c r="AA30" s="1062">
        <f t="shared" si="30"/>
        <v>0</v>
      </c>
      <c r="AB30" s="1062">
        <f t="shared" si="31"/>
        <v>0</v>
      </c>
    </row>
    <row r="31" spans="1:28">
      <c r="A31" s="979">
        <v>25</v>
      </c>
      <c r="B31" s="980" t="s">
        <v>126</v>
      </c>
      <c r="C31" s="981"/>
      <c r="D31" s="982">
        <f>'Table 3 Levels 1&amp;2'!$AP$77</f>
        <v>5041.6011463398772</v>
      </c>
      <c r="E31" s="1051">
        <f>'Table 3 Levels 1&amp;2'!V32</f>
        <v>0.57089999999999996</v>
      </c>
      <c r="F31" s="1051">
        <f>'Table 3 Levels 1&amp;2'!W32</f>
        <v>0.42909999999999998</v>
      </c>
      <c r="G31" s="982">
        <f t="shared" si="21"/>
        <v>2878.2500944454359</v>
      </c>
      <c r="H31" s="1033">
        <f t="shared" si="22"/>
        <v>0</v>
      </c>
      <c r="I31" s="1427"/>
      <c r="J31" s="1427"/>
      <c r="K31" s="1427"/>
      <c r="L31" s="1427">
        <f t="shared" si="23"/>
        <v>0</v>
      </c>
      <c r="M31" s="1435"/>
      <c r="N31" s="1435">
        <f t="shared" si="24"/>
        <v>0</v>
      </c>
      <c r="O31" s="1033">
        <f t="shared" si="25"/>
        <v>0</v>
      </c>
      <c r="P31" s="982">
        <f t="shared" si="26"/>
        <v>2163.3510518944413</v>
      </c>
      <c r="Q31" s="1055">
        <f t="shared" si="27"/>
        <v>0</v>
      </c>
      <c r="R31" s="1511"/>
      <c r="S31" s="1055"/>
      <c r="T31" s="1511"/>
      <c r="U31" s="1416"/>
      <c r="V31" s="1416"/>
      <c r="W31" s="1055">
        <f t="shared" si="32"/>
        <v>0</v>
      </c>
      <c r="X31" s="1055"/>
      <c r="Y31" s="1055">
        <f t="shared" si="28"/>
        <v>0</v>
      </c>
      <c r="Z31" s="1055">
        <f t="shared" si="29"/>
        <v>0</v>
      </c>
      <c r="AA31" s="1063">
        <f t="shared" si="30"/>
        <v>0</v>
      </c>
      <c r="AB31" s="1063">
        <f t="shared" si="31"/>
        <v>0</v>
      </c>
    </row>
    <row r="32" spans="1:28">
      <c r="A32" s="968">
        <v>26</v>
      </c>
      <c r="B32" s="969" t="s">
        <v>127</v>
      </c>
      <c r="C32" s="970"/>
      <c r="D32" s="971">
        <f>'Table 3 Levels 1&amp;2'!$AP$77</f>
        <v>5041.6011463398772</v>
      </c>
      <c r="E32" s="1049">
        <f>'Table 3 Levels 1&amp;2'!V33</f>
        <v>0.4536</v>
      </c>
      <c r="F32" s="1049">
        <f>'Table 3 Levels 1&amp;2'!W33</f>
        <v>0.5464</v>
      </c>
      <c r="G32" s="971">
        <f t="shared" si="21"/>
        <v>2286.8702799797684</v>
      </c>
      <c r="H32" s="972">
        <f t="shared" si="22"/>
        <v>0</v>
      </c>
      <c r="I32" s="1213"/>
      <c r="J32" s="1213"/>
      <c r="K32" s="1213"/>
      <c r="L32" s="1213">
        <f t="shared" si="23"/>
        <v>0</v>
      </c>
      <c r="M32" s="1213"/>
      <c r="N32" s="1213">
        <f t="shared" si="24"/>
        <v>0</v>
      </c>
      <c r="O32" s="972">
        <f t="shared" si="25"/>
        <v>0</v>
      </c>
      <c r="P32" s="971">
        <f t="shared" si="26"/>
        <v>2754.7308663601088</v>
      </c>
      <c r="Q32" s="1053">
        <f t="shared" si="27"/>
        <v>0</v>
      </c>
      <c r="R32" s="1509"/>
      <c r="S32" s="1053"/>
      <c r="T32" s="1509"/>
      <c r="U32" s="1414"/>
      <c r="V32" s="1414"/>
      <c r="W32" s="1053">
        <f t="shared" si="32"/>
        <v>0</v>
      </c>
      <c r="X32" s="1053"/>
      <c r="Y32" s="1053">
        <f t="shared" si="28"/>
        <v>0</v>
      </c>
      <c r="Z32" s="1053">
        <f t="shared" si="29"/>
        <v>0</v>
      </c>
      <c r="AA32" s="1061">
        <f t="shared" si="30"/>
        <v>0</v>
      </c>
      <c r="AB32" s="1061">
        <f t="shared" si="31"/>
        <v>0</v>
      </c>
    </row>
    <row r="33" spans="1:28">
      <c r="A33" s="975">
        <v>27</v>
      </c>
      <c r="B33" s="976" t="s">
        <v>128</v>
      </c>
      <c r="C33" s="983"/>
      <c r="D33" s="984">
        <f>'Table 3 Levels 1&amp;2'!$AP$77</f>
        <v>5041.6011463398772</v>
      </c>
      <c r="E33" s="1050">
        <f>'Table 3 Levels 1&amp;2'!V34</f>
        <v>0.78490000000000004</v>
      </c>
      <c r="F33" s="1050">
        <f>'Table 3 Levels 1&amp;2'!W34</f>
        <v>0.21510000000000001</v>
      </c>
      <c r="G33" s="984">
        <f t="shared" si="21"/>
        <v>3957.1527397621699</v>
      </c>
      <c r="H33" s="1037">
        <f t="shared" si="22"/>
        <v>0</v>
      </c>
      <c r="I33" s="1428"/>
      <c r="J33" s="1428"/>
      <c r="K33" s="1428"/>
      <c r="L33" s="1428">
        <f t="shared" si="23"/>
        <v>0</v>
      </c>
      <c r="M33" s="1436"/>
      <c r="N33" s="1436">
        <f t="shared" si="24"/>
        <v>0</v>
      </c>
      <c r="O33" s="1037">
        <f t="shared" si="25"/>
        <v>0</v>
      </c>
      <c r="P33" s="984">
        <f t="shared" si="26"/>
        <v>1084.4484065777076</v>
      </c>
      <c r="Q33" s="1056">
        <f t="shared" si="27"/>
        <v>0</v>
      </c>
      <c r="R33" s="1512"/>
      <c r="S33" s="1056"/>
      <c r="T33" s="1512"/>
      <c r="U33" s="1417"/>
      <c r="V33" s="1417"/>
      <c r="W33" s="1056">
        <f t="shared" si="32"/>
        <v>0</v>
      </c>
      <c r="X33" s="1056"/>
      <c r="Y33" s="1056">
        <f t="shared" si="28"/>
        <v>0</v>
      </c>
      <c r="Z33" s="1056">
        <f t="shared" si="29"/>
        <v>0</v>
      </c>
      <c r="AA33" s="1064">
        <f t="shared" si="30"/>
        <v>0</v>
      </c>
      <c r="AB33" s="1064">
        <f t="shared" si="31"/>
        <v>0</v>
      </c>
    </row>
    <row r="34" spans="1:28">
      <c r="A34" s="975">
        <v>28</v>
      </c>
      <c r="B34" s="976" t="s">
        <v>129</v>
      </c>
      <c r="C34" s="983"/>
      <c r="D34" s="984">
        <f>'Table 3 Levels 1&amp;2'!$AP$77</f>
        <v>5041.6011463398772</v>
      </c>
      <c r="E34" s="1050">
        <f>'Table 3 Levels 1&amp;2'!V35</f>
        <v>0.52459999999999996</v>
      </c>
      <c r="F34" s="1050">
        <f>'Table 3 Levels 1&amp;2'!W35</f>
        <v>0.47539999999999999</v>
      </c>
      <c r="G34" s="984">
        <f t="shared" si="21"/>
        <v>2644.8239613698993</v>
      </c>
      <c r="H34" s="1037">
        <f t="shared" si="22"/>
        <v>0</v>
      </c>
      <c r="I34" s="1428"/>
      <c r="J34" s="1428"/>
      <c r="K34" s="1428"/>
      <c r="L34" s="1428">
        <f t="shared" si="23"/>
        <v>0</v>
      </c>
      <c r="M34" s="1436"/>
      <c r="N34" s="1436">
        <f t="shared" si="24"/>
        <v>0</v>
      </c>
      <c r="O34" s="1037">
        <f t="shared" si="25"/>
        <v>0</v>
      </c>
      <c r="P34" s="984">
        <f t="shared" si="26"/>
        <v>2396.7771849699775</v>
      </c>
      <c r="Q34" s="1056">
        <f t="shared" si="27"/>
        <v>0</v>
      </c>
      <c r="R34" s="1512"/>
      <c r="S34" s="1056"/>
      <c r="T34" s="1512"/>
      <c r="U34" s="1417"/>
      <c r="V34" s="1417"/>
      <c r="W34" s="1056">
        <f t="shared" si="32"/>
        <v>0</v>
      </c>
      <c r="X34" s="1056"/>
      <c r="Y34" s="1056">
        <f t="shared" si="28"/>
        <v>0</v>
      </c>
      <c r="Z34" s="1056">
        <f t="shared" si="29"/>
        <v>0</v>
      </c>
      <c r="AA34" s="1064">
        <f t="shared" si="30"/>
        <v>0</v>
      </c>
      <c r="AB34" s="1064">
        <f t="shared" si="31"/>
        <v>0</v>
      </c>
    </row>
    <row r="35" spans="1:28">
      <c r="A35" s="975">
        <v>29</v>
      </c>
      <c r="B35" s="976" t="s">
        <v>130</v>
      </c>
      <c r="C35" s="983"/>
      <c r="D35" s="984">
        <f>'Table 3 Levels 1&amp;2'!$AP$77</f>
        <v>5041.6011463398772</v>
      </c>
      <c r="E35" s="1050">
        <f>'Table 3 Levels 1&amp;2'!V36</f>
        <v>0.627</v>
      </c>
      <c r="F35" s="1050">
        <f>'Table 3 Levels 1&amp;2'!W36</f>
        <v>0.373</v>
      </c>
      <c r="G35" s="984">
        <f t="shared" si="21"/>
        <v>3161.0839187551032</v>
      </c>
      <c r="H35" s="1037">
        <f t="shared" si="22"/>
        <v>0</v>
      </c>
      <c r="I35" s="1428"/>
      <c r="J35" s="1428"/>
      <c r="K35" s="1428"/>
      <c r="L35" s="1428">
        <f t="shared" si="23"/>
        <v>0</v>
      </c>
      <c r="M35" s="1436"/>
      <c r="N35" s="1436">
        <f t="shared" si="24"/>
        <v>0</v>
      </c>
      <c r="O35" s="1037">
        <f t="shared" si="25"/>
        <v>0</v>
      </c>
      <c r="P35" s="984">
        <f t="shared" si="26"/>
        <v>1880.5172275847742</v>
      </c>
      <c r="Q35" s="1056">
        <f t="shared" si="27"/>
        <v>0</v>
      </c>
      <c r="R35" s="1512"/>
      <c r="S35" s="1056"/>
      <c r="T35" s="1512"/>
      <c r="U35" s="1417"/>
      <c r="V35" s="1417"/>
      <c r="W35" s="1056">
        <f t="shared" si="32"/>
        <v>0</v>
      </c>
      <c r="X35" s="1056"/>
      <c r="Y35" s="1056">
        <f t="shared" si="28"/>
        <v>0</v>
      </c>
      <c r="Z35" s="1056">
        <f t="shared" si="29"/>
        <v>0</v>
      </c>
      <c r="AA35" s="1064">
        <f t="shared" si="30"/>
        <v>0</v>
      </c>
      <c r="AB35" s="1064">
        <f t="shared" si="31"/>
        <v>0</v>
      </c>
    </row>
    <row r="36" spans="1:28">
      <c r="A36" s="979">
        <v>30</v>
      </c>
      <c r="B36" s="980" t="s">
        <v>131</v>
      </c>
      <c r="C36" s="985"/>
      <c r="D36" s="986">
        <f>'Table 3 Levels 1&amp;2'!$AP$77</f>
        <v>5041.6011463398772</v>
      </c>
      <c r="E36" s="1051">
        <f>'Table 3 Levels 1&amp;2'!V37</f>
        <v>0.78969999999999996</v>
      </c>
      <c r="F36" s="1051">
        <f>'Table 3 Levels 1&amp;2'!W37</f>
        <v>0.21029999999999999</v>
      </c>
      <c r="G36" s="986">
        <f t="shared" si="21"/>
        <v>3981.3524252646007</v>
      </c>
      <c r="H36" s="1038">
        <f t="shared" si="22"/>
        <v>0</v>
      </c>
      <c r="I36" s="1429"/>
      <c r="J36" s="1429"/>
      <c r="K36" s="1429"/>
      <c r="L36" s="1429">
        <f t="shared" si="23"/>
        <v>0</v>
      </c>
      <c r="M36" s="1437"/>
      <c r="N36" s="1437">
        <f t="shared" si="24"/>
        <v>0</v>
      </c>
      <c r="O36" s="1038">
        <f t="shared" si="25"/>
        <v>0</v>
      </c>
      <c r="P36" s="986">
        <f t="shared" si="26"/>
        <v>1060.2487210752761</v>
      </c>
      <c r="Q36" s="1057">
        <f t="shared" si="27"/>
        <v>0</v>
      </c>
      <c r="R36" s="1513"/>
      <c r="S36" s="1057"/>
      <c r="T36" s="1513"/>
      <c r="U36" s="1418"/>
      <c r="V36" s="1418"/>
      <c r="W36" s="1057">
        <f t="shared" si="32"/>
        <v>0</v>
      </c>
      <c r="X36" s="1057"/>
      <c r="Y36" s="1057">
        <f t="shared" si="28"/>
        <v>0</v>
      </c>
      <c r="Z36" s="1057">
        <f t="shared" si="29"/>
        <v>0</v>
      </c>
      <c r="AA36" s="1065">
        <f t="shared" si="30"/>
        <v>0</v>
      </c>
      <c r="AB36" s="1065">
        <f t="shared" si="31"/>
        <v>0</v>
      </c>
    </row>
    <row r="37" spans="1:28">
      <c r="A37" s="968">
        <v>31</v>
      </c>
      <c r="B37" s="969" t="s">
        <v>132</v>
      </c>
      <c r="C37" s="987"/>
      <c r="D37" s="988">
        <f>'Table 3 Levels 1&amp;2'!$AP$77</f>
        <v>5041.6011463398772</v>
      </c>
      <c r="E37" s="1049">
        <f>'Table 3 Levels 1&amp;2'!V38</f>
        <v>0.6341</v>
      </c>
      <c r="F37" s="1049">
        <f>'Table 3 Levels 1&amp;2'!W38</f>
        <v>0.3659</v>
      </c>
      <c r="G37" s="988">
        <f t="shared" si="21"/>
        <v>3196.8792868941159</v>
      </c>
      <c r="H37" s="1039">
        <f t="shared" si="22"/>
        <v>0</v>
      </c>
      <c r="I37" s="1211"/>
      <c r="J37" s="1211"/>
      <c r="K37" s="1211"/>
      <c r="L37" s="1211">
        <f t="shared" si="23"/>
        <v>0</v>
      </c>
      <c r="M37" s="1211"/>
      <c r="N37" s="1211">
        <f t="shared" si="24"/>
        <v>0</v>
      </c>
      <c r="O37" s="1039">
        <f t="shared" si="25"/>
        <v>0</v>
      </c>
      <c r="P37" s="988">
        <f t="shared" si="26"/>
        <v>1844.7218594457611</v>
      </c>
      <c r="Q37" s="1058">
        <f t="shared" si="27"/>
        <v>0</v>
      </c>
      <c r="R37" s="1514"/>
      <c r="S37" s="1058"/>
      <c r="T37" s="1514"/>
      <c r="U37" s="1419"/>
      <c r="V37" s="1419"/>
      <c r="W37" s="1058">
        <f t="shared" si="32"/>
        <v>0</v>
      </c>
      <c r="X37" s="1058"/>
      <c r="Y37" s="1058">
        <f t="shared" si="28"/>
        <v>0</v>
      </c>
      <c r="Z37" s="1058">
        <f t="shared" si="29"/>
        <v>0</v>
      </c>
      <c r="AA37" s="1066">
        <f t="shared" si="30"/>
        <v>0</v>
      </c>
      <c r="AB37" s="1066">
        <f t="shared" si="31"/>
        <v>0</v>
      </c>
    </row>
    <row r="38" spans="1:28">
      <c r="A38" s="975">
        <v>32</v>
      </c>
      <c r="B38" s="976" t="s">
        <v>133</v>
      </c>
      <c r="C38" s="983"/>
      <c r="D38" s="984">
        <f>'Table 3 Levels 1&amp;2'!$AP$77</f>
        <v>5041.6011463398772</v>
      </c>
      <c r="E38" s="1050">
        <f>'Table 3 Levels 1&amp;2'!V39</f>
        <v>0.85389999999999999</v>
      </c>
      <c r="F38" s="1050">
        <f>'Table 3 Levels 1&amp;2'!W39</f>
        <v>0.14610000000000001</v>
      </c>
      <c r="G38" s="984">
        <f t="shared" si="21"/>
        <v>4305.023218859621</v>
      </c>
      <c r="H38" s="1037">
        <f t="shared" si="22"/>
        <v>0</v>
      </c>
      <c r="I38" s="1428"/>
      <c r="J38" s="1428"/>
      <c r="K38" s="1428"/>
      <c r="L38" s="1428">
        <f t="shared" si="23"/>
        <v>0</v>
      </c>
      <c r="M38" s="1436"/>
      <c r="N38" s="1436">
        <f t="shared" si="24"/>
        <v>0</v>
      </c>
      <c r="O38" s="1037">
        <f t="shared" si="25"/>
        <v>0</v>
      </c>
      <c r="P38" s="984">
        <f t="shared" si="26"/>
        <v>736.57792748025611</v>
      </c>
      <c r="Q38" s="1056">
        <f t="shared" si="27"/>
        <v>0</v>
      </c>
      <c r="R38" s="1512"/>
      <c r="S38" s="1056"/>
      <c r="T38" s="1512"/>
      <c r="U38" s="1417"/>
      <c r="V38" s="1417"/>
      <c r="W38" s="1056">
        <f t="shared" si="32"/>
        <v>0</v>
      </c>
      <c r="X38" s="1056"/>
      <c r="Y38" s="1056">
        <f t="shared" si="28"/>
        <v>0</v>
      </c>
      <c r="Z38" s="1056">
        <f t="shared" si="29"/>
        <v>0</v>
      </c>
      <c r="AA38" s="1064">
        <f t="shared" si="30"/>
        <v>0</v>
      </c>
      <c r="AB38" s="1064">
        <f t="shared" si="31"/>
        <v>0</v>
      </c>
    </row>
    <row r="39" spans="1:28">
      <c r="A39" s="975">
        <v>33</v>
      </c>
      <c r="B39" s="976" t="s">
        <v>134</v>
      </c>
      <c r="C39" s="983"/>
      <c r="D39" s="984">
        <f>'Table 3 Levels 1&amp;2'!$AP$77</f>
        <v>5041.6011463398772</v>
      </c>
      <c r="E39" s="1050">
        <f>'Table 3 Levels 1&amp;2'!V40</f>
        <v>0.74370000000000003</v>
      </c>
      <c r="F39" s="1050">
        <f>'Table 3 Levels 1&amp;2'!W40</f>
        <v>0.25629999999999997</v>
      </c>
      <c r="G39" s="984">
        <f t="shared" si="21"/>
        <v>3749.4387725329671</v>
      </c>
      <c r="H39" s="1037">
        <f t="shared" si="22"/>
        <v>0</v>
      </c>
      <c r="I39" s="1428"/>
      <c r="J39" s="1428"/>
      <c r="K39" s="1428"/>
      <c r="L39" s="1428">
        <f t="shared" si="23"/>
        <v>0</v>
      </c>
      <c r="M39" s="1436"/>
      <c r="N39" s="1436">
        <f t="shared" si="24"/>
        <v>0</v>
      </c>
      <c r="O39" s="1037">
        <f t="shared" si="25"/>
        <v>0</v>
      </c>
      <c r="P39" s="984">
        <f t="shared" si="26"/>
        <v>1292.1623738069104</v>
      </c>
      <c r="Q39" s="1056">
        <f t="shared" si="27"/>
        <v>0</v>
      </c>
      <c r="R39" s="1512"/>
      <c r="S39" s="1056"/>
      <c r="T39" s="1512"/>
      <c r="U39" s="1417"/>
      <c r="V39" s="1417"/>
      <c r="W39" s="1056">
        <f t="shared" si="32"/>
        <v>0</v>
      </c>
      <c r="X39" s="1056"/>
      <c r="Y39" s="1056">
        <f t="shared" si="28"/>
        <v>0</v>
      </c>
      <c r="Z39" s="1056">
        <f t="shared" si="29"/>
        <v>0</v>
      </c>
      <c r="AA39" s="1064">
        <f t="shared" si="30"/>
        <v>0</v>
      </c>
      <c r="AB39" s="1064">
        <f t="shared" si="31"/>
        <v>0</v>
      </c>
    </row>
    <row r="40" spans="1:28">
      <c r="A40" s="975">
        <v>34</v>
      </c>
      <c r="B40" s="976" t="s">
        <v>135</v>
      </c>
      <c r="C40" s="983"/>
      <c r="D40" s="984">
        <f>'Table 3 Levels 1&amp;2'!$AP$77</f>
        <v>5041.6011463398772</v>
      </c>
      <c r="E40" s="1050">
        <f>'Table 3 Levels 1&amp;2'!V41</f>
        <v>0.79279999999999995</v>
      </c>
      <c r="F40" s="1050">
        <f>'Table 3 Levels 1&amp;2'!W41</f>
        <v>0.2072</v>
      </c>
      <c r="G40" s="984">
        <f t="shared" si="21"/>
        <v>3996.9813888182543</v>
      </c>
      <c r="H40" s="1037">
        <f t="shared" si="22"/>
        <v>0</v>
      </c>
      <c r="I40" s="1428"/>
      <c r="J40" s="1428"/>
      <c r="K40" s="1428"/>
      <c r="L40" s="1428">
        <f t="shared" si="23"/>
        <v>0</v>
      </c>
      <c r="M40" s="1436"/>
      <c r="N40" s="1436">
        <f t="shared" si="24"/>
        <v>0</v>
      </c>
      <c r="O40" s="1037">
        <f t="shared" si="25"/>
        <v>0</v>
      </c>
      <c r="P40" s="984">
        <f t="shared" si="26"/>
        <v>1044.6197575216224</v>
      </c>
      <c r="Q40" s="1056">
        <f t="shared" si="27"/>
        <v>0</v>
      </c>
      <c r="R40" s="1512"/>
      <c r="S40" s="1056"/>
      <c r="T40" s="1512"/>
      <c r="U40" s="1417"/>
      <c r="V40" s="1417"/>
      <c r="W40" s="1056">
        <f t="shared" si="32"/>
        <v>0</v>
      </c>
      <c r="X40" s="1056"/>
      <c r="Y40" s="1056">
        <f t="shared" si="28"/>
        <v>0</v>
      </c>
      <c r="Z40" s="1056">
        <f t="shared" si="29"/>
        <v>0</v>
      </c>
      <c r="AA40" s="1064">
        <f t="shared" si="30"/>
        <v>0</v>
      </c>
      <c r="AB40" s="1064">
        <f t="shared" si="31"/>
        <v>0</v>
      </c>
    </row>
    <row r="41" spans="1:28">
      <c r="A41" s="979">
        <v>35</v>
      </c>
      <c r="B41" s="980" t="s">
        <v>136</v>
      </c>
      <c r="C41" s="985"/>
      <c r="D41" s="986">
        <f>'Table 3 Levels 1&amp;2'!$AP$77</f>
        <v>5041.6011463398772</v>
      </c>
      <c r="E41" s="1051">
        <f>'Table 3 Levels 1&amp;2'!V42</f>
        <v>0.71060000000000001</v>
      </c>
      <c r="F41" s="1051">
        <f>'Table 3 Levels 1&amp;2'!W42</f>
        <v>0.28939999999999999</v>
      </c>
      <c r="G41" s="986">
        <f t="shared" si="21"/>
        <v>3582.5617745891168</v>
      </c>
      <c r="H41" s="1038">
        <f t="shared" si="22"/>
        <v>0</v>
      </c>
      <c r="I41" s="1429"/>
      <c r="J41" s="1429"/>
      <c r="K41" s="1429"/>
      <c r="L41" s="1429">
        <f t="shared" si="23"/>
        <v>0</v>
      </c>
      <c r="M41" s="1437"/>
      <c r="N41" s="1437">
        <f t="shared" si="24"/>
        <v>0</v>
      </c>
      <c r="O41" s="1038">
        <f t="shared" si="25"/>
        <v>0</v>
      </c>
      <c r="P41" s="986">
        <f t="shared" si="26"/>
        <v>1459.0393717507604</v>
      </c>
      <c r="Q41" s="1057">
        <f t="shared" si="27"/>
        <v>0</v>
      </c>
      <c r="R41" s="1513"/>
      <c r="S41" s="1057"/>
      <c r="T41" s="1513"/>
      <c r="U41" s="1418"/>
      <c r="V41" s="1418"/>
      <c r="W41" s="1057">
        <f t="shared" si="32"/>
        <v>0</v>
      </c>
      <c r="X41" s="1057"/>
      <c r="Y41" s="1057">
        <f t="shared" si="28"/>
        <v>0</v>
      </c>
      <c r="Z41" s="1057">
        <f t="shared" si="29"/>
        <v>0</v>
      </c>
      <c r="AA41" s="1065">
        <f t="shared" si="30"/>
        <v>0</v>
      </c>
      <c r="AB41" s="1065">
        <f t="shared" si="31"/>
        <v>0</v>
      </c>
    </row>
    <row r="42" spans="1:28">
      <c r="A42" s="968">
        <v>36</v>
      </c>
      <c r="B42" s="969" t="s">
        <v>137</v>
      </c>
      <c r="C42" s="987"/>
      <c r="D42" s="988">
        <f>'Table 3 Levels 1&amp;2'!$AP$77</f>
        <v>5041.6011463398772</v>
      </c>
      <c r="E42" s="1049">
        <f>'Table 3 Levels 1&amp;2'!V43</f>
        <v>0.53820000000000001</v>
      </c>
      <c r="F42" s="1049">
        <f>'Table 3 Levels 1&amp;2'!W43</f>
        <v>0.46179999999999999</v>
      </c>
      <c r="G42" s="988">
        <f t="shared" si="21"/>
        <v>2713.3897369601218</v>
      </c>
      <c r="H42" s="1039">
        <f t="shared" si="22"/>
        <v>0</v>
      </c>
      <c r="I42" s="1211"/>
      <c r="J42" s="1211"/>
      <c r="K42" s="1211"/>
      <c r="L42" s="1211">
        <f t="shared" si="23"/>
        <v>0</v>
      </c>
      <c r="M42" s="1211"/>
      <c r="N42" s="1211">
        <f t="shared" si="24"/>
        <v>0</v>
      </c>
      <c r="O42" s="1039">
        <f t="shared" si="25"/>
        <v>0</v>
      </c>
      <c r="P42" s="988">
        <f t="shared" si="26"/>
        <v>2328.2114093797554</v>
      </c>
      <c r="Q42" s="1058">
        <f t="shared" si="27"/>
        <v>0</v>
      </c>
      <c r="R42" s="1514"/>
      <c r="S42" s="1058"/>
      <c r="T42" s="1514"/>
      <c r="U42" s="1419"/>
      <c r="V42" s="1419"/>
      <c r="W42" s="1058">
        <f t="shared" si="32"/>
        <v>0</v>
      </c>
      <c r="X42" s="1058"/>
      <c r="Y42" s="1058">
        <f t="shared" si="28"/>
        <v>0</v>
      </c>
      <c r="Z42" s="1058">
        <f t="shared" si="29"/>
        <v>0</v>
      </c>
      <c r="AA42" s="1066">
        <f t="shared" si="30"/>
        <v>0</v>
      </c>
      <c r="AB42" s="1066">
        <f t="shared" si="31"/>
        <v>0</v>
      </c>
    </row>
    <row r="43" spans="1:28">
      <c r="A43" s="975">
        <v>37</v>
      </c>
      <c r="B43" s="976" t="s">
        <v>138</v>
      </c>
      <c r="C43" s="983"/>
      <c r="D43" s="984">
        <f>'Table 3 Levels 1&amp;2'!$AP$77</f>
        <v>5041.6011463398772</v>
      </c>
      <c r="E43" s="1050">
        <f>'Table 3 Levels 1&amp;2'!V44</f>
        <v>0.79559999999999997</v>
      </c>
      <c r="F43" s="1050">
        <f>'Table 3 Levels 1&amp;2'!W44</f>
        <v>0.2044</v>
      </c>
      <c r="G43" s="984">
        <f t="shared" si="21"/>
        <v>4011.0978720280063</v>
      </c>
      <c r="H43" s="1037">
        <f t="shared" si="22"/>
        <v>0</v>
      </c>
      <c r="I43" s="1428"/>
      <c r="J43" s="1428"/>
      <c r="K43" s="1428"/>
      <c r="L43" s="1428">
        <f t="shared" si="23"/>
        <v>0</v>
      </c>
      <c r="M43" s="1436"/>
      <c r="N43" s="1436">
        <f t="shared" si="24"/>
        <v>0</v>
      </c>
      <c r="O43" s="1037">
        <f t="shared" si="25"/>
        <v>0</v>
      </c>
      <c r="P43" s="984">
        <f t="shared" si="26"/>
        <v>1030.5032743118709</v>
      </c>
      <c r="Q43" s="1056">
        <f t="shared" si="27"/>
        <v>0</v>
      </c>
      <c r="R43" s="1512"/>
      <c r="S43" s="1056"/>
      <c r="T43" s="1512"/>
      <c r="U43" s="1417"/>
      <c r="V43" s="1417"/>
      <c r="W43" s="1056">
        <f t="shared" si="32"/>
        <v>0</v>
      </c>
      <c r="X43" s="1056"/>
      <c r="Y43" s="1056">
        <f t="shared" si="28"/>
        <v>0</v>
      </c>
      <c r="Z43" s="1056">
        <f t="shared" si="29"/>
        <v>0</v>
      </c>
      <c r="AA43" s="1064">
        <f t="shared" si="30"/>
        <v>0</v>
      </c>
      <c r="AB43" s="1064">
        <f t="shared" si="31"/>
        <v>0</v>
      </c>
    </row>
    <row r="44" spans="1:28">
      <c r="A44" s="975">
        <v>38</v>
      </c>
      <c r="B44" s="976" t="s">
        <v>139</v>
      </c>
      <c r="C44" s="983"/>
      <c r="D44" s="984">
        <f>'Table 3 Levels 1&amp;2'!$AP$77</f>
        <v>5041.6011463398772</v>
      </c>
      <c r="E44" s="1050">
        <f>'Table 3 Levels 1&amp;2'!V45</f>
        <v>0.25</v>
      </c>
      <c r="F44" s="1050">
        <f>'Table 3 Levels 1&amp;2'!W45</f>
        <v>0.75</v>
      </c>
      <c r="G44" s="984">
        <f t="shared" si="21"/>
        <v>1260.4002865849693</v>
      </c>
      <c r="H44" s="1037">
        <f t="shared" si="22"/>
        <v>0</v>
      </c>
      <c r="I44" s="1428"/>
      <c r="J44" s="1428"/>
      <c r="K44" s="1428"/>
      <c r="L44" s="1428">
        <f t="shared" si="23"/>
        <v>0</v>
      </c>
      <c r="M44" s="1436"/>
      <c r="N44" s="1436">
        <f t="shared" si="24"/>
        <v>0</v>
      </c>
      <c r="O44" s="1037">
        <f t="shared" si="25"/>
        <v>0</v>
      </c>
      <c r="P44" s="984">
        <f t="shared" si="26"/>
        <v>3781.2008597549079</v>
      </c>
      <c r="Q44" s="1056">
        <f t="shared" si="27"/>
        <v>0</v>
      </c>
      <c r="R44" s="1512"/>
      <c r="S44" s="1056"/>
      <c r="T44" s="1512"/>
      <c r="U44" s="1417"/>
      <c r="V44" s="1417"/>
      <c r="W44" s="1056">
        <f t="shared" si="32"/>
        <v>0</v>
      </c>
      <c r="X44" s="1056"/>
      <c r="Y44" s="1056">
        <f t="shared" si="28"/>
        <v>0</v>
      </c>
      <c r="Z44" s="1056">
        <f t="shared" si="29"/>
        <v>0</v>
      </c>
      <c r="AA44" s="1064">
        <f t="shared" si="30"/>
        <v>0</v>
      </c>
      <c r="AB44" s="1064">
        <f t="shared" si="31"/>
        <v>0</v>
      </c>
    </row>
    <row r="45" spans="1:28">
      <c r="A45" s="975">
        <v>39</v>
      </c>
      <c r="B45" s="976" t="s">
        <v>140</v>
      </c>
      <c r="C45" s="983"/>
      <c r="D45" s="984">
        <f>'Table 3 Levels 1&amp;2'!$AP$77</f>
        <v>5041.6011463398772</v>
      </c>
      <c r="E45" s="1050">
        <f>'Table 3 Levels 1&amp;2'!V46</f>
        <v>0.52170000000000005</v>
      </c>
      <c r="F45" s="1050">
        <f>'Table 3 Levels 1&amp;2'!W46</f>
        <v>0.4783</v>
      </c>
      <c r="G45" s="984">
        <f t="shared" si="21"/>
        <v>2630.2033180455142</v>
      </c>
      <c r="H45" s="1037">
        <f t="shared" si="22"/>
        <v>0</v>
      </c>
      <c r="I45" s="1428"/>
      <c r="J45" s="1428"/>
      <c r="K45" s="1428"/>
      <c r="L45" s="1428">
        <f t="shared" si="23"/>
        <v>0</v>
      </c>
      <c r="M45" s="1436"/>
      <c r="N45" s="1436">
        <f t="shared" si="24"/>
        <v>0</v>
      </c>
      <c r="O45" s="1037">
        <f t="shared" si="25"/>
        <v>0</v>
      </c>
      <c r="P45" s="984">
        <f t="shared" si="26"/>
        <v>2411.3978282943631</v>
      </c>
      <c r="Q45" s="1056">
        <f t="shared" si="27"/>
        <v>0</v>
      </c>
      <c r="R45" s="1512"/>
      <c r="S45" s="1056"/>
      <c r="T45" s="1512"/>
      <c r="U45" s="1417"/>
      <c r="V45" s="1417"/>
      <c r="W45" s="1056">
        <f t="shared" si="32"/>
        <v>0</v>
      </c>
      <c r="X45" s="1056"/>
      <c r="Y45" s="1056">
        <f t="shared" si="28"/>
        <v>0</v>
      </c>
      <c r="Z45" s="1056">
        <f t="shared" si="29"/>
        <v>0</v>
      </c>
      <c r="AA45" s="1064">
        <f t="shared" si="30"/>
        <v>0</v>
      </c>
      <c r="AB45" s="1064">
        <f t="shared" si="31"/>
        <v>0</v>
      </c>
    </row>
    <row r="46" spans="1:28">
      <c r="A46" s="979">
        <v>40</v>
      </c>
      <c r="B46" s="980" t="s">
        <v>141</v>
      </c>
      <c r="C46" s="985"/>
      <c r="D46" s="986">
        <f>'Table 3 Levels 1&amp;2'!$AP$77</f>
        <v>5041.6011463398772</v>
      </c>
      <c r="E46" s="1051">
        <f>'Table 3 Levels 1&amp;2'!V47</f>
        <v>0.74029999999999996</v>
      </c>
      <c r="F46" s="1051">
        <f>'Table 3 Levels 1&amp;2'!W47</f>
        <v>0.25969999999999999</v>
      </c>
      <c r="G46" s="986">
        <f t="shared" si="21"/>
        <v>3732.2973286354108</v>
      </c>
      <c r="H46" s="1038">
        <f t="shared" si="22"/>
        <v>0</v>
      </c>
      <c r="I46" s="1429"/>
      <c r="J46" s="1429"/>
      <c r="K46" s="1429"/>
      <c r="L46" s="1429">
        <f t="shared" si="23"/>
        <v>0</v>
      </c>
      <c r="M46" s="1437"/>
      <c r="N46" s="1437">
        <f t="shared" si="24"/>
        <v>0</v>
      </c>
      <c r="O46" s="1038">
        <f t="shared" si="25"/>
        <v>0</v>
      </c>
      <c r="P46" s="986">
        <f t="shared" si="26"/>
        <v>1309.3038177044662</v>
      </c>
      <c r="Q46" s="1057">
        <f t="shared" si="27"/>
        <v>0</v>
      </c>
      <c r="R46" s="1513"/>
      <c r="S46" s="1057"/>
      <c r="T46" s="1513"/>
      <c r="U46" s="1418"/>
      <c r="V46" s="1418"/>
      <c r="W46" s="1057">
        <f t="shared" si="32"/>
        <v>0</v>
      </c>
      <c r="X46" s="1057"/>
      <c r="Y46" s="1057">
        <f t="shared" si="28"/>
        <v>0</v>
      </c>
      <c r="Z46" s="1057">
        <f t="shared" si="29"/>
        <v>0</v>
      </c>
      <c r="AA46" s="1065">
        <f t="shared" si="30"/>
        <v>0</v>
      </c>
      <c r="AB46" s="1065">
        <f t="shared" si="31"/>
        <v>0</v>
      </c>
    </row>
    <row r="47" spans="1:28">
      <c r="A47" s="968">
        <v>41</v>
      </c>
      <c r="B47" s="969" t="s">
        <v>142</v>
      </c>
      <c r="C47" s="987"/>
      <c r="D47" s="988">
        <f>'Table 3 Levels 1&amp;2'!$AP$77</f>
        <v>5041.6011463398772</v>
      </c>
      <c r="E47" s="1049">
        <f>'Table 3 Levels 1&amp;2'!V48</f>
        <v>0.25</v>
      </c>
      <c r="F47" s="1049">
        <f>'Table 3 Levels 1&amp;2'!W48</f>
        <v>0.75</v>
      </c>
      <c r="G47" s="988">
        <f t="shared" si="21"/>
        <v>1260.4002865849693</v>
      </c>
      <c r="H47" s="1039">
        <f t="shared" si="22"/>
        <v>0</v>
      </c>
      <c r="I47" s="1211"/>
      <c r="J47" s="1211"/>
      <c r="K47" s="1211"/>
      <c r="L47" s="1211">
        <f t="shared" si="23"/>
        <v>0</v>
      </c>
      <c r="M47" s="1211"/>
      <c r="N47" s="1211">
        <f t="shared" si="24"/>
        <v>0</v>
      </c>
      <c r="O47" s="1039">
        <f t="shared" si="25"/>
        <v>0</v>
      </c>
      <c r="P47" s="988">
        <f t="shared" si="26"/>
        <v>3781.2008597549079</v>
      </c>
      <c r="Q47" s="1058">
        <f t="shared" si="27"/>
        <v>0</v>
      </c>
      <c r="R47" s="1514"/>
      <c r="S47" s="1058"/>
      <c r="T47" s="1514"/>
      <c r="U47" s="1419"/>
      <c r="V47" s="1419"/>
      <c r="W47" s="1058">
        <f t="shared" si="32"/>
        <v>0</v>
      </c>
      <c r="X47" s="1058"/>
      <c r="Y47" s="1058">
        <f t="shared" si="28"/>
        <v>0</v>
      </c>
      <c r="Z47" s="1058">
        <f t="shared" si="29"/>
        <v>0</v>
      </c>
      <c r="AA47" s="1066">
        <f t="shared" si="30"/>
        <v>0</v>
      </c>
      <c r="AB47" s="1066">
        <f t="shared" si="31"/>
        <v>0</v>
      </c>
    </row>
    <row r="48" spans="1:28">
      <c r="A48" s="975">
        <v>42</v>
      </c>
      <c r="B48" s="976" t="s">
        <v>143</v>
      </c>
      <c r="C48" s="983"/>
      <c r="D48" s="984">
        <f>'Table 3 Levels 1&amp;2'!$AP$77</f>
        <v>5041.6011463398772</v>
      </c>
      <c r="E48" s="1050">
        <f>'Table 3 Levels 1&amp;2'!V49</f>
        <v>0.7399</v>
      </c>
      <c r="F48" s="1050">
        <f>'Table 3 Levels 1&amp;2'!W49</f>
        <v>0.2601</v>
      </c>
      <c r="G48" s="984">
        <f t="shared" si="21"/>
        <v>3730.2806881768752</v>
      </c>
      <c r="H48" s="1037">
        <f t="shared" si="22"/>
        <v>0</v>
      </c>
      <c r="I48" s="1428"/>
      <c r="J48" s="1428"/>
      <c r="K48" s="1428"/>
      <c r="L48" s="1428">
        <f t="shared" si="23"/>
        <v>0</v>
      </c>
      <c r="M48" s="1436"/>
      <c r="N48" s="1436">
        <f t="shared" si="24"/>
        <v>0</v>
      </c>
      <c r="O48" s="1037">
        <f t="shared" si="25"/>
        <v>0</v>
      </c>
      <c r="P48" s="984">
        <f t="shared" si="26"/>
        <v>1311.3204581630021</v>
      </c>
      <c r="Q48" s="1056">
        <f t="shared" si="27"/>
        <v>0</v>
      </c>
      <c r="R48" s="1512"/>
      <c r="S48" s="1056"/>
      <c r="T48" s="1512"/>
      <c r="U48" s="1417"/>
      <c r="V48" s="1417"/>
      <c r="W48" s="1056">
        <f t="shared" si="32"/>
        <v>0</v>
      </c>
      <c r="X48" s="1056"/>
      <c r="Y48" s="1056">
        <f t="shared" si="28"/>
        <v>0</v>
      </c>
      <c r="Z48" s="1056">
        <f t="shared" si="29"/>
        <v>0</v>
      </c>
      <c r="AA48" s="1064">
        <f t="shared" si="30"/>
        <v>0</v>
      </c>
      <c r="AB48" s="1064">
        <f t="shared" si="31"/>
        <v>0</v>
      </c>
    </row>
    <row r="49" spans="1:28">
      <c r="A49" s="975">
        <v>43</v>
      </c>
      <c r="B49" s="976" t="s">
        <v>144</v>
      </c>
      <c r="C49" s="983"/>
      <c r="D49" s="984">
        <f>'Table 3 Levels 1&amp;2'!$AP$77</f>
        <v>5041.6011463398772</v>
      </c>
      <c r="E49" s="1050">
        <f>'Table 3 Levels 1&amp;2'!V50</f>
        <v>0.75539999999999996</v>
      </c>
      <c r="F49" s="1050">
        <f>'Table 3 Levels 1&amp;2'!W50</f>
        <v>0.24460000000000001</v>
      </c>
      <c r="G49" s="984">
        <f t="shared" si="21"/>
        <v>3808.425505945143</v>
      </c>
      <c r="H49" s="1037">
        <f t="shared" si="22"/>
        <v>0</v>
      </c>
      <c r="I49" s="1428"/>
      <c r="J49" s="1428"/>
      <c r="K49" s="1428"/>
      <c r="L49" s="1428">
        <f t="shared" si="23"/>
        <v>0</v>
      </c>
      <c r="M49" s="1436"/>
      <c r="N49" s="1436">
        <f t="shared" si="24"/>
        <v>0</v>
      </c>
      <c r="O49" s="1037">
        <f t="shared" si="25"/>
        <v>0</v>
      </c>
      <c r="P49" s="984">
        <f t="shared" si="26"/>
        <v>1233.175640394734</v>
      </c>
      <c r="Q49" s="1056">
        <f t="shared" si="27"/>
        <v>0</v>
      </c>
      <c r="R49" s="1512"/>
      <c r="S49" s="1056"/>
      <c r="T49" s="1512"/>
      <c r="U49" s="1417"/>
      <c r="V49" s="1417"/>
      <c r="W49" s="1056">
        <f t="shared" si="32"/>
        <v>0</v>
      </c>
      <c r="X49" s="1056"/>
      <c r="Y49" s="1056">
        <f t="shared" si="28"/>
        <v>0</v>
      </c>
      <c r="Z49" s="1056">
        <f t="shared" si="29"/>
        <v>0</v>
      </c>
      <c r="AA49" s="1064">
        <f t="shared" si="30"/>
        <v>0</v>
      </c>
      <c r="AB49" s="1064">
        <f t="shared" si="31"/>
        <v>0</v>
      </c>
    </row>
    <row r="50" spans="1:28">
      <c r="A50" s="975">
        <v>44</v>
      </c>
      <c r="B50" s="976" t="s">
        <v>145</v>
      </c>
      <c r="C50" s="983"/>
      <c r="D50" s="984">
        <f>'Table 3 Levels 1&amp;2'!$AP$77</f>
        <v>5041.6011463398772</v>
      </c>
      <c r="E50" s="1050">
        <f>'Table 3 Levels 1&amp;2'!V51</f>
        <v>0.6169</v>
      </c>
      <c r="F50" s="1050">
        <f>'Table 3 Levels 1&amp;2'!W51</f>
        <v>0.3831</v>
      </c>
      <c r="G50" s="984">
        <f t="shared" si="21"/>
        <v>3110.1637471770705</v>
      </c>
      <c r="H50" s="1037">
        <f t="shared" si="22"/>
        <v>0</v>
      </c>
      <c r="I50" s="1428"/>
      <c r="J50" s="1428"/>
      <c r="K50" s="1428"/>
      <c r="L50" s="1428">
        <f t="shared" si="23"/>
        <v>0</v>
      </c>
      <c r="M50" s="1436"/>
      <c r="N50" s="1436">
        <f t="shared" si="24"/>
        <v>0</v>
      </c>
      <c r="O50" s="1037">
        <f t="shared" si="25"/>
        <v>0</v>
      </c>
      <c r="P50" s="984">
        <f t="shared" si="26"/>
        <v>1931.437399162807</v>
      </c>
      <c r="Q50" s="1056">
        <f t="shared" si="27"/>
        <v>0</v>
      </c>
      <c r="R50" s="1512"/>
      <c r="S50" s="1056"/>
      <c r="T50" s="1512"/>
      <c r="U50" s="1417"/>
      <c r="V50" s="1417"/>
      <c r="W50" s="1056">
        <f t="shared" si="32"/>
        <v>0</v>
      </c>
      <c r="X50" s="1056"/>
      <c r="Y50" s="1056">
        <f t="shared" si="28"/>
        <v>0</v>
      </c>
      <c r="Z50" s="1056">
        <f t="shared" si="29"/>
        <v>0</v>
      </c>
      <c r="AA50" s="1064">
        <f t="shared" si="30"/>
        <v>0</v>
      </c>
      <c r="AB50" s="1064">
        <f t="shared" si="31"/>
        <v>0</v>
      </c>
    </row>
    <row r="51" spans="1:28">
      <c r="A51" s="979">
        <v>45</v>
      </c>
      <c r="B51" s="980" t="s">
        <v>146</v>
      </c>
      <c r="C51" s="985"/>
      <c r="D51" s="986">
        <f>'Table 3 Levels 1&amp;2'!$AP$77</f>
        <v>5041.6011463398772</v>
      </c>
      <c r="E51" s="1051">
        <f>'Table 3 Levels 1&amp;2'!V52</f>
        <v>0.35420000000000001</v>
      </c>
      <c r="F51" s="1051">
        <f>'Table 3 Levels 1&amp;2'!W52</f>
        <v>0.64580000000000004</v>
      </c>
      <c r="G51" s="986">
        <f t="shared" si="21"/>
        <v>1785.7351260335845</v>
      </c>
      <c r="H51" s="1038">
        <f t="shared" si="22"/>
        <v>0</v>
      </c>
      <c r="I51" s="1429"/>
      <c r="J51" s="1429"/>
      <c r="K51" s="1429"/>
      <c r="L51" s="1429">
        <f t="shared" si="23"/>
        <v>0</v>
      </c>
      <c r="M51" s="1437"/>
      <c r="N51" s="1437">
        <f t="shared" si="24"/>
        <v>0</v>
      </c>
      <c r="O51" s="1038">
        <f t="shared" si="25"/>
        <v>0</v>
      </c>
      <c r="P51" s="986">
        <f t="shared" si="26"/>
        <v>3255.8660203062927</v>
      </c>
      <c r="Q51" s="1057">
        <f t="shared" si="27"/>
        <v>0</v>
      </c>
      <c r="R51" s="1513"/>
      <c r="S51" s="1057"/>
      <c r="T51" s="1513"/>
      <c r="U51" s="1418"/>
      <c r="V51" s="1418"/>
      <c r="W51" s="1057">
        <f t="shared" si="32"/>
        <v>0</v>
      </c>
      <c r="X51" s="1057"/>
      <c r="Y51" s="1057">
        <f t="shared" si="28"/>
        <v>0</v>
      </c>
      <c r="Z51" s="1057">
        <f t="shared" si="29"/>
        <v>0</v>
      </c>
      <c r="AA51" s="1065">
        <f t="shared" si="30"/>
        <v>0</v>
      </c>
      <c r="AB51" s="1065">
        <f t="shared" si="31"/>
        <v>0</v>
      </c>
    </row>
    <row r="52" spans="1:28">
      <c r="A52" s="968">
        <v>46</v>
      </c>
      <c r="B52" s="969" t="s">
        <v>147</v>
      </c>
      <c r="C52" s="987"/>
      <c r="D52" s="988">
        <f>'Table 3 Levels 1&amp;2'!$AP$77</f>
        <v>5041.6011463398772</v>
      </c>
      <c r="E52" s="1049">
        <f>'Table 3 Levels 1&amp;2'!V53</f>
        <v>0.82040000000000002</v>
      </c>
      <c r="F52" s="1049">
        <f>'Table 3 Levels 1&amp;2'!W53</f>
        <v>0.17960000000000001</v>
      </c>
      <c r="G52" s="988">
        <f t="shared" si="21"/>
        <v>4136.1295804572355</v>
      </c>
      <c r="H52" s="1039">
        <f t="shared" si="22"/>
        <v>0</v>
      </c>
      <c r="I52" s="1211"/>
      <c r="J52" s="1211"/>
      <c r="K52" s="1211"/>
      <c r="L52" s="1211">
        <f t="shared" si="23"/>
        <v>0</v>
      </c>
      <c r="M52" s="1211"/>
      <c r="N52" s="1211">
        <f t="shared" si="24"/>
        <v>0</v>
      </c>
      <c r="O52" s="1039">
        <f t="shared" si="25"/>
        <v>0</v>
      </c>
      <c r="P52" s="988">
        <f t="shared" si="26"/>
        <v>905.47156588264204</v>
      </c>
      <c r="Q52" s="1058">
        <f t="shared" si="27"/>
        <v>0</v>
      </c>
      <c r="R52" s="1514"/>
      <c r="S52" s="1058"/>
      <c r="T52" s="1514"/>
      <c r="U52" s="1419"/>
      <c r="V52" s="1419"/>
      <c r="W52" s="1058">
        <f t="shared" si="32"/>
        <v>0</v>
      </c>
      <c r="X52" s="1058"/>
      <c r="Y52" s="1058">
        <f t="shared" si="28"/>
        <v>0</v>
      </c>
      <c r="Z52" s="1058">
        <f t="shared" si="29"/>
        <v>0</v>
      </c>
      <c r="AA52" s="1066">
        <f t="shared" si="30"/>
        <v>0</v>
      </c>
      <c r="AB52" s="1066">
        <f t="shared" si="31"/>
        <v>0</v>
      </c>
    </row>
    <row r="53" spans="1:28">
      <c r="A53" s="975">
        <v>47</v>
      </c>
      <c r="B53" s="976" t="s">
        <v>148</v>
      </c>
      <c r="C53" s="983"/>
      <c r="D53" s="984">
        <f>'Table 3 Levels 1&amp;2'!$AP$77</f>
        <v>5041.6011463398772</v>
      </c>
      <c r="E53" s="1050">
        <f>'Table 3 Levels 1&amp;2'!V54</f>
        <v>0.45129999999999998</v>
      </c>
      <c r="F53" s="1050">
        <f>'Table 3 Levels 1&amp;2'!W54</f>
        <v>0.54869999999999997</v>
      </c>
      <c r="G53" s="984">
        <f t="shared" si="21"/>
        <v>2275.2745973431865</v>
      </c>
      <c r="H53" s="1037">
        <f t="shared" si="22"/>
        <v>0</v>
      </c>
      <c r="I53" s="1428"/>
      <c r="J53" s="1428"/>
      <c r="K53" s="1428"/>
      <c r="L53" s="1428">
        <f t="shared" si="23"/>
        <v>0</v>
      </c>
      <c r="M53" s="1436"/>
      <c r="N53" s="1436">
        <f t="shared" si="24"/>
        <v>0</v>
      </c>
      <c r="O53" s="1037">
        <f t="shared" si="25"/>
        <v>0</v>
      </c>
      <c r="P53" s="984">
        <f t="shared" si="26"/>
        <v>2766.3265489966907</v>
      </c>
      <c r="Q53" s="1056">
        <f t="shared" si="27"/>
        <v>0</v>
      </c>
      <c r="R53" s="1512"/>
      <c r="S53" s="1056"/>
      <c r="T53" s="1512"/>
      <c r="U53" s="1417"/>
      <c r="V53" s="1417"/>
      <c r="W53" s="1056">
        <f t="shared" si="32"/>
        <v>0</v>
      </c>
      <c r="X53" s="1056"/>
      <c r="Y53" s="1056">
        <f t="shared" si="28"/>
        <v>0</v>
      </c>
      <c r="Z53" s="1056">
        <f t="shared" si="29"/>
        <v>0</v>
      </c>
      <c r="AA53" s="1064">
        <f t="shared" si="30"/>
        <v>0</v>
      </c>
      <c r="AB53" s="1064">
        <f t="shared" si="31"/>
        <v>0</v>
      </c>
    </row>
    <row r="54" spans="1:28">
      <c r="A54" s="975">
        <v>48</v>
      </c>
      <c r="B54" s="976" t="s">
        <v>217</v>
      </c>
      <c r="C54" s="983"/>
      <c r="D54" s="984">
        <f>'Table 3 Levels 1&amp;2'!$AP$77</f>
        <v>5041.6011463398772</v>
      </c>
      <c r="E54" s="1050">
        <f>'Table 3 Levels 1&amp;2'!V55</f>
        <v>0.62060000000000004</v>
      </c>
      <c r="F54" s="1050">
        <f>'Table 3 Levels 1&amp;2'!W55</f>
        <v>0.37940000000000002</v>
      </c>
      <c r="G54" s="984">
        <f t="shared" si="21"/>
        <v>3128.8176714185279</v>
      </c>
      <c r="H54" s="1037">
        <f t="shared" si="22"/>
        <v>0</v>
      </c>
      <c r="I54" s="1428"/>
      <c r="J54" s="1428"/>
      <c r="K54" s="1428"/>
      <c r="L54" s="1428">
        <f t="shared" si="23"/>
        <v>0</v>
      </c>
      <c r="M54" s="1436"/>
      <c r="N54" s="1436">
        <f t="shared" si="24"/>
        <v>0</v>
      </c>
      <c r="O54" s="1037">
        <f t="shared" si="25"/>
        <v>0</v>
      </c>
      <c r="P54" s="984">
        <f t="shared" si="26"/>
        <v>1912.7834749213496</v>
      </c>
      <c r="Q54" s="1056">
        <f t="shared" si="27"/>
        <v>0</v>
      </c>
      <c r="R54" s="1512"/>
      <c r="S54" s="1056"/>
      <c r="T54" s="1512"/>
      <c r="U54" s="1417"/>
      <c r="V54" s="1417"/>
      <c r="W54" s="1056">
        <f t="shared" si="32"/>
        <v>0</v>
      </c>
      <c r="X54" s="1056"/>
      <c r="Y54" s="1056">
        <f t="shared" si="28"/>
        <v>0</v>
      </c>
      <c r="Z54" s="1056">
        <f t="shared" si="29"/>
        <v>0</v>
      </c>
      <c r="AA54" s="1064">
        <f t="shared" si="30"/>
        <v>0</v>
      </c>
      <c r="AB54" s="1064">
        <f t="shared" si="31"/>
        <v>0</v>
      </c>
    </row>
    <row r="55" spans="1:28">
      <c r="A55" s="975">
        <v>49</v>
      </c>
      <c r="B55" s="976" t="s">
        <v>149</v>
      </c>
      <c r="C55" s="983"/>
      <c r="D55" s="984">
        <f>'Table 3 Levels 1&amp;2'!$AP$77</f>
        <v>5041.6011463398772</v>
      </c>
      <c r="E55" s="1050">
        <f>'Table 3 Levels 1&amp;2'!V56</f>
        <v>0.76190000000000002</v>
      </c>
      <c r="F55" s="1050">
        <f>'Table 3 Levels 1&amp;2'!W56</f>
        <v>0.23810000000000001</v>
      </c>
      <c r="G55" s="984">
        <f t="shared" si="21"/>
        <v>3841.1959133963524</v>
      </c>
      <c r="H55" s="1037">
        <f t="shared" si="22"/>
        <v>0</v>
      </c>
      <c r="I55" s="1428"/>
      <c r="J55" s="1428"/>
      <c r="K55" s="1428"/>
      <c r="L55" s="1428">
        <f t="shared" si="23"/>
        <v>0</v>
      </c>
      <c r="M55" s="1436"/>
      <c r="N55" s="1436">
        <f t="shared" si="24"/>
        <v>0</v>
      </c>
      <c r="O55" s="1037">
        <f t="shared" si="25"/>
        <v>0</v>
      </c>
      <c r="P55" s="984">
        <f t="shared" si="26"/>
        <v>1200.4052329435249</v>
      </c>
      <c r="Q55" s="1056">
        <f t="shared" si="27"/>
        <v>0</v>
      </c>
      <c r="R55" s="1512"/>
      <c r="S55" s="1056"/>
      <c r="T55" s="1512"/>
      <c r="U55" s="1417"/>
      <c r="V55" s="1417"/>
      <c r="W55" s="1056">
        <f t="shared" si="32"/>
        <v>0</v>
      </c>
      <c r="X55" s="1056"/>
      <c r="Y55" s="1056">
        <f t="shared" si="28"/>
        <v>0</v>
      </c>
      <c r="Z55" s="1056">
        <f t="shared" si="29"/>
        <v>0</v>
      </c>
      <c r="AA55" s="1064">
        <f t="shared" si="30"/>
        <v>0</v>
      </c>
      <c r="AB55" s="1064">
        <f t="shared" si="31"/>
        <v>0</v>
      </c>
    </row>
    <row r="56" spans="1:28">
      <c r="A56" s="979">
        <v>50</v>
      </c>
      <c r="B56" s="980" t="s">
        <v>150</v>
      </c>
      <c r="C56" s="985"/>
      <c r="D56" s="986">
        <f>'Table 3 Levels 1&amp;2'!$AP$77</f>
        <v>5041.6011463398772</v>
      </c>
      <c r="E56" s="1051">
        <f>'Table 3 Levels 1&amp;2'!V57</f>
        <v>0.7681</v>
      </c>
      <c r="F56" s="1051">
        <f>'Table 3 Levels 1&amp;2'!W57</f>
        <v>0.2319</v>
      </c>
      <c r="G56" s="986">
        <f t="shared" si="21"/>
        <v>3872.4538405036596</v>
      </c>
      <c r="H56" s="1038">
        <f t="shared" si="22"/>
        <v>0</v>
      </c>
      <c r="I56" s="1429"/>
      <c r="J56" s="1429"/>
      <c r="K56" s="1429"/>
      <c r="L56" s="1429">
        <f t="shared" si="23"/>
        <v>0</v>
      </c>
      <c r="M56" s="1437"/>
      <c r="N56" s="1437">
        <f t="shared" si="24"/>
        <v>0</v>
      </c>
      <c r="O56" s="1038">
        <f t="shared" si="25"/>
        <v>0</v>
      </c>
      <c r="P56" s="986">
        <f t="shared" si="26"/>
        <v>1169.1473058362176</v>
      </c>
      <c r="Q56" s="1057">
        <f t="shared" si="27"/>
        <v>0</v>
      </c>
      <c r="R56" s="1513"/>
      <c r="S56" s="1057"/>
      <c r="T56" s="1513"/>
      <c r="U56" s="1418"/>
      <c r="V56" s="1418"/>
      <c r="W56" s="1057">
        <f t="shared" si="32"/>
        <v>0</v>
      </c>
      <c r="X56" s="1057"/>
      <c r="Y56" s="1057">
        <f t="shared" si="28"/>
        <v>0</v>
      </c>
      <c r="Z56" s="1057">
        <f t="shared" si="29"/>
        <v>0</v>
      </c>
      <c r="AA56" s="1065">
        <f t="shared" si="30"/>
        <v>0</v>
      </c>
      <c r="AB56" s="1065">
        <f t="shared" si="31"/>
        <v>0</v>
      </c>
    </row>
    <row r="57" spans="1:28">
      <c r="A57" s="968">
        <v>51</v>
      </c>
      <c r="B57" s="969" t="s">
        <v>151</v>
      </c>
      <c r="C57" s="987"/>
      <c r="D57" s="988">
        <f>'Table 3 Levels 1&amp;2'!$AP$77</f>
        <v>5041.6011463398772</v>
      </c>
      <c r="E57" s="1049">
        <f>'Table 3 Levels 1&amp;2'!V58</f>
        <v>0.62929999999999997</v>
      </c>
      <c r="F57" s="1049">
        <f>'Table 3 Levels 1&amp;2'!W58</f>
        <v>0.37069999999999997</v>
      </c>
      <c r="G57" s="988">
        <f t="shared" si="21"/>
        <v>3172.6796013916846</v>
      </c>
      <c r="H57" s="1039">
        <f t="shared" si="22"/>
        <v>0</v>
      </c>
      <c r="I57" s="1211"/>
      <c r="J57" s="1211"/>
      <c r="K57" s="1211"/>
      <c r="L57" s="1211">
        <f t="shared" si="23"/>
        <v>0</v>
      </c>
      <c r="M57" s="1211"/>
      <c r="N57" s="1211">
        <f t="shared" si="24"/>
        <v>0</v>
      </c>
      <c r="O57" s="1039">
        <f t="shared" si="25"/>
        <v>0</v>
      </c>
      <c r="P57" s="988">
        <f t="shared" si="26"/>
        <v>1868.9215449481924</v>
      </c>
      <c r="Q57" s="1058">
        <f t="shared" si="27"/>
        <v>0</v>
      </c>
      <c r="R57" s="1514"/>
      <c r="S57" s="1058"/>
      <c r="T57" s="1514"/>
      <c r="U57" s="1419"/>
      <c r="V57" s="1419"/>
      <c r="W57" s="1058">
        <f t="shared" si="32"/>
        <v>0</v>
      </c>
      <c r="X57" s="1058"/>
      <c r="Y57" s="1058">
        <f t="shared" si="28"/>
        <v>0</v>
      </c>
      <c r="Z57" s="1058">
        <f t="shared" si="29"/>
        <v>0</v>
      </c>
      <c r="AA57" s="1066">
        <f t="shared" si="30"/>
        <v>0</v>
      </c>
      <c r="AB57" s="1066">
        <f t="shared" si="31"/>
        <v>0</v>
      </c>
    </row>
    <row r="58" spans="1:28">
      <c r="A58" s="975">
        <v>52</v>
      </c>
      <c r="B58" s="976" t="s">
        <v>152</v>
      </c>
      <c r="C58" s="983"/>
      <c r="D58" s="984">
        <f>'Table 3 Levels 1&amp;2'!$AP$77</f>
        <v>5041.6011463398772</v>
      </c>
      <c r="E58" s="1050">
        <f>'Table 3 Levels 1&amp;2'!V59</f>
        <v>0.69930000000000003</v>
      </c>
      <c r="F58" s="1050">
        <f>'Table 3 Levels 1&amp;2'!W59</f>
        <v>0.30070000000000002</v>
      </c>
      <c r="G58" s="984">
        <f t="shared" si="21"/>
        <v>3525.5916816354761</v>
      </c>
      <c r="H58" s="1037">
        <f t="shared" si="22"/>
        <v>0</v>
      </c>
      <c r="I58" s="1428"/>
      <c r="J58" s="1428"/>
      <c r="K58" s="1428"/>
      <c r="L58" s="1428">
        <f t="shared" si="23"/>
        <v>0</v>
      </c>
      <c r="M58" s="1436"/>
      <c r="N58" s="1436">
        <f t="shared" si="24"/>
        <v>0</v>
      </c>
      <c r="O58" s="1037">
        <f t="shared" si="25"/>
        <v>0</v>
      </c>
      <c r="P58" s="984">
        <f t="shared" si="26"/>
        <v>1516.0094647044011</v>
      </c>
      <c r="Q58" s="1056">
        <f t="shared" si="27"/>
        <v>0</v>
      </c>
      <c r="R58" s="1512"/>
      <c r="S58" s="1056"/>
      <c r="T58" s="1512"/>
      <c r="U58" s="1417"/>
      <c r="V58" s="1417"/>
      <c r="W58" s="1056">
        <f t="shared" si="32"/>
        <v>0</v>
      </c>
      <c r="X58" s="1056"/>
      <c r="Y58" s="1056">
        <f t="shared" si="28"/>
        <v>0</v>
      </c>
      <c r="Z58" s="1056">
        <f t="shared" si="29"/>
        <v>0</v>
      </c>
      <c r="AA58" s="1064">
        <f t="shared" si="30"/>
        <v>0</v>
      </c>
      <c r="AB58" s="1064">
        <f t="shared" si="31"/>
        <v>0</v>
      </c>
    </row>
    <row r="59" spans="1:28">
      <c r="A59" s="975">
        <v>53</v>
      </c>
      <c r="B59" s="976" t="s">
        <v>153</v>
      </c>
      <c r="C59" s="983"/>
      <c r="D59" s="984">
        <f>'Table 3 Levels 1&amp;2'!$AP$77</f>
        <v>5041.6011463398772</v>
      </c>
      <c r="E59" s="1050">
        <f>'Table 3 Levels 1&amp;2'!V60</f>
        <v>0.78339999999999999</v>
      </c>
      <c r="F59" s="1050">
        <f>'Table 3 Levels 1&amp;2'!W60</f>
        <v>0.21659999999999999</v>
      </c>
      <c r="G59" s="984">
        <f t="shared" si="21"/>
        <v>3949.5903380426598</v>
      </c>
      <c r="H59" s="1037">
        <f t="shared" si="22"/>
        <v>0</v>
      </c>
      <c r="I59" s="1428"/>
      <c r="J59" s="1428"/>
      <c r="K59" s="1428"/>
      <c r="L59" s="1428">
        <f t="shared" si="23"/>
        <v>0</v>
      </c>
      <c r="M59" s="1436"/>
      <c r="N59" s="1436">
        <f t="shared" si="24"/>
        <v>0</v>
      </c>
      <c r="O59" s="1037">
        <f t="shared" si="25"/>
        <v>0</v>
      </c>
      <c r="P59" s="984">
        <f t="shared" si="26"/>
        <v>1092.0108082972174</v>
      </c>
      <c r="Q59" s="1056">
        <f t="shared" si="27"/>
        <v>0</v>
      </c>
      <c r="R59" s="1512"/>
      <c r="S59" s="1056"/>
      <c r="T59" s="1512"/>
      <c r="U59" s="1417"/>
      <c r="V59" s="1417"/>
      <c r="W59" s="1056">
        <f t="shared" si="32"/>
        <v>0</v>
      </c>
      <c r="X59" s="1056"/>
      <c r="Y59" s="1056">
        <f t="shared" si="28"/>
        <v>0</v>
      </c>
      <c r="Z59" s="1056">
        <f t="shared" si="29"/>
        <v>0</v>
      </c>
      <c r="AA59" s="1064">
        <f t="shared" si="30"/>
        <v>0</v>
      </c>
      <c r="AB59" s="1064">
        <f t="shared" si="31"/>
        <v>0</v>
      </c>
    </row>
    <row r="60" spans="1:28">
      <c r="A60" s="975">
        <v>54</v>
      </c>
      <c r="B60" s="976" t="s">
        <v>154</v>
      </c>
      <c r="C60" s="983"/>
      <c r="D60" s="984">
        <f>'Table 3 Levels 1&amp;2'!$AP$77</f>
        <v>5041.6011463398772</v>
      </c>
      <c r="E60" s="1050">
        <f>'Table 3 Levels 1&amp;2'!V61</f>
        <v>0.76129999999999998</v>
      </c>
      <c r="F60" s="1050">
        <f>'Table 3 Levels 1&amp;2'!W61</f>
        <v>0.2387</v>
      </c>
      <c r="G60" s="984">
        <f t="shared" si="21"/>
        <v>3838.1709527085486</v>
      </c>
      <c r="H60" s="1037">
        <f t="shared" si="22"/>
        <v>0</v>
      </c>
      <c r="I60" s="1428"/>
      <c r="J60" s="1428"/>
      <c r="K60" s="1428"/>
      <c r="L60" s="1428">
        <f t="shared" si="23"/>
        <v>0</v>
      </c>
      <c r="M60" s="1436"/>
      <c r="N60" s="1436">
        <f t="shared" si="24"/>
        <v>0</v>
      </c>
      <c r="O60" s="1037">
        <f t="shared" si="25"/>
        <v>0</v>
      </c>
      <c r="P60" s="984">
        <f t="shared" si="26"/>
        <v>1203.4301936313286</v>
      </c>
      <c r="Q60" s="1056">
        <f t="shared" si="27"/>
        <v>0</v>
      </c>
      <c r="R60" s="1512"/>
      <c r="S60" s="1056"/>
      <c r="T60" s="1512"/>
      <c r="U60" s="1417"/>
      <c r="V60" s="1417"/>
      <c r="W60" s="1056">
        <f t="shared" si="32"/>
        <v>0</v>
      </c>
      <c r="X60" s="1056"/>
      <c r="Y60" s="1056">
        <f t="shared" si="28"/>
        <v>0</v>
      </c>
      <c r="Z60" s="1056">
        <f t="shared" si="29"/>
        <v>0</v>
      </c>
      <c r="AA60" s="1064">
        <f t="shared" si="30"/>
        <v>0</v>
      </c>
      <c r="AB60" s="1064">
        <f t="shared" si="31"/>
        <v>0</v>
      </c>
    </row>
    <row r="61" spans="1:28">
      <c r="A61" s="979">
        <v>55</v>
      </c>
      <c r="B61" s="980" t="s">
        <v>155</v>
      </c>
      <c r="C61" s="985"/>
      <c r="D61" s="986">
        <f>'Table 3 Levels 1&amp;2'!$AP$77</f>
        <v>5041.6011463398772</v>
      </c>
      <c r="E61" s="1051">
        <f>'Table 3 Levels 1&amp;2'!V62</f>
        <v>0.65500000000000003</v>
      </c>
      <c r="F61" s="1051">
        <f>'Table 3 Levels 1&amp;2'!W62</f>
        <v>0.34499999999999997</v>
      </c>
      <c r="G61" s="986">
        <f t="shared" si="21"/>
        <v>3302.2487508526197</v>
      </c>
      <c r="H61" s="1038">
        <f t="shared" si="22"/>
        <v>0</v>
      </c>
      <c r="I61" s="1429"/>
      <c r="J61" s="1429"/>
      <c r="K61" s="1429"/>
      <c r="L61" s="1429">
        <f t="shared" si="23"/>
        <v>0</v>
      </c>
      <c r="M61" s="1437"/>
      <c r="N61" s="1437">
        <f t="shared" si="24"/>
        <v>0</v>
      </c>
      <c r="O61" s="1038">
        <f t="shared" si="25"/>
        <v>0</v>
      </c>
      <c r="P61" s="986">
        <f t="shared" si="26"/>
        <v>1739.3523954872576</v>
      </c>
      <c r="Q61" s="1057">
        <f t="shared" si="27"/>
        <v>0</v>
      </c>
      <c r="R61" s="1513"/>
      <c r="S61" s="1057"/>
      <c r="T61" s="1513"/>
      <c r="U61" s="1418"/>
      <c r="V61" s="1418"/>
      <c r="W61" s="1057">
        <f t="shared" si="32"/>
        <v>0</v>
      </c>
      <c r="X61" s="1057"/>
      <c r="Y61" s="1057">
        <f t="shared" si="28"/>
        <v>0</v>
      </c>
      <c r="Z61" s="1057">
        <f t="shared" si="29"/>
        <v>0</v>
      </c>
      <c r="AA61" s="1065">
        <f t="shared" si="30"/>
        <v>0</v>
      </c>
      <c r="AB61" s="1065">
        <f t="shared" si="31"/>
        <v>0</v>
      </c>
    </row>
    <row r="62" spans="1:28">
      <c r="A62" s="968">
        <v>56</v>
      </c>
      <c r="B62" s="969" t="s">
        <v>156</v>
      </c>
      <c r="C62" s="987"/>
      <c r="D62" s="988">
        <f>'Table 3 Levels 1&amp;2'!$AP$77</f>
        <v>5041.6011463398772</v>
      </c>
      <c r="E62" s="1049">
        <f>'Table 3 Levels 1&amp;2'!V63</f>
        <v>0.71930000000000005</v>
      </c>
      <c r="F62" s="1049">
        <f>'Table 3 Levels 1&amp;2'!W63</f>
        <v>0.28070000000000001</v>
      </c>
      <c r="G62" s="988">
        <f t="shared" si="21"/>
        <v>3626.423704562274</v>
      </c>
      <c r="H62" s="1039">
        <f t="shared" si="22"/>
        <v>0</v>
      </c>
      <c r="I62" s="1211"/>
      <c r="J62" s="1211"/>
      <c r="K62" s="1211"/>
      <c r="L62" s="1211">
        <f t="shared" si="23"/>
        <v>0</v>
      </c>
      <c r="M62" s="1211"/>
      <c r="N62" s="1211">
        <f t="shared" si="24"/>
        <v>0</v>
      </c>
      <c r="O62" s="1039">
        <f t="shared" si="25"/>
        <v>0</v>
      </c>
      <c r="P62" s="988">
        <f t="shared" si="26"/>
        <v>1415.1774417776035</v>
      </c>
      <c r="Q62" s="1058">
        <f t="shared" si="27"/>
        <v>0</v>
      </c>
      <c r="R62" s="1514"/>
      <c r="S62" s="1058"/>
      <c r="T62" s="1514"/>
      <c r="U62" s="1419"/>
      <c r="V62" s="1419"/>
      <c r="W62" s="1058">
        <f t="shared" si="32"/>
        <v>0</v>
      </c>
      <c r="X62" s="1058"/>
      <c r="Y62" s="1058">
        <f t="shared" si="28"/>
        <v>0</v>
      </c>
      <c r="Z62" s="1058">
        <f t="shared" si="29"/>
        <v>0</v>
      </c>
      <c r="AA62" s="1066">
        <f t="shared" si="30"/>
        <v>0</v>
      </c>
      <c r="AB62" s="1066">
        <f t="shared" si="31"/>
        <v>0</v>
      </c>
    </row>
    <row r="63" spans="1:28">
      <c r="A63" s="975">
        <v>57</v>
      </c>
      <c r="B63" s="976" t="s">
        <v>157</v>
      </c>
      <c r="C63" s="983"/>
      <c r="D63" s="984">
        <f>'Table 3 Levels 1&amp;2'!$AP$77</f>
        <v>5041.6011463398772</v>
      </c>
      <c r="E63" s="1050">
        <f>'Table 3 Levels 1&amp;2'!V64</f>
        <v>0.7</v>
      </c>
      <c r="F63" s="1050">
        <f>'Table 3 Levels 1&amp;2'!W64</f>
        <v>0.3</v>
      </c>
      <c r="G63" s="984">
        <f t="shared" si="21"/>
        <v>3529.1208024379139</v>
      </c>
      <c r="H63" s="1037">
        <f t="shared" si="22"/>
        <v>0</v>
      </c>
      <c r="I63" s="1428"/>
      <c r="J63" s="1428"/>
      <c r="K63" s="1428"/>
      <c r="L63" s="1428">
        <f t="shared" si="23"/>
        <v>0</v>
      </c>
      <c r="M63" s="1436"/>
      <c r="N63" s="1436">
        <f t="shared" si="24"/>
        <v>0</v>
      </c>
      <c r="O63" s="1037">
        <f t="shared" si="25"/>
        <v>0</v>
      </c>
      <c r="P63" s="984">
        <f t="shared" si="26"/>
        <v>1512.4803439019631</v>
      </c>
      <c r="Q63" s="1056">
        <f t="shared" si="27"/>
        <v>0</v>
      </c>
      <c r="R63" s="1512"/>
      <c r="S63" s="1056"/>
      <c r="T63" s="1512"/>
      <c r="U63" s="1417"/>
      <c r="V63" s="1417"/>
      <c r="W63" s="1056">
        <f t="shared" si="32"/>
        <v>0</v>
      </c>
      <c r="X63" s="1056"/>
      <c r="Y63" s="1056">
        <f t="shared" si="28"/>
        <v>0</v>
      </c>
      <c r="Z63" s="1056">
        <f t="shared" si="29"/>
        <v>0</v>
      </c>
      <c r="AA63" s="1064">
        <f t="shared" si="30"/>
        <v>0</v>
      </c>
      <c r="AB63" s="1064">
        <f t="shared" si="31"/>
        <v>0</v>
      </c>
    </row>
    <row r="64" spans="1:28">
      <c r="A64" s="975">
        <v>58</v>
      </c>
      <c r="B64" s="976" t="s">
        <v>158</v>
      </c>
      <c r="C64" s="983"/>
      <c r="D64" s="984">
        <f>'Table 3 Levels 1&amp;2'!$AP$77</f>
        <v>5041.6011463398772</v>
      </c>
      <c r="E64" s="1050">
        <f>'Table 3 Levels 1&amp;2'!V65</f>
        <v>0.85529999999999995</v>
      </c>
      <c r="F64" s="1050">
        <f>'Table 3 Levels 1&amp;2'!W65</f>
        <v>0.1447</v>
      </c>
      <c r="G64" s="984">
        <f t="shared" si="21"/>
        <v>4312.0814604644966</v>
      </c>
      <c r="H64" s="1037">
        <f t="shared" si="22"/>
        <v>0</v>
      </c>
      <c r="I64" s="1428"/>
      <c r="J64" s="1428"/>
      <c r="K64" s="1428"/>
      <c r="L64" s="1428">
        <f t="shared" si="23"/>
        <v>0</v>
      </c>
      <c r="M64" s="1436"/>
      <c r="N64" s="1436">
        <f t="shared" si="24"/>
        <v>0</v>
      </c>
      <c r="O64" s="1037">
        <f t="shared" si="25"/>
        <v>0</v>
      </c>
      <c r="P64" s="984">
        <f t="shared" si="26"/>
        <v>729.51968587538022</v>
      </c>
      <c r="Q64" s="1056">
        <f t="shared" si="27"/>
        <v>0</v>
      </c>
      <c r="R64" s="1512"/>
      <c r="S64" s="1056"/>
      <c r="T64" s="1512"/>
      <c r="U64" s="1417"/>
      <c r="V64" s="1417"/>
      <c r="W64" s="1056">
        <f t="shared" si="32"/>
        <v>0</v>
      </c>
      <c r="X64" s="1056"/>
      <c r="Y64" s="1056">
        <f t="shared" si="28"/>
        <v>0</v>
      </c>
      <c r="Z64" s="1056">
        <f t="shared" si="29"/>
        <v>0</v>
      </c>
      <c r="AA64" s="1064">
        <f t="shared" si="30"/>
        <v>0</v>
      </c>
      <c r="AB64" s="1064">
        <f t="shared" si="31"/>
        <v>0</v>
      </c>
    </row>
    <row r="65" spans="1:28">
      <c r="A65" s="975">
        <v>59</v>
      </c>
      <c r="B65" s="976" t="s">
        <v>159</v>
      </c>
      <c r="C65" s="983"/>
      <c r="D65" s="984">
        <f>'Table 3 Levels 1&amp;2'!$AP$77</f>
        <v>5041.6011463398772</v>
      </c>
      <c r="E65" s="1050">
        <f>'Table 3 Levels 1&amp;2'!V66</f>
        <v>0.89449999999999996</v>
      </c>
      <c r="F65" s="1050">
        <f>'Table 3 Levels 1&amp;2'!W66</f>
        <v>0.1055</v>
      </c>
      <c r="G65" s="984">
        <f t="shared" si="21"/>
        <v>4509.7122254010201</v>
      </c>
      <c r="H65" s="1037">
        <f t="shared" si="22"/>
        <v>0</v>
      </c>
      <c r="I65" s="1428"/>
      <c r="J65" s="1428"/>
      <c r="K65" s="1428"/>
      <c r="L65" s="1428">
        <f t="shared" si="23"/>
        <v>0</v>
      </c>
      <c r="M65" s="1436"/>
      <c r="N65" s="1436">
        <f t="shared" si="24"/>
        <v>0</v>
      </c>
      <c r="O65" s="1037">
        <f t="shared" si="25"/>
        <v>0</v>
      </c>
      <c r="P65" s="984">
        <f t="shared" si="26"/>
        <v>531.88892093885704</v>
      </c>
      <c r="Q65" s="1056">
        <f t="shared" si="27"/>
        <v>0</v>
      </c>
      <c r="R65" s="1512"/>
      <c r="S65" s="1056"/>
      <c r="T65" s="1512"/>
      <c r="U65" s="1417"/>
      <c r="V65" s="1417"/>
      <c r="W65" s="1056">
        <f t="shared" si="32"/>
        <v>0</v>
      </c>
      <c r="X65" s="1056"/>
      <c r="Y65" s="1056">
        <f t="shared" si="28"/>
        <v>0</v>
      </c>
      <c r="Z65" s="1056">
        <f t="shared" si="29"/>
        <v>0</v>
      </c>
      <c r="AA65" s="1064">
        <f t="shared" si="30"/>
        <v>0</v>
      </c>
      <c r="AB65" s="1064">
        <f t="shared" si="31"/>
        <v>0</v>
      </c>
    </row>
    <row r="66" spans="1:28">
      <c r="A66" s="979">
        <v>60</v>
      </c>
      <c r="B66" s="980" t="s">
        <v>160</v>
      </c>
      <c r="C66" s="985"/>
      <c r="D66" s="986">
        <f>'Table 3 Levels 1&amp;2'!$AP$77</f>
        <v>5041.6011463398772</v>
      </c>
      <c r="E66" s="1051">
        <f>'Table 3 Levels 1&amp;2'!V67</f>
        <v>0.71040000000000003</v>
      </c>
      <c r="F66" s="1051">
        <f>'Table 3 Levels 1&amp;2'!W67</f>
        <v>0.28960000000000002</v>
      </c>
      <c r="G66" s="986">
        <f t="shared" si="21"/>
        <v>3581.5534543598487</v>
      </c>
      <c r="H66" s="1038">
        <f t="shared" si="22"/>
        <v>0</v>
      </c>
      <c r="I66" s="1429"/>
      <c r="J66" s="1429"/>
      <c r="K66" s="1429"/>
      <c r="L66" s="1429">
        <f t="shared" si="23"/>
        <v>0</v>
      </c>
      <c r="M66" s="1437"/>
      <c r="N66" s="1437">
        <f t="shared" si="24"/>
        <v>0</v>
      </c>
      <c r="O66" s="1038">
        <f t="shared" si="25"/>
        <v>0</v>
      </c>
      <c r="P66" s="986">
        <f t="shared" si="26"/>
        <v>1460.0476919800285</v>
      </c>
      <c r="Q66" s="1057">
        <f t="shared" si="27"/>
        <v>0</v>
      </c>
      <c r="R66" s="1513"/>
      <c r="S66" s="1057"/>
      <c r="T66" s="1513"/>
      <c r="U66" s="1418"/>
      <c r="V66" s="1418"/>
      <c r="W66" s="1057">
        <f t="shared" si="32"/>
        <v>0</v>
      </c>
      <c r="X66" s="1057"/>
      <c r="Y66" s="1057">
        <f t="shared" si="28"/>
        <v>0</v>
      </c>
      <c r="Z66" s="1057">
        <f t="shared" si="29"/>
        <v>0</v>
      </c>
      <c r="AA66" s="1065">
        <f t="shared" si="30"/>
        <v>0</v>
      </c>
      <c r="AB66" s="1065">
        <f t="shared" si="31"/>
        <v>0</v>
      </c>
    </row>
    <row r="67" spans="1:28">
      <c r="A67" s="968">
        <v>61</v>
      </c>
      <c r="B67" s="969" t="s">
        <v>161</v>
      </c>
      <c r="C67" s="987"/>
      <c r="D67" s="988">
        <f>'Table 3 Levels 1&amp;2'!$AP$77</f>
        <v>5041.6011463398772</v>
      </c>
      <c r="E67" s="1049">
        <f>'Table 3 Levels 1&amp;2'!V68</f>
        <v>0.48449999999999999</v>
      </c>
      <c r="F67" s="1049">
        <f>'Table 3 Levels 1&amp;2'!W68</f>
        <v>0.51549999999999996</v>
      </c>
      <c r="G67" s="988">
        <f t="shared" si="21"/>
        <v>2442.6557554016704</v>
      </c>
      <c r="H67" s="1039">
        <f t="shared" si="22"/>
        <v>0</v>
      </c>
      <c r="I67" s="1211"/>
      <c r="J67" s="1211"/>
      <c r="K67" s="1211"/>
      <c r="L67" s="1211">
        <f t="shared" si="23"/>
        <v>0</v>
      </c>
      <c r="M67" s="1211"/>
      <c r="N67" s="1211">
        <f t="shared" si="24"/>
        <v>0</v>
      </c>
      <c r="O67" s="1039">
        <f t="shared" si="25"/>
        <v>0</v>
      </c>
      <c r="P67" s="988">
        <f t="shared" si="26"/>
        <v>2598.9453909382064</v>
      </c>
      <c r="Q67" s="1058">
        <f t="shared" si="27"/>
        <v>0</v>
      </c>
      <c r="R67" s="1514"/>
      <c r="S67" s="1058"/>
      <c r="T67" s="1514"/>
      <c r="U67" s="1419"/>
      <c r="V67" s="1419"/>
      <c r="W67" s="1058">
        <f t="shared" si="32"/>
        <v>0</v>
      </c>
      <c r="X67" s="1058"/>
      <c r="Y67" s="1058">
        <f t="shared" si="28"/>
        <v>0</v>
      </c>
      <c r="Z67" s="1058">
        <f t="shared" si="29"/>
        <v>0</v>
      </c>
      <c r="AA67" s="1066">
        <f t="shared" si="30"/>
        <v>0</v>
      </c>
      <c r="AB67" s="1066">
        <f t="shared" si="31"/>
        <v>0</v>
      </c>
    </row>
    <row r="68" spans="1:28">
      <c r="A68" s="975">
        <v>62</v>
      </c>
      <c r="B68" s="976" t="s">
        <v>162</v>
      </c>
      <c r="C68" s="983"/>
      <c r="D68" s="984">
        <f>'Table 3 Levels 1&amp;2'!$AP$77</f>
        <v>5041.6011463398772</v>
      </c>
      <c r="E68" s="1050">
        <f>'Table 3 Levels 1&amp;2'!V69</f>
        <v>0.8407</v>
      </c>
      <c r="F68" s="1050">
        <f>'Table 3 Levels 1&amp;2'!W69</f>
        <v>0.1593</v>
      </c>
      <c r="G68" s="984">
        <f t="shared" si="21"/>
        <v>4238.4740837279351</v>
      </c>
      <c r="H68" s="1037">
        <f t="shared" si="22"/>
        <v>0</v>
      </c>
      <c r="I68" s="1428"/>
      <c r="J68" s="1428"/>
      <c r="K68" s="1428"/>
      <c r="L68" s="1428">
        <f t="shared" si="23"/>
        <v>0</v>
      </c>
      <c r="M68" s="1436"/>
      <c r="N68" s="1436">
        <f t="shared" si="24"/>
        <v>0</v>
      </c>
      <c r="O68" s="1037">
        <f t="shared" si="25"/>
        <v>0</v>
      </c>
      <c r="P68" s="984">
        <f t="shared" si="26"/>
        <v>803.12706261194239</v>
      </c>
      <c r="Q68" s="1056">
        <f t="shared" si="27"/>
        <v>0</v>
      </c>
      <c r="R68" s="1512"/>
      <c r="S68" s="1056"/>
      <c r="T68" s="1512"/>
      <c r="U68" s="1417"/>
      <c r="V68" s="1417"/>
      <c r="W68" s="1056">
        <f t="shared" si="32"/>
        <v>0</v>
      </c>
      <c r="X68" s="1056"/>
      <c r="Y68" s="1056">
        <f t="shared" si="28"/>
        <v>0</v>
      </c>
      <c r="Z68" s="1056">
        <f t="shared" si="29"/>
        <v>0</v>
      </c>
      <c r="AA68" s="1064">
        <f t="shared" si="30"/>
        <v>0</v>
      </c>
      <c r="AB68" s="1064">
        <f t="shared" si="31"/>
        <v>0</v>
      </c>
    </row>
    <row r="69" spans="1:28">
      <c r="A69" s="975">
        <v>63</v>
      </c>
      <c r="B69" s="976" t="s">
        <v>163</v>
      </c>
      <c r="C69" s="983"/>
      <c r="D69" s="984">
        <f>'Table 3 Levels 1&amp;2'!$AP$77</f>
        <v>5041.6011463398772</v>
      </c>
      <c r="E69" s="1050">
        <f>'Table 3 Levels 1&amp;2'!V70</f>
        <v>0.47810000000000002</v>
      </c>
      <c r="F69" s="1050">
        <f>'Table 3 Levels 1&amp;2'!W70</f>
        <v>0.52190000000000003</v>
      </c>
      <c r="G69" s="984">
        <f t="shared" si="21"/>
        <v>2410.3895080650955</v>
      </c>
      <c r="H69" s="1037">
        <f t="shared" si="22"/>
        <v>0</v>
      </c>
      <c r="I69" s="1428"/>
      <c r="J69" s="1428"/>
      <c r="K69" s="1428"/>
      <c r="L69" s="1428">
        <f t="shared" si="23"/>
        <v>0</v>
      </c>
      <c r="M69" s="1436"/>
      <c r="N69" s="1436">
        <f t="shared" si="24"/>
        <v>0</v>
      </c>
      <c r="O69" s="1037">
        <f t="shared" si="25"/>
        <v>0</v>
      </c>
      <c r="P69" s="984">
        <f t="shared" si="26"/>
        <v>2631.2116382747822</v>
      </c>
      <c r="Q69" s="1056">
        <f t="shared" si="27"/>
        <v>0</v>
      </c>
      <c r="R69" s="1512"/>
      <c r="S69" s="1056"/>
      <c r="T69" s="1512"/>
      <c r="U69" s="1417"/>
      <c r="V69" s="1417"/>
      <c r="W69" s="1056">
        <f t="shared" si="32"/>
        <v>0</v>
      </c>
      <c r="X69" s="1056"/>
      <c r="Y69" s="1056">
        <f t="shared" si="28"/>
        <v>0</v>
      </c>
      <c r="Z69" s="1056">
        <f t="shared" si="29"/>
        <v>0</v>
      </c>
      <c r="AA69" s="1064">
        <f t="shared" si="30"/>
        <v>0</v>
      </c>
      <c r="AB69" s="1064">
        <f t="shared" si="31"/>
        <v>0</v>
      </c>
    </row>
    <row r="70" spans="1:28">
      <c r="A70" s="975">
        <v>64</v>
      </c>
      <c r="B70" s="976" t="s">
        <v>164</v>
      </c>
      <c r="C70" s="983"/>
      <c r="D70" s="984">
        <f>'Table 3 Levels 1&amp;2'!$AP$77</f>
        <v>5041.6011463398772</v>
      </c>
      <c r="E70" s="1050">
        <f>'Table 3 Levels 1&amp;2'!V71</f>
        <v>0.79720000000000002</v>
      </c>
      <c r="F70" s="1050">
        <f>'Table 3 Levels 1&amp;2'!W71</f>
        <v>0.20280000000000001</v>
      </c>
      <c r="G70" s="984">
        <f t="shared" si="21"/>
        <v>4019.1644338621504</v>
      </c>
      <c r="H70" s="1037">
        <f t="shared" si="22"/>
        <v>0</v>
      </c>
      <c r="I70" s="1428"/>
      <c r="J70" s="1428"/>
      <c r="K70" s="1428"/>
      <c r="L70" s="1428">
        <f t="shared" si="23"/>
        <v>0</v>
      </c>
      <c r="M70" s="1436"/>
      <c r="N70" s="1436">
        <f t="shared" si="24"/>
        <v>0</v>
      </c>
      <c r="O70" s="1037">
        <f t="shared" si="25"/>
        <v>0</v>
      </c>
      <c r="P70" s="984">
        <f t="shared" si="26"/>
        <v>1022.4367124777272</v>
      </c>
      <c r="Q70" s="1056">
        <f t="shared" si="27"/>
        <v>0</v>
      </c>
      <c r="R70" s="1512"/>
      <c r="S70" s="1056"/>
      <c r="T70" s="1512"/>
      <c r="U70" s="1417"/>
      <c r="V70" s="1417"/>
      <c r="W70" s="1056">
        <f t="shared" si="32"/>
        <v>0</v>
      </c>
      <c r="X70" s="1056"/>
      <c r="Y70" s="1056">
        <f t="shared" si="28"/>
        <v>0</v>
      </c>
      <c r="Z70" s="1056">
        <f t="shared" si="29"/>
        <v>0</v>
      </c>
      <c r="AA70" s="1064">
        <f t="shared" si="30"/>
        <v>0</v>
      </c>
      <c r="AB70" s="1064">
        <f t="shared" si="31"/>
        <v>0</v>
      </c>
    </row>
    <row r="71" spans="1:28">
      <c r="A71" s="979">
        <v>65</v>
      </c>
      <c r="B71" s="980" t="s">
        <v>165</v>
      </c>
      <c r="C71" s="985"/>
      <c r="D71" s="986">
        <f>'Table 3 Levels 1&amp;2'!$AP$77</f>
        <v>5041.6011463398772</v>
      </c>
      <c r="E71" s="1051">
        <f>'Table 3 Levels 1&amp;2'!V72</f>
        <v>0.64970000000000006</v>
      </c>
      <c r="F71" s="1051">
        <f>'Table 3 Levels 1&amp;2'!W72</f>
        <v>0.3503</v>
      </c>
      <c r="G71" s="986">
        <f t="shared" si="21"/>
        <v>3275.5282647770186</v>
      </c>
      <c r="H71" s="1038">
        <f t="shared" si="22"/>
        <v>0</v>
      </c>
      <c r="I71" s="1429"/>
      <c r="J71" s="1429"/>
      <c r="K71" s="1429"/>
      <c r="L71" s="1429">
        <f t="shared" si="23"/>
        <v>0</v>
      </c>
      <c r="M71" s="1437"/>
      <c r="N71" s="1437">
        <f t="shared" si="24"/>
        <v>0</v>
      </c>
      <c r="O71" s="1038">
        <f t="shared" si="25"/>
        <v>0</v>
      </c>
      <c r="P71" s="986">
        <f t="shared" si="26"/>
        <v>1766.072881562859</v>
      </c>
      <c r="Q71" s="1057">
        <f t="shared" si="27"/>
        <v>0</v>
      </c>
      <c r="R71" s="1513"/>
      <c r="S71" s="1057"/>
      <c r="T71" s="1513"/>
      <c r="U71" s="1418"/>
      <c r="V71" s="1418"/>
      <c r="W71" s="1057">
        <f t="shared" si="32"/>
        <v>0</v>
      </c>
      <c r="X71" s="1057"/>
      <c r="Y71" s="1057">
        <f t="shared" si="28"/>
        <v>0</v>
      </c>
      <c r="Z71" s="1057">
        <f t="shared" si="29"/>
        <v>0</v>
      </c>
      <c r="AA71" s="1065">
        <f t="shared" si="30"/>
        <v>0</v>
      </c>
      <c r="AB71" s="1065">
        <f t="shared" si="31"/>
        <v>0</v>
      </c>
    </row>
    <row r="72" spans="1:28">
      <c r="A72" s="968">
        <v>66</v>
      </c>
      <c r="B72" s="969" t="s">
        <v>166</v>
      </c>
      <c r="C72" s="987"/>
      <c r="D72" s="988">
        <f>'Table 3 Levels 1&amp;2'!$AP$77</f>
        <v>5041.6011463398772</v>
      </c>
      <c r="E72" s="1049">
        <f>'Table 3 Levels 1&amp;2'!V73</f>
        <v>0.74819999999999998</v>
      </c>
      <c r="F72" s="1049">
        <f>'Table 3 Levels 1&amp;2'!W73</f>
        <v>0.25180000000000002</v>
      </c>
      <c r="G72" s="988">
        <f t="shared" ref="G72:G75" si="33">D72*E72</f>
        <v>3772.1259776914962</v>
      </c>
      <c r="H72" s="1039">
        <f t="shared" ref="H72:H75" si="34">G72*C72</f>
        <v>0</v>
      </c>
      <c r="I72" s="1211"/>
      <c r="J72" s="1211"/>
      <c r="K72" s="1211"/>
      <c r="L72" s="1211">
        <f t="shared" ref="L72:L75" si="35">H72+K72</f>
        <v>0</v>
      </c>
      <c r="M72" s="1211"/>
      <c r="N72" s="1211">
        <f t="shared" ref="N72:N75" si="36">L72-M72</f>
        <v>0</v>
      </c>
      <c r="O72" s="1039">
        <f t="shared" ref="O72:O75" si="37">ROUND(N72/2,0)</f>
        <v>0</v>
      </c>
      <c r="P72" s="988">
        <f t="shared" ref="P72:P75" si="38">D72*F72</f>
        <v>1269.4751686483812</v>
      </c>
      <c r="Q72" s="1058">
        <f t="shared" ref="Q72:Q75" si="39">P72*C72</f>
        <v>0</v>
      </c>
      <c r="R72" s="1514"/>
      <c r="S72" s="1058"/>
      <c r="T72" s="1514"/>
      <c r="U72" s="1419"/>
      <c r="V72" s="1419"/>
      <c r="W72" s="1058">
        <f t="shared" ref="W72:W75" si="40">Q72+V72</f>
        <v>0</v>
      </c>
      <c r="X72" s="1058"/>
      <c r="Y72" s="1058">
        <f t="shared" ref="Y72:Y75" si="41">W72-X72</f>
        <v>0</v>
      </c>
      <c r="Z72" s="1058">
        <f t="shared" ref="Z72:Z75" si="42">ROUND(Y72/2,0)</f>
        <v>0</v>
      </c>
      <c r="AA72" s="1066">
        <f t="shared" ref="AA72:AA75" si="43">W72+L72</f>
        <v>0</v>
      </c>
      <c r="AB72" s="1066">
        <f t="shared" ref="AB72:AB75" si="44">O72+Z72</f>
        <v>0</v>
      </c>
    </row>
    <row r="73" spans="1:28">
      <c r="A73" s="975">
        <v>67</v>
      </c>
      <c r="B73" s="976" t="s">
        <v>33</v>
      </c>
      <c r="C73" s="983"/>
      <c r="D73" s="984">
        <f>'Table 3 Levels 1&amp;2'!$AP$77</f>
        <v>5041.6011463398772</v>
      </c>
      <c r="E73" s="1050">
        <f>'Table 3 Levels 1&amp;2'!V74</f>
        <v>0.75019999999999998</v>
      </c>
      <c r="F73" s="1050">
        <f>'Table 3 Levels 1&amp;2'!W74</f>
        <v>0.24979999999999999</v>
      </c>
      <c r="G73" s="984">
        <f t="shared" si="33"/>
        <v>3782.209179984176</v>
      </c>
      <c r="H73" s="1037">
        <f t="shared" si="34"/>
        <v>0</v>
      </c>
      <c r="I73" s="1428"/>
      <c r="J73" s="1428"/>
      <c r="K73" s="1428"/>
      <c r="L73" s="1428">
        <f t="shared" si="35"/>
        <v>0</v>
      </c>
      <c r="M73" s="1436"/>
      <c r="N73" s="1436">
        <f t="shared" si="36"/>
        <v>0</v>
      </c>
      <c r="O73" s="1037">
        <f t="shared" si="37"/>
        <v>0</v>
      </c>
      <c r="P73" s="984">
        <f t="shared" si="38"/>
        <v>1259.3919663557012</v>
      </c>
      <c r="Q73" s="1056">
        <f t="shared" si="39"/>
        <v>0</v>
      </c>
      <c r="R73" s="1512"/>
      <c r="S73" s="1056"/>
      <c r="T73" s="1512"/>
      <c r="U73" s="1417"/>
      <c r="V73" s="1417"/>
      <c r="W73" s="1056">
        <f t="shared" si="40"/>
        <v>0</v>
      </c>
      <c r="X73" s="1056"/>
      <c r="Y73" s="1056">
        <f t="shared" si="41"/>
        <v>0</v>
      </c>
      <c r="Z73" s="1056">
        <f t="shared" si="42"/>
        <v>0</v>
      </c>
      <c r="AA73" s="1064">
        <f t="shared" si="43"/>
        <v>0</v>
      </c>
      <c r="AB73" s="1064">
        <f t="shared" si="44"/>
        <v>0</v>
      </c>
    </row>
    <row r="74" spans="1:28">
      <c r="A74" s="975">
        <v>68</v>
      </c>
      <c r="B74" s="976" t="s">
        <v>31</v>
      </c>
      <c r="C74" s="983"/>
      <c r="D74" s="984">
        <f>'Table 3 Levels 1&amp;2'!$AP$77</f>
        <v>5041.6011463398772</v>
      </c>
      <c r="E74" s="1050">
        <f>'Table 3 Levels 1&amp;2'!V75</f>
        <v>0.79110000000000003</v>
      </c>
      <c r="F74" s="1050">
        <f>'Table 3 Levels 1&amp;2'!W75</f>
        <v>0.2089</v>
      </c>
      <c r="G74" s="984">
        <f t="shared" si="33"/>
        <v>3988.4106668694772</v>
      </c>
      <c r="H74" s="1037">
        <f t="shared" si="34"/>
        <v>0</v>
      </c>
      <c r="I74" s="1428"/>
      <c r="J74" s="1428"/>
      <c r="K74" s="1428"/>
      <c r="L74" s="1428">
        <f t="shared" si="35"/>
        <v>0</v>
      </c>
      <c r="M74" s="1436"/>
      <c r="N74" s="1436">
        <f t="shared" si="36"/>
        <v>0</v>
      </c>
      <c r="O74" s="1037">
        <f t="shared" si="37"/>
        <v>0</v>
      </c>
      <c r="P74" s="984">
        <f t="shared" si="38"/>
        <v>1053.1904794704003</v>
      </c>
      <c r="Q74" s="1056">
        <f t="shared" si="39"/>
        <v>0</v>
      </c>
      <c r="R74" s="1512"/>
      <c r="S74" s="1056"/>
      <c r="T74" s="1512"/>
      <c r="U74" s="1417"/>
      <c r="V74" s="1417"/>
      <c r="W74" s="1056">
        <f t="shared" si="40"/>
        <v>0</v>
      </c>
      <c r="X74" s="1056"/>
      <c r="Y74" s="1056">
        <f t="shared" si="41"/>
        <v>0</v>
      </c>
      <c r="Z74" s="1056">
        <f t="shared" si="42"/>
        <v>0</v>
      </c>
      <c r="AA74" s="1064">
        <f t="shared" si="43"/>
        <v>0</v>
      </c>
      <c r="AB74" s="1064">
        <f t="shared" si="44"/>
        <v>0</v>
      </c>
    </row>
    <row r="75" spans="1:28">
      <c r="A75" s="989">
        <v>69</v>
      </c>
      <c r="B75" s="990" t="s">
        <v>229</v>
      </c>
      <c r="C75" s="991"/>
      <c r="D75" s="992">
        <f>'Table 3 Levels 1&amp;2'!$AP$77</f>
        <v>5041.6011463398772</v>
      </c>
      <c r="E75" s="1052">
        <f>'Table 3 Levels 1&amp;2'!V76</f>
        <v>0.80179999999999996</v>
      </c>
      <c r="F75" s="1052">
        <f>'Table 3 Levels 1&amp;2'!W76</f>
        <v>0.19819999999999999</v>
      </c>
      <c r="G75" s="992">
        <f t="shared" si="33"/>
        <v>4042.3557991353132</v>
      </c>
      <c r="H75" s="1040">
        <f t="shared" si="34"/>
        <v>0</v>
      </c>
      <c r="I75" s="1430"/>
      <c r="J75" s="1430"/>
      <c r="K75" s="1430"/>
      <c r="L75" s="1430">
        <f t="shared" si="35"/>
        <v>0</v>
      </c>
      <c r="M75" s="1438"/>
      <c r="N75" s="1438">
        <f t="shared" si="36"/>
        <v>0</v>
      </c>
      <c r="O75" s="1040">
        <f t="shared" si="37"/>
        <v>0</v>
      </c>
      <c r="P75" s="992">
        <f t="shared" si="38"/>
        <v>999.24534720456359</v>
      </c>
      <c r="Q75" s="1059">
        <f t="shared" si="39"/>
        <v>0</v>
      </c>
      <c r="R75" s="1515"/>
      <c r="S75" s="1059"/>
      <c r="T75" s="1515"/>
      <c r="U75" s="1420"/>
      <c r="V75" s="1420"/>
      <c r="W75" s="1059">
        <f t="shared" si="40"/>
        <v>0</v>
      </c>
      <c r="X75" s="1059"/>
      <c r="Y75" s="1059">
        <f t="shared" si="41"/>
        <v>0</v>
      </c>
      <c r="Z75" s="1059">
        <f t="shared" si="42"/>
        <v>0</v>
      </c>
      <c r="AA75" s="1067">
        <f t="shared" si="43"/>
        <v>0</v>
      </c>
      <c r="AB75" s="1067">
        <f t="shared" si="44"/>
        <v>0</v>
      </c>
    </row>
    <row r="76" spans="1:28" s="1000" customFormat="1" ht="13.5" thickBot="1">
      <c r="A76" s="993"/>
      <c r="B76" s="994" t="s">
        <v>167</v>
      </c>
      <c r="C76" s="995">
        <f>SUM(C7:C75)</f>
        <v>0</v>
      </c>
      <c r="D76" s="996">
        <f>'Table 3 Levels 1&amp;2'!AP77</f>
        <v>5041.6011463398772</v>
      </c>
      <c r="E76" s="1020">
        <f>'Table 3 Levels 1&amp;2'!V77</f>
        <v>0.65</v>
      </c>
      <c r="F76" s="1020">
        <f>'Table 3 Levels 1&amp;2'!W77</f>
        <v>0.35</v>
      </c>
      <c r="G76" s="996"/>
      <c r="H76" s="997">
        <f>SUM(H7:H75)</f>
        <v>0</v>
      </c>
      <c r="I76" s="997"/>
      <c r="J76" s="1212"/>
      <c r="K76" s="997"/>
      <c r="L76" s="997">
        <f t="shared" ref="L76" si="45">SUM(L7:L75)</f>
        <v>0</v>
      </c>
      <c r="M76" s="997"/>
      <c r="N76" s="997">
        <f>SUM(N7:N75)</f>
        <v>0</v>
      </c>
      <c r="O76" s="997">
        <f>SUM(O7:O75)</f>
        <v>0</v>
      </c>
      <c r="P76" s="996"/>
      <c r="Q76" s="1060">
        <f t="shared" ref="Q76:AA76" si="46">SUM(Q7:Q75)</f>
        <v>0</v>
      </c>
      <c r="R76" s="1517"/>
      <c r="S76" s="1060"/>
      <c r="T76" s="1517"/>
      <c r="U76" s="1421"/>
      <c r="V76" s="1421"/>
      <c r="W76" s="1060">
        <f t="shared" si="46"/>
        <v>0</v>
      </c>
      <c r="X76" s="1060"/>
      <c r="Y76" s="1060">
        <f t="shared" si="46"/>
        <v>0</v>
      </c>
      <c r="Z76" s="1060">
        <f t="shared" si="46"/>
        <v>0</v>
      </c>
      <c r="AA76" s="1068">
        <f t="shared" si="46"/>
        <v>0</v>
      </c>
      <c r="AB76" s="1068">
        <f t="shared" ref="AB76" si="47">SUM(AB7:AB75)</f>
        <v>0</v>
      </c>
    </row>
    <row r="77" spans="1:28" s="1000" customFormat="1" ht="13.5" thickTop="1">
      <c r="A77" s="1001"/>
      <c r="B77" s="1001"/>
      <c r="C77" s="1002"/>
      <c r="D77" s="1002"/>
      <c r="E77" s="1002"/>
      <c r="F77" s="1002"/>
      <c r="H77" s="1027">
        <f>56*D76</f>
        <v>282329.66419503314</v>
      </c>
      <c r="I77" s="1027"/>
      <c r="J77" s="1027"/>
      <c r="K77" s="1027"/>
      <c r="L77" s="1027"/>
      <c r="M77" s="1027"/>
      <c r="N77" s="1027"/>
      <c r="O77" s="1027"/>
      <c r="P77" s="1004"/>
      <c r="Q77" s="1004"/>
      <c r="R77" s="1004"/>
      <c r="S77" s="1004"/>
      <c r="T77" s="1004"/>
      <c r="U77" s="1004"/>
      <c r="V77" s="1004"/>
      <c r="W77" s="1004"/>
      <c r="X77" s="1004"/>
      <c r="Y77" s="1004"/>
      <c r="Z77" s="1004"/>
    </row>
    <row r="78" spans="1:28" ht="12.75" customHeight="1">
      <c r="A78" s="1005"/>
      <c r="C78" s="1006"/>
      <c r="H78" s="1028">
        <f>H77-H76</f>
        <v>282329.66419503314</v>
      </c>
      <c r="I78" s="1028"/>
      <c r="J78" s="1028"/>
      <c r="K78" s="1028"/>
      <c r="L78" s="1028"/>
      <c r="M78" s="1028"/>
      <c r="N78" s="1028"/>
      <c r="O78" s="1028"/>
      <c r="AA78" s="1026"/>
      <c r="AB78" s="1026"/>
    </row>
    <row r="79" spans="1:28" ht="12.75" hidden="1" customHeight="1"/>
    <row r="80" spans="1:28" hidden="1"/>
    <row r="81" spans="3:15" hidden="1"/>
    <row r="82" spans="3:15" hidden="1"/>
    <row r="83" spans="3:15" hidden="1">
      <c r="G83" s="1007" t="s">
        <v>539</v>
      </c>
      <c r="H83" s="1007"/>
      <c r="I83" s="1007"/>
      <c r="J83" s="1007"/>
      <c r="K83" s="1007"/>
      <c r="L83" s="1007"/>
      <c r="M83" s="1007"/>
      <c r="N83" s="1007"/>
      <c r="O83" s="1007"/>
    </row>
    <row r="84" spans="3:15" ht="10.5" hidden="1" customHeight="1"/>
    <row r="85" spans="3:15" hidden="1"/>
    <row r="86" spans="3:15" hidden="1">
      <c r="C86" s="1008">
        <v>85661</v>
      </c>
      <c r="D86" s="1009" t="s">
        <v>540</v>
      </c>
      <c r="E86" s="1009"/>
      <c r="F86" s="1009"/>
    </row>
    <row r="87" spans="3:15" hidden="1">
      <c r="C87" s="1008">
        <v>650290</v>
      </c>
      <c r="D87" s="1009" t="s">
        <v>541</v>
      </c>
      <c r="E87" s="1009"/>
      <c r="F87" s="1009"/>
    </row>
    <row r="88" spans="3:15" hidden="1">
      <c r="C88" s="1010">
        <f>C86/C87</f>
        <v>0.13172738316750987</v>
      </c>
      <c r="D88" s="1009" t="s">
        <v>542</v>
      </c>
      <c r="E88" s="1009"/>
      <c r="F88" s="1009"/>
    </row>
    <row r="89" spans="3:15" hidden="1">
      <c r="C89" s="1008"/>
      <c r="D89" s="1009"/>
      <c r="E89" s="1009"/>
      <c r="F89" s="1009"/>
    </row>
    <row r="90" spans="3:15" hidden="1">
      <c r="C90" s="1008">
        <v>128510</v>
      </c>
      <c r="D90" s="1009" t="s">
        <v>543</v>
      </c>
      <c r="E90" s="1009"/>
      <c r="F90" s="1009"/>
    </row>
    <row r="91" spans="3:15" hidden="1">
      <c r="C91" s="1008">
        <v>911320</v>
      </c>
      <c r="D91" s="1009" t="s">
        <v>544</v>
      </c>
      <c r="E91" s="1009"/>
      <c r="F91" s="1009"/>
    </row>
    <row r="92" spans="3:15" hidden="1">
      <c r="C92" s="1010">
        <f>C90/C91</f>
        <v>0.14101523065443533</v>
      </c>
      <c r="D92" s="1009" t="s">
        <v>545</v>
      </c>
      <c r="E92" s="1009"/>
      <c r="F92" s="1009"/>
    </row>
    <row r="93" spans="3:15" hidden="1">
      <c r="C93" s="1008"/>
      <c r="D93" s="1009"/>
      <c r="E93" s="1009"/>
      <c r="F93" s="1009"/>
    </row>
    <row r="94" spans="3:15" hidden="1">
      <c r="C94" s="1011">
        <v>2663489616</v>
      </c>
      <c r="D94" s="1012" t="s">
        <v>546</v>
      </c>
      <c r="E94" s="1012"/>
      <c r="F94" s="1012"/>
    </row>
    <row r="95" spans="3:15" hidden="1">
      <c r="C95" s="1013">
        <f>C92</f>
        <v>0.14101523065443533</v>
      </c>
      <c r="D95" s="1012"/>
      <c r="E95" s="1012"/>
      <c r="F95" s="1012"/>
    </row>
    <row r="96" spans="3:15" hidden="1">
      <c r="C96" s="1014">
        <f>C94*C95</f>
        <v>375592602.54593337</v>
      </c>
      <c r="D96" s="1009" t="s">
        <v>547</v>
      </c>
      <c r="E96" s="1009"/>
      <c r="F96" s="1009"/>
    </row>
    <row r="97" spans="2:15" hidden="1">
      <c r="C97" s="1015">
        <f>50%/C92</f>
        <v>3.5457162866702978</v>
      </c>
      <c r="D97" s="1012" t="s">
        <v>548</v>
      </c>
      <c r="E97" s="1012"/>
      <c r="F97" s="1012"/>
    </row>
    <row r="98" spans="2:15" hidden="1">
      <c r="C98" s="1014">
        <f>C96*C97</f>
        <v>1331744808</v>
      </c>
      <c r="D98" s="1016" t="s">
        <v>549</v>
      </c>
      <c r="E98" s="1016"/>
      <c r="F98" s="1016"/>
    </row>
    <row r="99" spans="2:15" hidden="1">
      <c r="C99" s="1017">
        <f>C87</f>
        <v>650290</v>
      </c>
      <c r="D99" s="1012" t="s">
        <v>550</v>
      </c>
      <c r="E99" s="1012"/>
      <c r="F99" s="1012"/>
    </row>
    <row r="100" spans="2:15" hidden="1">
      <c r="C100" s="1014">
        <f>C98/C99</f>
        <v>2047.9244767719017</v>
      </c>
      <c r="D100" s="1012" t="s">
        <v>551</v>
      </c>
      <c r="E100" s="1012"/>
      <c r="F100" s="1012"/>
    </row>
    <row r="101" spans="2:15" hidden="1">
      <c r="C101" s="1018">
        <f>(C96/C99)*-1</f>
        <v>-577.57708490970697</v>
      </c>
      <c r="D101" s="1012" t="s">
        <v>552</v>
      </c>
      <c r="E101" s="1012"/>
      <c r="F101" s="1012"/>
    </row>
    <row r="102" spans="2:15" hidden="1">
      <c r="C102" s="1019">
        <f>SUM(C100:C101)</f>
        <v>1470.3473918621949</v>
      </c>
      <c r="D102" s="1012" t="s">
        <v>553</v>
      </c>
      <c r="E102" s="1012"/>
      <c r="F102" s="1012"/>
    </row>
    <row r="103" spans="2:15" hidden="1">
      <c r="C103" s="1019"/>
      <c r="D103" s="1012"/>
      <c r="E103" s="1012"/>
      <c r="F103" s="1012"/>
    </row>
    <row r="104" spans="2:15" hidden="1">
      <c r="C104" s="1019"/>
      <c r="D104" s="1012"/>
      <c r="E104" s="1012"/>
      <c r="F104" s="1012"/>
    </row>
    <row r="105" spans="2:15" hidden="1">
      <c r="D105" s="1012"/>
      <c r="E105" s="1012"/>
      <c r="F105" s="1012"/>
    </row>
    <row r="106" spans="2:15" hidden="1"/>
    <row r="107" spans="2:15" ht="13.5" thickBot="1">
      <c r="B107" s="1610" t="s">
        <v>1327</v>
      </c>
      <c r="C107" s="1611">
        <v>112</v>
      </c>
      <c r="D107" s="1612">
        <f>'Table 3 Levels 1&amp;2'!AP77</f>
        <v>5041.6011463398772</v>
      </c>
      <c r="E107" s="1613"/>
      <c r="F107" s="1613"/>
      <c r="G107" s="1613"/>
      <c r="H107" s="1614">
        <f>C107*D107</f>
        <v>564659.32839006628</v>
      </c>
      <c r="I107" s="1618">
        <f>'[1]Midyear Adjustment Summary'!$C$83</f>
        <v>35291.208024379142</v>
      </c>
      <c r="J107" s="1618">
        <f>'[1]Midyear Adjustment Summary'!$D$83</f>
        <v>-12604.002865849692</v>
      </c>
      <c r="K107" s="1619">
        <f>SUM(H107:J107)</f>
        <v>587346.53354859573</v>
      </c>
      <c r="L107" s="1619"/>
      <c r="M107" s="1619">
        <f>255336+225516</f>
        <v>480852</v>
      </c>
      <c r="N107" s="1619">
        <f>K107-M107</f>
        <v>106494.53354859573</v>
      </c>
      <c r="O107" s="1619">
        <f>N107/2</f>
        <v>53247.266774297867</v>
      </c>
    </row>
    <row r="108" spans="2:15" ht="13.5" thickTop="1">
      <c r="B108" s="1615" t="s">
        <v>1328</v>
      </c>
      <c r="C108" s="1616"/>
      <c r="D108" s="1616"/>
      <c r="E108" s="1616"/>
      <c r="F108" s="1616"/>
      <c r="G108" s="1616"/>
      <c r="H108" s="1617"/>
      <c r="I108" s="1620"/>
      <c r="J108" s="1620"/>
      <c r="K108" s="1620"/>
      <c r="L108" s="1620"/>
      <c r="M108" s="1620"/>
      <c r="N108" s="1620"/>
      <c r="O108" s="1620"/>
    </row>
  </sheetData>
  <mergeCells count="31">
    <mergeCell ref="I1:O1"/>
    <mergeCell ref="I2:K2"/>
    <mergeCell ref="A2:B4"/>
    <mergeCell ref="AA2:AA4"/>
    <mergeCell ref="C3:C4"/>
    <mergeCell ref="D3:D4"/>
    <mergeCell ref="G3:G4"/>
    <mergeCell ref="H3:H4"/>
    <mergeCell ref="P3:P4"/>
    <mergeCell ref="Q3:Q4"/>
    <mergeCell ref="I3:I4"/>
    <mergeCell ref="J3:J4"/>
    <mergeCell ref="K3:K4"/>
    <mergeCell ref="L3:L4"/>
    <mergeCell ref="C2:H2"/>
    <mergeCell ref="M3:M4"/>
    <mergeCell ref="AB2:AB4"/>
    <mergeCell ref="P2:Z2"/>
    <mergeCell ref="E3:E4"/>
    <mergeCell ref="F3:F4"/>
    <mergeCell ref="O3:O4"/>
    <mergeCell ref="Z3:Z4"/>
    <mergeCell ref="N3:N4"/>
    <mergeCell ref="R3:R4"/>
    <mergeCell ref="S3:S4"/>
    <mergeCell ref="T3:T4"/>
    <mergeCell ref="U3:U4"/>
    <mergeCell ref="V3:V4"/>
    <mergeCell ref="W3:W4"/>
    <mergeCell ref="X3:X4"/>
    <mergeCell ref="Y3:Y4"/>
  </mergeCells>
  <printOptions horizontalCentered="1"/>
  <pageMargins left="0.27" right="0.25" top="0.87" bottom="0.2" header="0.25" footer="0.2"/>
  <pageSetup paperSize="5" scale="67" firstPageNumber="40" fitToWidth="3" orientation="portrait" useFirstPageNumber="1" r:id="rId1"/>
  <headerFooter alignWithMargins="0">
    <oddHeader xml:space="preserve">&amp;L&amp;"Arial,Bold"&amp;16Table 5A3:  FY2012-13 MFP Budget Letter (May 2013)
New Orleans Center for Creative Arts (&amp;14NOCCA) &amp;R&amp;"Arial,Bold"&amp;12&amp;KFF0000
</oddHeader>
    <oddFooter>&amp;R&amp;P</oddFooter>
  </headerFooter>
  <rowBreaks count="1" manualBreakCount="1">
    <brk id="109" max="27" man="1"/>
  </rowBreaks>
  <colBreaks count="3" manualBreakCount="3">
    <brk id="8" max="108" man="1"/>
    <brk id="15" max="108" man="1"/>
    <brk id="23" max="10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5"/>
  <sheetViews>
    <sheetView view="pageBreakPreview" zoomScale="80" zoomScaleNormal="75" zoomScaleSheetLayoutView="8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B81" sqref="B81"/>
    </sheetView>
  </sheetViews>
  <sheetFormatPr defaultRowHeight="12.75"/>
  <cols>
    <col min="1" max="1" width="8.7109375" style="1243" customWidth="1"/>
    <col min="2" max="2" width="36.85546875" style="1243" customWidth="1"/>
    <col min="3" max="3" width="13" style="1243" customWidth="1"/>
    <col min="4" max="4" width="11" style="1243" bestFit="1" customWidth="1"/>
    <col min="5" max="5" width="17.5703125" style="1243" bestFit="1" customWidth="1"/>
    <col min="6" max="6" width="12.7109375" style="1243" bestFit="1" customWidth="1"/>
    <col min="7" max="7" width="14.42578125" style="1243" customWidth="1"/>
    <col min="8" max="8" width="16.140625" style="1243" customWidth="1"/>
    <col min="9" max="9" width="13.140625" style="1243" customWidth="1"/>
    <col min="10" max="10" width="11.28515625" style="1243" customWidth="1"/>
    <col min="11" max="11" width="13.42578125" style="1243" customWidth="1"/>
    <col min="12" max="12" width="14.28515625" style="1243" customWidth="1"/>
    <col min="13" max="13" width="11.28515625" style="1243" bestFit="1" customWidth="1"/>
    <col min="14" max="14" width="13.7109375" style="1243" bestFit="1" customWidth="1"/>
    <col min="15" max="15" width="14.140625" style="548" customWidth="1"/>
    <col min="16" max="16" width="12.85546875" style="548" customWidth="1"/>
    <col min="17" max="17" width="13.140625" style="548" customWidth="1"/>
    <col min="18" max="21" width="13.140625" style="1243" customWidth="1"/>
    <col min="22" max="22" width="14.5703125" style="1243" customWidth="1"/>
    <col min="23" max="25" width="13.140625" style="1243" customWidth="1"/>
    <col min="26" max="26" width="14.7109375" style="1243" customWidth="1"/>
    <col min="27" max="28" width="14.85546875" style="1243" customWidth="1"/>
    <col min="29" max="29" width="9.140625" style="1243"/>
    <col min="30" max="34" width="9.140625" style="548"/>
    <col min="35" max="16384" width="9.140625" style="1243"/>
  </cols>
  <sheetData>
    <row r="1" spans="1:34" ht="43.5" customHeight="1">
      <c r="A1" s="1958" t="s">
        <v>1144</v>
      </c>
      <c r="B1" s="1959"/>
      <c r="C1" s="1959"/>
      <c r="D1" s="1959"/>
      <c r="E1" s="1959"/>
      <c r="F1" s="1959"/>
      <c r="G1" s="1959"/>
      <c r="H1" s="1959"/>
      <c r="I1" s="1959"/>
      <c r="J1" s="1959"/>
      <c r="K1" s="1959"/>
      <c r="L1" s="1959"/>
      <c r="M1" s="1959"/>
      <c r="N1" s="1960"/>
    </row>
    <row r="2" spans="1:34" ht="10.5" customHeight="1">
      <c r="A2" s="1344"/>
      <c r="B2" s="1344"/>
      <c r="C2" s="1344"/>
      <c r="D2" s="1344"/>
      <c r="E2" s="1344"/>
      <c r="F2" s="1345"/>
      <c r="G2" s="1345"/>
      <c r="H2" s="1344"/>
      <c r="I2" s="1344"/>
      <c r="J2" s="1344"/>
      <c r="K2" s="1344"/>
      <c r="L2" s="1344"/>
      <c r="M2" s="1344"/>
      <c r="N2" s="1344"/>
    </row>
    <row r="3" spans="1:34" ht="39.75" customHeight="1" thickBot="1">
      <c r="C3" s="1244"/>
      <c r="D3" s="1343">
        <f>'Table 3 Levels 1&amp;2'!AL43</f>
        <v>3442.7546828904692</v>
      </c>
      <c r="E3" s="1245"/>
      <c r="F3" s="1970" t="s">
        <v>560</v>
      </c>
      <c r="G3" s="1971"/>
      <c r="H3" s="1245"/>
      <c r="I3" s="1962" t="s">
        <v>1188</v>
      </c>
      <c r="J3" s="1963"/>
      <c r="K3" s="1964"/>
      <c r="L3" s="1245"/>
      <c r="M3" s="1246"/>
      <c r="N3" s="1247"/>
      <c r="O3" s="73"/>
      <c r="P3" s="73"/>
      <c r="Q3" s="1936" t="s">
        <v>1331</v>
      </c>
      <c r="R3" s="1937"/>
      <c r="S3" s="1937"/>
      <c r="T3" s="1937"/>
      <c r="U3" s="1938"/>
      <c r="V3" s="75"/>
      <c r="W3" s="1939" t="s">
        <v>1332</v>
      </c>
      <c r="X3" s="1940"/>
      <c r="Y3" s="1941"/>
      <c r="Z3" s="74"/>
      <c r="AA3" s="1622" t="s">
        <v>1333</v>
      </c>
      <c r="AB3" s="73"/>
      <c r="AC3"/>
      <c r="AD3" s="122"/>
      <c r="AE3" s="122"/>
      <c r="AF3" s="1706"/>
      <c r="AG3" s="1707"/>
      <c r="AH3" s="35"/>
    </row>
    <row r="4" spans="1:34" ht="195.75" customHeight="1">
      <c r="A4" s="1952" t="s">
        <v>616</v>
      </c>
      <c r="B4" s="1952" t="s">
        <v>203</v>
      </c>
      <c r="C4" s="1952" t="s">
        <v>1277</v>
      </c>
      <c r="D4" s="1248" t="s">
        <v>85</v>
      </c>
      <c r="E4" s="1954" t="s">
        <v>1107</v>
      </c>
      <c r="F4" s="1952" t="s">
        <v>562</v>
      </c>
      <c r="G4" s="1952" t="s">
        <v>559</v>
      </c>
      <c r="H4" s="1954" t="s">
        <v>1108</v>
      </c>
      <c r="I4" s="1954" t="s">
        <v>1209</v>
      </c>
      <c r="J4" s="1954" t="s">
        <v>1210</v>
      </c>
      <c r="K4" s="1954" t="s">
        <v>1208</v>
      </c>
      <c r="L4" s="1954" t="s">
        <v>1211</v>
      </c>
      <c r="M4" s="1966" t="s">
        <v>1074</v>
      </c>
      <c r="N4" s="1954" t="s">
        <v>1110</v>
      </c>
      <c r="O4" s="1621" t="s">
        <v>1334</v>
      </c>
      <c r="P4" s="1621" t="s">
        <v>1335</v>
      </c>
      <c r="Q4" s="1817" t="s">
        <v>1336</v>
      </c>
      <c r="R4" s="1817" t="s">
        <v>1337</v>
      </c>
      <c r="S4" s="1942" t="s">
        <v>1338</v>
      </c>
      <c r="T4" s="1942" t="s">
        <v>1339</v>
      </c>
      <c r="U4" s="1944" t="s">
        <v>1208</v>
      </c>
      <c r="V4" s="1946" t="s">
        <v>1340</v>
      </c>
      <c r="W4" s="1623" t="s">
        <v>1341</v>
      </c>
      <c r="X4" s="1623" t="s">
        <v>1342</v>
      </c>
      <c r="Y4" s="1817" t="s">
        <v>1343</v>
      </c>
      <c r="Z4" s="1949" t="s">
        <v>1344</v>
      </c>
      <c r="AA4" s="1817" t="s">
        <v>1345</v>
      </c>
      <c r="AB4" s="1949" t="s">
        <v>1346</v>
      </c>
      <c r="AC4"/>
      <c r="AD4" s="1951"/>
      <c r="AE4" s="1951"/>
      <c r="AF4" s="1947"/>
      <c r="AG4" s="1948"/>
      <c r="AH4" s="35"/>
    </row>
    <row r="5" spans="1:34" ht="30.75" customHeight="1">
      <c r="A5" s="1953" t="s">
        <v>87</v>
      </c>
      <c r="B5" s="1953"/>
      <c r="C5" s="1953"/>
      <c r="D5" s="1249" t="s">
        <v>298</v>
      </c>
      <c r="E5" s="1955"/>
      <c r="F5" s="1953"/>
      <c r="G5" s="1953"/>
      <c r="H5" s="1955"/>
      <c r="I5" s="1955"/>
      <c r="J5" s="1955"/>
      <c r="K5" s="1955"/>
      <c r="L5" s="1955"/>
      <c r="M5" s="1967"/>
      <c r="N5" s="1955"/>
      <c r="O5" s="1624">
        <f>'[14]FY2012-13 Final'!$D$43</f>
        <v>4196</v>
      </c>
      <c r="P5" s="1624">
        <f>'[14]FY2012-13 Final'!$K$43</f>
        <v>4884</v>
      </c>
      <c r="Q5" s="1819"/>
      <c r="R5" s="1819"/>
      <c r="S5" s="1943"/>
      <c r="T5" s="1943"/>
      <c r="U5" s="1945"/>
      <c r="V5" s="1946"/>
      <c r="W5" s="1625">
        <v>1.7500000000000002E-2</v>
      </c>
      <c r="X5" s="1625">
        <v>2.5000000000000001E-3</v>
      </c>
      <c r="Y5" s="1819"/>
      <c r="Z5" s="1950"/>
      <c r="AA5" s="1819"/>
      <c r="AB5" s="1950"/>
      <c r="AC5" s="426"/>
      <c r="AD5" s="1951"/>
      <c r="AE5" s="1951"/>
      <c r="AF5" s="1947"/>
      <c r="AG5" s="1948"/>
      <c r="AH5" s="433"/>
    </row>
    <row r="6" spans="1:34">
      <c r="A6" s="1250"/>
      <c r="B6" s="1250"/>
      <c r="C6" s="1251">
        <v>1</v>
      </c>
      <c r="D6" s="1251">
        <f t="shared" ref="D6:H6" si="0">C6+1</f>
        <v>2</v>
      </c>
      <c r="E6" s="1251">
        <f t="shared" si="0"/>
        <v>3</v>
      </c>
      <c r="F6" s="1251">
        <f t="shared" si="0"/>
        <v>4</v>
      </c>
      <c r="G6" s="1251">
        <f t="shared" si="0"/>
        <v>5</v>
      </c>
      <c r="H6" s="1251">
        <f t="shared" si="0"/>
        <v>6</v>
      </c>
      <c r="I6" s="1251">
        <f t="shared" ref="I6" si="1">H6+1</f>
        <v>7</v>
      </c>
      <c r="J6" s="1251">
        <f t="shared" ref="J6" si="2">I6+1</f>
        <v>8</v>
      </c>
      <c r="K6" s="1251">
        <f t="shared" ref="K6" si="3">J6+1</f>
        <v>9</v>
      </c>
      <c r="L6" s="1251">
        <f t="shared" ref="L6" si="4">K6+1</f>
        <v>10</v>
      </c>
      <c r="M6" s="1251">
        <f t="shared" ref="M6" si="5">L6+1</f>
        <v>11</v>
      </c>
      <c r="N6" s="1251">
        <f t="shared" ref="N6" si="6">M6+1</f>
        <v>12</v>
      </c>
      <c r="O6" s="1251">
        <f t="shared" ref="O6" si="7">N6+1</f>
        <v>13</v>
      </c>
      <c r="P6" s="1251">
        <f t="shared" ref="P6" si="8">O6+1</f>
        <v>14</v>
      </c>
      <c r="Q6" s="1251">
        <f t="shared" ref="Q6" si="9">P6+1</f>
        <v>15</v>
      </c>
      <c r="R6" s="1251">
        <f t="shared" ref="R6" si="10">Q6+1</f>
        <v>16</v>
      </c>
      <c r="S6" s="1251">
        <f t="shared" ref="S6" si="11">R6+1</f>
        <v>17</v>
      </c>
      <c r="T6" s="1251">
        <f t="shared" ref="T6" si="12">S6+1</f>
        <v>18</v>
      </c>
      <c r="U6" s="1251">
        <f t="shared" ref="U6" si="13">T6+1</f>
        <v>19</v>
      </c>
      <c r="V6" s="1251">
        <f t="shared" ref="V6" si="14">U6+1</f>
        <v>20</v>
      </c>
      <c r="W6" s="1251">
        <f t="shared" ref="W6" si="15">V6+1</f>
        <v>21</v>
      </c>
      <c r="X6" s="1251">
        <f t="shared" ref="X6" si="16">W6+1</f>
        <v>22</v>
      </c>
      <c r="Y6" s="1251">
        <f t="shared" ref="Y6" si="17">X6+1</f>
        <v>23</v>
      </c>
      <c r="Z6" s="1251">
        <f t="shared" ref="Z6" si="18">Y6+1</f>
        <v>24</v>
      </c>
      <c r="AA6" s="1251">
        <f t="shared" ref="AA6" si="19">Z6+1</f>
        <v>25</v>
      </c>
      <c r="AB6" s="1251">
        <f t="shared" ref="AB6" si="20">AA6+1</f>
        <v>26</v>
      </c>
      <c r="AC6"/>
      <c r="AD6" s="1708"/>
      <c r="AE6" s="1708"/>
      <c r="AF6" s="1708"/>
      <c r="AG6" s="1708"/>
      <c r="AH6" s="35"/>
    </row>
    <row r="7" spans="1:34" ht="25.5">
      <c r="A7" s="1239" t="s">
        <v>608</v>
      </c>
      <c r="B7" s="1584" t="s">
        <v>1315</v>
      </c>
      <c r="C7" s="1585">
        <f>'Table 8 2.1.12 MFP Funded'!G39</f>
        <v>10644</v>
      </c>
      <c r="D7" s="1586">
        <f>$D$3</f>
        <v>3442.7546828904692</v>
      </c>
      <c r="E7" s="1586">
        <f>ROUND(C7*D7,0)</f>
        <v>36644681</v>
      </c>
      <c r="F7" s="1586">
        <v>727.23177743956114</v>
      </c>
      <c r="G7" s="1586">
        <f>F7*C7</f>
        <v>7740655.0390666891</v>
      </c>
      <c r="H7" s="1587">
        <f>E7+G7</f>
        <v>44385336.039066687</v>
      </c>
      <c r="I7" s="1587"/>
      <c r="J7" s="1587"/>
      <c r="K7" s="1587"/>
      <c r="L7" s="1587"/>
      <c r="M7" s="1588" t="s">
        <v>69</v>
      </c>
      <c r="N7" s="1589" t="s">
        <v>96</v>
      </c>
      <c r="O7" s="1586"/>
      <c r="P7" s="1586"/>
      <c r="R7" s="1586"/>
      <c r="T7" s="1586"/>
      <c r="U7" s="1586"/>
      <c r="V7" s="1586"/>
      <c r="W7" s="1586"/>
      <c r="X7" s="1586"/>
      <c r="Y7" s="1586"/>
      <c r="Z7" s="1586"/>
      <c r="AA7" s="1586"/>
      <c r="AB7" s="1586"/>
    </row>
    <row r="8" spans="1:34" ht="8.25" customHeight="1">
      <c r="A8" s="1241"/>
      <c r="B8" s="1590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R8" s="1591"/>
      <c r="T8" s="1591"/>
      <c r="U8" s="1591"/>
      <c r="V8" s="1591"/>
      <c r="W8" s="1591"/>
      <c r="X8" s="1591"/>
      <c r="Y8" s="1591"/>
      <c r="Z8" s="1591"/>
      <c r="AA8" s="1591"/>
      <c r="AB8" s="1591"/>
    </row>
    <row r="9" spans="1:34" ht="24.75" customHeight="1">
      <c r="A9" s="1242" t="s">
        <v>607</v>
      </c>
      <c r="B9" s="1242" t="s">
        <v>618</v>
      </c>
      <c r="C9" s="1592">
        <f>'2-1-12 MFP Funded by site'!H127-C41-C45-C18-C17-C37-C38-C16+239+120+230</f>
        <v>4653</v>
      </c>
      <c r="D9" s="1586">
        <f>$D$3</f>
        <v>3442.7546828904692</v>
      </c>
      <c r="E9" s="1586">
        <f>ROUND(C9*D9,0)</f>
        <v>16019138</v>
      </c>
      <c r="F9" s="1586">
        <v>797.0524448632965</v>
      </c>
      <c r="G9" s="1586">
        <f>F9*C9</f>
        <v>3708685.0259489184</v>
      </c>
      <c r="H9" s="1587">
        <f>E9+G9</f>
        <v>19727823.025948919</v>
      </c>
      <c r="I9" s="1587">
        <f>'[1]Midyear Adjustment Summary'!$C$116</f>
        <v>-3620795.2871017158</v>
      </c>
      <c r="J9" s="1587">
        <f>'[1]Midyear Adjustment Summary'!$D$116</f>
        <v>-84796.142555075319</v>
      </c>
      <c r="K9" s="1587">
        <f>I9+J9</f>
        <v>-3705591.429656791</v>
      </c>
      <c r="L9" s="1587">
        <f>H9+K9</f>
        <v>16022231.596292129</v>
      </c>
      <c r="M9" s="1586">
        <f>'[2]Adjusted Amounts'!$C$133+'[2]Adjusted Amounts'!$H$133+'[2]Adjusted Amounts'!$C$137+'[2]Adjusted Amounts'!$H$137</f>
        <v>-603556.4490870384</v>
      </c>
      <c r="N9" s="1587">
        <f>L9+M9</f>
        <v>15418675.14720509</v>
      </c>
      <c r="O9" s="1586">
        <f>C9*$O$5</f>
        <v>19523988</v>
      </c>
      <c r="P9" s="1586"/>
      <c r="Q9" s="548">
        <v>-854</v>
      </c>
      <c r="R9" s="1586">
        <f>Q9*$O$5</f>
        <v>-3583384</v>
      </c>
      <c r="S9" s="1243">
        <v>-40</v>
      </c>
      <c r="T9" s="1586">
        <f>($O$5*0.5)*S9</f>
        <v>-83920</v>
      </c>
      <c r="U9" s="1586">
        <f>R9+T9</f>
        <v>-3667304</v>
      </c>
      <c r="V9" s="1586">
        <f>O9+U9</f>
        <v>15856684</v>
      </c>
      <c r="W9" s="1586">
        <f>-W69</f>
        <v>1865160.9900000009</v>
      </c>
      <c r="X9" s="1586"/>
      <c r="Y9" s="1586">
        <f>SUM(W9:X9)</f>
        <v>1865160.9900000009</v>
      </c>
      <c r="Z9" s="1586">
        <f>Y9+V9</f>
        <v>17721844.990000002</v>
      </c>
      <c r="AA9" s="1586">
        <f>'[15]April 2012-13 Allocation'!$AT$5</f>
        <v>-167420</v>
      </c>
      <c r="AB9" s="1586">
        <f>SUM(Z9:AA9)</f>
        <v>17554424.990000002</v>
      </c>
    </row>
    <row r="10" spans="1:34" ht="8.25" customHeight="1">
      <c r="A10" s="1252"/>
      <c r="B10" s="1590"/>
      <c r="C10" s="1591"/>
      <c r="D10" s="1591"/>
      <c r="E10" s="1591"/>
      <c r="F10" s="1591"/>
      <c r="G10" s="1591"/>
      <c r="H10" s="1591"/>
      <c r="I10" s="1591"/>
      <c r="J10" s="1591"/>
      <c r="K10" s="1591"/>
      <c r="L10" s="1591"/>
      <c r="M10" s="1591"/>
      <c r="N10" s="1591"/>
      <c r="O10" s="1591"/>
      <c r="P10" s="1591"/>
      <c r="R10" s="1591"/>
      <c r="T10" s="1591"/>
      <c r="U10" s="1591"/>
      <c r="V10" s="1591"/>
      <c r="W10" s="1591"/>
      <c r="X10" s="1591"/>
      <c r="Y10" s="1591"/>
      <c r="Z10" s="1591"/>
      <c r="AA10" s="1591"/>
      <c r="AB10" s="1591"/>
    </row>
    <row r="11" spans="1:34" ht="21" customHeight="1">
      <c r="A11" s="1253"/>
      <c r="B11" s="1253" t="s">
        <v>88</v>
      </c>
      <c r="C11" s="1585"/>
      <c r="D11" s="1586"/>
      <c r="E11" s="1586"/>
      <c r="F11" s="1586"/>
      <c r="G11" s="1586"/>
      <c r="H11" s="1587"/>
      <c r="I11" s="1587"/>
      <c r="J11" s="1587"/>
      <c r="K11" s="1587"/>
      <c r="L11" s="1587"/>
      <c r="M11" s="1593"/>
      <c r="N11" s="1587"/>
      <c r="O11" s="1586"/>
      <c r="P11" s="1586"/>
      <c r="R11" s="1586"/>
      <c r="T11" s="1586"/>
      <c r="U11" s="1586"/>
      <c r="V11" s="1586"/>
      <c r="W11" s="1586"/>
      <c r="X11" s="1586"/>
      <c r="Y11" s="1586"/>
      <c r="Z11" s="1586"/>
      <c r="AA11" s="1586"/>
      <c r="AB11" s="1586"/>
    </row>
    <row r="12" spans="1:34" ht="30.75" customHeight="1">
      <c r="A12" s="776">
        <v>300001</v>
      </c>
      <c r="B12" s="776" t="s">
        <v>1278</v>
      </c>
      <c r="C12" s="1594">
        <f>'2-1-12 MFP Funded by site'!G53</f>
        <v>340</v>
      </c>
      <c r="D12" s="1595">
        <f t="shared" ref="D12:D68" si="21">$D$3</f>
        <v>3442.7546828904692</v>
      </c>
      <c r="E12" s="1595">
        <f t="shared" ref="E12:E65" si="22">ROUND(C12*D12,0)</f>
        <v>1170537</v>
      </c>
      <c r="F12" s="1586">
        <v>767.72184717013943</v>
      </c>
      <c r="G12" s="1586">
        <f t="shared" ref="G12:G65" si="23">F12*C12</f>
        <v>261025.42803784739</v>
      </c>
      <c r="H12" s="1587">
        <f>E12+G12</f>
        <v>1431562.4280378474</v>
      </c>
      <c r="I12" s="1587">
        <f>'[1]Midyear Adjustment Summary'!C129</f>
        <v>256839.06833369713</v>
      </c>
      <c r="J12" s="1587">
        <f>'[1]Midyear Adjustment Summary'!D129</f>
        <v>-6315.714795090913</v>
      </c>
      <c r="K12" s="1587">
        <f t="shared" ref="K12:K68" si="24">I12+J12</f>
        <v>250523.3535386062</v>
      </c>
      <c r="L12" s="1587">
        <f t="shared" ref="L12:L68" si="25">H12+K12</f>
        <v>1682085.7815764537</v>
      </c>
      <c r="M12" s="1596">
        <f>'[2]Adjusted Amounts'!$C140+'[2]Adjusted Amounts'!$H140</f>
        <v>3961.9839854058328</v>
      </c>
      <c r="N12" s="1597">
        <f t="shared" ref="N12:N68" si="26">L12+M12</f>
        <v>1686047.7655618596</v>
      </c>
      <c r="O12" s="1586">
        <f>C12*$O$5</f>
        <v>1426640</v>
      </c>
      <c r="P12" s="1586"/>
      <c r="Q12" s="548">
        <v>61</v>
      </c>
      <c r="R12" s="1586">
        <f>Q12*$O$5</f>
        <v>255956</v>
      </c>
      <c r="S12" s="1243">
        <v>-3</v>
      </c>
      <c r="T12" s="1586">
        <f>($O$5*0.5)*S12</f>
        <v>-6294</v>
      </c>
      <c r="U12" s="1586">
        <f t="shared" ref="U12:U68" si="27">R12+T12</f>
        <v>249662</v>
      </c>
      <c r="V12" s="1586">
        <f>O12+U12</f>
        <v>1676302</v>
      </c>
      <c r="W12" s="1586">
        <f>-V12*1.75%</f>
        <v>-29335.285000000003</v>
      </c>
      <c r="X12" s="1586">
        <f>-V12*0.25%</f>
        <v>-4190.7550000000001</v>
      </c>
      <c r="Y12" s="1586">
        <f>SUM(W12:X12)</f>
        <v>-33526.04</v>
      </c>
      <c r="Z12" s="1586">
        <f t="shared" ref="Z12:Z68" si="28">Y12+V12</f>
        <v>1642775.96</v>
      </c>
      <c r="AA12" s="1586">
        <f>'[15]April 2012-13 Allocation'!AT8</f>
        <v>4103</v>
      </c>
      <c r="AB12" s="1586">
        <f t="shared" ref="AB12:AB68" si="29">SUM(Z12:AA12)</f>
        <v>1646878.96</v>
      </c>
    </row>
    <row r="13" spans="1:34" ht="30.75" customHeight="1">
      <c r="A13" s="776">
        <v>300002</v>
      </c>
      <c r="B13" s="776" t="s">
        <v>1279</v>
      </c>
      <c r="C13" s="1594">
        <f>'2-1-12 MFP Funded by site'!G54</f>
        <v>420</v>
      </c>
      <c r="D13" s="1595">
        <f t="shared" si="21"/>
        <v>3442.7546828904692</v>
      </c>
      <c r="E13" s="1595">
        <f t="shared" si="22"/>
        <v>1445957</v>
      </c>
      <c r="F13" s="1586">
        <v>730.66950653120466</v>
      </c>
      <c r="G13" s="1586">
        <f t="shared" si="23"/>
        <v>306881.19274310593</v>
      </c>
      <c r="H13" s="1587">
        <f t="shared" ref="H13:H65" si="30">E13+G13</f>
        <v>1752838.1927431058</v>
      </c>
      <c r="I13" s="1587">
        <f>'[1]Midyear Adjustment Summary'!C130</f>
        <v>179457.24014513197</v>
      </c>
      <c r="J13" s="1587">
        <f>'[1]Midyear Adjustment Summary'!D130</f>
        <v>-14606.984662975858</v>
      </c>
      <c r="K13" s="1587">
        <f t="shared" si="24"/>
        <v>164850.25548215612</v>
      </c>
      <c r="L13" s="1587">
        <f t="shared" si="25"/>
        <v>1917688.4482252619</v>
      </c>
      <c r="M13" s="1596">
        <f>'[2]Adjusted Amounts'!$C141+'[2]Adjusted Amounts'!$H141</f>
        <v>-6614.7721822148442</v>
      </c>
      <c r="N13" s="1597">
        <f t="shared" si="26"/>
        <v>1911073.6760430471</v>
      </c>
      <c r="O13" s="1586">
        <f>C13*$O$5</f>
        <v>1762320</v>
      </c>
      <c r="P13" s="1586"/>
      <c r="Q13" s="548">
        <v>43</v>
      </c>
      <c r="R13" s="1586">
        <f>Q13*$O$5</f>
        <v>180428</v>
      </c>
      <c r="S13" s="1243">
        <v>-7</v>
      </c>
      <c r="T13" s="1586">
        <f>($O$5*0.5)*S13</f>
        <v>-14686</v>
      </c>
      <c r="U13" s="1586">
        <f t="shared" si="27"/>
        <v>165742</v>
      </c>
      <c r="V13" s="1586">
        <f>O13+U13</f>
        <v>1928062</v>
      </c>
      <c r="W13" s="1586">
        <f t="shared" ref="W13:W68" si="31">-V13*1.75%</f>
        <v>-33741.085000000006</v>
      </c>
      <c r="X13" s="1586">
        <f t="shared" ref="X13:X68" si="32">-V13*0.25%</f>
        <v>-4820.1549999999997</v>
      </c>
      <c r="Y13" s="1586">
        <f t="shared" ref="Y13:Y68" si="33">SUM(W13:X13)</f>
        <v>-38561.240000000005</v>
      </c>
      <c r="Z13" s="1586">
        <f t="shared" si="28"/>
        <v>1889500.76</v>
      </c>
      <c r="AA13" s="1586">
        <f>'[15]April 2012-13 Allocation'!AT9</f>
        <v>0</v>
      </c>
      <c r="AB13" s="1586">
        <f t="shared" si="29"/>
        <v>1889500.76</v>
      </c>
    </row>
    <row r="14" spans="1:34" ht="30.75" customHeight="1">
      <c r="A14" s="777">
        <v>300003</v>
      </c>
      <c r="B14" s="777" t="s">
        <v>1280</v>
      </c>
      <c r="C14" s="1594">
        <f>'2-1-12 MFP Funded by site'!G55</f>
        <v>601</v>
      </c>
      <c r="D14" s="1595">
        <f t="shared" si="21"/>
        <v>3442.7546828904692</v>
      </c>
      <c r="E14" s="1595">
        <f t="shared" si="22"/>
        <v>2069096</v>
      </c>
      <c r="F14" s="1586">
        <v>767.72184717013943</v>
      </c>
      <c r="G14" s="1586">
        <f t="shared" si="23"/>
        <v>461400.83014925377</v>
      </c>
      <c r="H14" s="1587">
        <f t="shared" si="30"/>
        <v>2530496.8301492538</v>
      </c>
      <c r="I14" s="1587">
        <f>'[1]Midyear Adjustment Summary'!C131</f>
        <v>235786.68568339408</v>
      </c>
      <c r="J14" s="1587">
        <f>'[1]Midyear Adjustment Summary'!D131</f>
        <v>2105.2382650303043</v>
      </c>
      <c r="K14" s="1587">
        <f t="shared" si="24"/>
        <v>237891.9239484244</v>
      </c>
      <c r="L14" s="1587">
        <f t="shared" si="25"/>
        <v>2768388.7540976782</v>
      </c>
      <c r="M14" s="1596">
        <f>'[2]Adjusted Amounts'!$C142+'[2]Adjusted Amounts'!$H142</f>
        <v>-6614.7721822148442</v>
      </c>
      <c r="N14" s="1597">
        <f t="shared" si="26"/>
        <v>2761773.9819154632</v>
      </c>
      <c r="O14" s="1586">
        <f>C14*$O$5</f>
        <v>2521796</v>
      </c>
      <c r="P14" s="1586"/>
      <c r="Q14" s="548">
        <v>56</v>
      </c>
      <c r="R14" s="1586">
        <f>Q14*$O$5</f>
        <v>234976</v>
      </c>
      <c r="S14" s="1243">
        <v>1</v>
      </c>
      <c r="T14" s="1586">
        <f>($O$5*0.5)*S14</f>
        <v>2098</v>
      </c>
      <c r="U14" s="1586">
        <f t="shared" si="27"/>
        <v>237074</v>
      </c>
      <c r="V14" s="1586">
        <f>O14+U14</f>
        <v>2758870</v>
      </c>
      <c r="W14" s="1586">
        <f t="shared" si="31"/>
        <v>-48280.225000000006</v>
      </c>
      <c r="X14" s="1586">
        <f t="shared" si="32"/>
        <v>-6897.1750000000002</v>
      </c>
      <c r="Y14" s="1586">
        <f t="shared" si="33"/>
        <v>-55177.400000000009</v>
      </c>
      <c r="Z14" s="1586">
        <f t="shared" si="28"/>
        <v>2703692.6</v>
      </c>
      <c r="AA14" s="1586">
        <f>'[15]April 2012-13 Allocation'!AT10</f>
        <v>0</v>
      </c>
      <c r="AB14" s="1586">
        <f t="shared" si="29"/>
        <v>2703692.6</v>
      </c>
    </row>
    <row r="15" spans="1:34" ht="30.75" customHeight="1">
      <c r="A15" s="778">
        <v>300004</v>
      </c>
      <c r="B15" s="778" t="s">
        <v>1281</v>
      </c>
      <c r="C15" s="1594">
        <f>'2-1-12 MFP Funded by site'!G56</f>
        <v>423</v>
      </c>
      <c r="D15" s="1595">
        <f t="shared" si="21"/>
        <v>3442.7546828904692</v>
      </c>
      <c r="E15" s="1595">
        <f t="shared" si="22"/>
        <v>1456285</v>
      </c>
      <c r="F15" s="1593">
        <v>746.0335616438357</v>
      </c>
      <c r="G15" s="1586">
        <f t="shared" si="23"/>
        <v>315572.1965753425</v>
      </c>
      <c r="H15" s="1587">
        <f t="shared" si="30"/>
        <v>1771857.1965753424</v>
      </c>
      <c r="I15" s="1587">
        <f>'[1]Midyear Adjustment Summary'!C132</f>
        <v>54454.24717894596</v>
      </c>
      <c r="J15" s="1587">
        <f>'[1]Midyear Adjustment Summary'!D132</f>
        <v>-50265.458934411654</v>
      </c>
      <c r="K15" s="1587">
        <f t="shared" si="24"/>
        <v>4188.7882445343057</v>
      </c>
      <c r="L15" s="1587">
        <f t="shared" si="25"/>
        <v>1776045.9848198767</v>
      </c>
      <c r="M15" s="1596">
        <f>'[2]Adjusted Amounts'!$C143+'[2]Adjusted Amounts'!$H143</f>
        <v>2603.0574587118685</v>
      </c>
      <c r="N15" s="1597">
        <f t="shared" si="26"/>
        <v>1778649.0422785885</v>
      </c>
      <c r="O15" s="1586">
        <f>C15*$O$5</f>
        <v>1774908</v>
      </c>
      <c r="P15" s="1586"/>
      <c r="Q15" s="548">
        <v>13</v>
      </c>
      <c r="R15" s="1586">
        <f>Q15*$O$5</f>
        <v>54548</v>
      </c>
      <c r="S15" s="1243">
        <v>-24</v>
      </c>
      <c r="T15" s="1586">
        <f>($O$5*0.5)*S15</f>
        <v>-50352</v>
      </c>
      <c r="U15" s="1586">
        <f t="shared" si="27"/>
        <v>4196</v>
      </c>
      <c r="V15" s="1586">
        <f>O15+U15</f>
        <v>1779104</v>
      </c>
      <c r="W15" s="1586">
        <f t="shared" si="31"/>
        <v>-31134.320000000003</v>
      </c>
      <c r="X15" s="1586">
        <f t="shared" si="32"/>
        <v>-4447.76</v>
      </c>
      <c r="Y15" s="1586">
        <f t="shared" si="33"/>
        <v>-35582.080000000002</v>
      </c>
      <c r="Z15" s="1586">
        <f t="shared" si="28"/>
        <v>1743521.92</v>
      </c>
      <c r="AA15" s="1586">
        <f>'[15]April 2012-13 Allocation'!AT11</f>
        <v>6154.5</v>
      </c>
      <c r="AB15" s="1586">
        <f t="shared" si="29"/>
        <v>1749676.42</v>
      </c>
    </row>
    <row r="16" spans="1:34" ht="49.5" customHeight="1">
      <c r="A16" s="1046">
        <v>360001</v>
      </c>
      <c r="B16" s="1046" t="s">
        <v>1148</v>
      </c>
      <c r="C16" s="1598">
        <v>140</v>
      </c>
      <c r="D16" s="1595">
        <f t="shared" si="21"/>
        <v>3442.7546828904692</v>
      </c>
      <c r="E16" s="1595">
        <f t="shared" si="22"/>
        <v>481986</v>
      </c>
      <c r="F16" s="1593">
        <v>746.0335616438357</v>
      </c>
      <c r="G16" s="1586">
        <f t="shared" si="23"/>
        <v>104444.69863013699</v>
      </c>
      <c r="H16" s="1587">
        <f t="shared" si="30"/>
        <v>586430.69863013702</v>
      </c>
      <c r="I16" s="1587">
        <f>'[1]Midyear Adjustment Summary'!C133</f>
        <v>41887.88244534305</v>
      </c>
      <c r="J16" s="1587">
        <f>'[1]Midyear Adjustment Summary'!D133</f>
        <v>12566.364733602913</v>
      </c>
      <c r="K16" s="1587">
        <f t="shared" si="24"/>
        <v>54454.247178945967</v>
      </c>
      <c r="L16" s="1587">
        <f t="shared" si="25"/>
        <v>640884.94580908294</v>
      </c>
      <c r="M16" s="1596"/>
      <c r="N16" s="1597">
        <f t="shared" si="26"/>
        <v>640884.94580908294</v>
      </c>
      <c r="O16" s="1586">
        <v>0</v>
      </c>
      <c r="P16" s="1586">
        <f>C16*$P$5</f>
        <v>683760</v>
      </c>
      <c r="Q16" s="548">
        <v>10</v>
      </c>
      <c r="R16" s="1586">
        <f>$P$5*Q16</f>
        <v>48840</v>
      </c>
      <c r="S16" s="1243">
        <v>6</v>
      </c>
      <c r="T16" s="1586">
        <f>($P$5*0.5)*S16</f>
        <v>14652</v>
      </c>
      <c r="U16" s="1586">
        <f t="shared" si="27"/>
        <v>63492</v>
      </c>
      <c r="V16" s="1586">
        <f>P16+U16</f>
        <v>747252</v>
      </c>
      <c r="W16" s="1586">
        <f t="shared" si="31"/>
        <v>-13076.910000000002</v>
      </c>
      <c r="X16" s="1586">
        <f t="shared" si="32"/>
        <v>-1868.13</v>
      </c>
      <c r="Y16" s="1586">
        <f t="shared" si="33"/>
        <v>-14945.04</v>
      </c>
      <c r="Z16" s="1586">
        <f t="shared" si="28"/>
        <v>732306.96</v>
      </c>
      <c r="AA16" s="1586">
        <f>'[15]April 2012-13 Allocation'!AT12</f>
        <v>0</v>
      </c>
      <c r="AB16" s="1586">
        <f t="shared" si="29"/>
        <v>732306.96</v>
      </c>
    </row>
    <row r="17" spans="1:28" ht="38.25">
      <c r="A17" s="1046">
        <v>361001</v>
      </c>
      <c r="B17" s="1046" t="s">
        <v>1316</v>
      </c>
      <c r="C17" s="1599">
        <v>200</v>
      </c>
      <c r="D17" s="1595">
        <f t="shared" si="21"/>
        <v>3442.7546828904692</v>
      </c>
      <c r="E17" s="1595">
        <f>ROUND(C17*D17,0)</f>
        <v>688551</v>
      </c>
      <c r="F17" s="1586">
        <v>746.0335616438357</v>
      </c>
      <c r="G17" s="1586">
        <f>F17*C17</f>
        <v>149206.71232876714</v>
      </c>
      <c r="H17" s="1587">
        <f>E17+G17</f>
        <v>837757.71232876717</v>
      </c>
      <c r="I17" s="1587">
        <f>'[1]Midyear Adjustment Summary'!C134</f>
        <v>-171740.31802590648</v>
      </c>
      <c r="J17" s="1587">
        <f>'[1]Midyear Adjustment Summary'!D134</f>
        <v>8377.5764890686096</v>
      </c>
      <c r="K17" s="1587">
        <f t="shared" si="24"/>
        <v>-163362.74153683789</v>
      </c>
      <c r="L17" s="1587">
        <f t="shared" si="25"/>
        <v>674394.97079192929</v>
      </c>
      <c r="M17" s="1595">
        <v>0</v>
      </c>
      <c r="N17" s="1597">
        <f t="shared" si="26"/>
        <v>674394.97079192929</v>
      </c>
      <c r="O17" s="1586">
        <v>0</v>
      </c>
      <c r="P17" s="1586">
        <f>C17*$P$5</f>
        <v>976800</v>
      </c>
      <c r="Q17" s="548">
        <v>-41</v>
      </c>
      <c r="R17" s="1586">
        <f>$P$5*Q17</f>
        <v>-200244</v>
      </c>
      <c r="S17" s="1243">
        <v>4</v>
      </c>
      <c r="T17" s="1586">
        <f>($P$5*0.5)*S17</f>
        <v>9768</v>
      </c>
      <c r="U17" s="1586">
        <f t="shared" si="27"/>
        <v>-190476</v>
      </c>
      <c r="V17" s="1586">
        <f>P17+U17</f>
        <v>786324</v>
      </c>
      <c r="W17" s="1586">
        <f t="shared" si="31"/>
        <v>-13760.670000000002</v>
      </c>
      <c r="X17" s="1586">
        <f t="shared" si="32"/>
        <v>-1965.81</v>
      </c>
      <c r="Y17" s="1586">
        <f t="shared" si="33"/>
        <v>-15726.480000000001</v>
      </c>
      <c r="Z17" s="1586">
        <f t="shared" si="28"/>
        <v>770597.52</v>
      </c>
      <c r="AA17" s="1586">
        <f>'[15]April 2012-13 Allocation'!AT13</f>
        <v>0</v>
      </c>
      <c r="AB17" s="1586">
        <f t="shared" si="29"/>
        <v>770597.52</v>
      </c>
    </row>
    <row r="18" spans="1:28" ht="34.5" customHeight="1">
      <c r="A18" s="1046">
        <v>362001</v>
      </c>
      <c r="B18" s="1046" t="s">
        <v>705</v>
      </c>
      <c r="C18" s="1599">
        <v>480</v>
      </c>
      <c r="D18" s="1595">
        <f t="shared" si="21"/>
        <v>3442.7546828904692</v>
      </c>
      <c r="E18" s="1595">
        <f>ROUND(C18*D18,0)</f>
        <v>1652522</v>
      </c>
      <c r="F18" s="1586">
        <v>746.0335616438357</v>
      </c>
      <c r="G18" s="1586">
        <f>F18*C18</f>
        <v>358096.10958904115</v>
      </c>
      <c r="H18" s="1587">
        <f>E18+G18</f>
        <v>2010618.1095890412</v>
      </c>
      <c r="I18" s="1587">
        <f>'[1]Midyear Adjustment Summary'!C135</f>
        <v>-381179.73025262175</v>
      </c>
      <c r="J18" s="1587">
        <f>'[1]Midyear Adjustment Summary'!D135</f>
        <v>-25132.729467205827</v>
      </c>
      <c r="K18" s="1587">
        <f t="shared" si="24"/>
        <v>-406312.45971982757</v>
      </c>
      <c r="L18" s="1587">
        <f t="shared" si="25"/>
        <v>1604305.6498692136</v>
      </c>
      <c r="M18" s="1595">
        <v>0</v>
      </c>
      <c r="N18" s="1597">
        <f t="shared" si="26"/>
        <v>1604305.6498692136</v>
      </c>
      <c r="O18" s="1586">
        <f>C18*$O$5</f>
        <v>2014080</v>
      </c>
      <c r="P18" s="1586"/>
      <c r="Q18" s="548">
        <v>-91</v>
      </c>
      <c r="R18" s="1586">
        <f>Q18*$O$5</f>
        <v>-381836</v>
      </c>
      <c r="S18" s="1243">
        <v>-12</v>
      </c>
      <c r="T18" s="1586">
        <f>($O$5*0.5)*S18</f>
        <v>-25176</v>
      </c>
      <c r="U18" s="1586">
        <f t="shared" si="27"/>
        <v>-407012</v>
      </c>
      <c r="V18" s="1586">
        <f>O18+U18</f>
        <v>1607068</v>
      </c>
      <c r="W18" s="1586">
        <f t="shared" si="31"/>
        <v>-28123.690000000002</v>
      </c>
      <c r="X18" s="1586">
        <f t="shared" si="32"/>
        <v>-4017.67</v>
      </c>
      <c r="Y18" s="1586">
        <f t="shared" si="33"/>
        <v>-32141.360000000001</v>
      </c>
      <c r="Z18" s="1586">
        <f t="shared" si="28"/>
        <v>1574926.64</v>
      </c>
      <c r="AA18" s="1586">
        <f>'[15]April 2012-13 Allocation'!AT14</f>
        <v>0</v>
      </c>
      <c r="AB18" s="1586">
        <f t="shared" si="29"/>
        <v>1574926.64</v>
      </c>
    </row>
    <row r="19" spans="1:28" ht="30.75" customHeight="1">
      <c r="A19" s="1044">
        <v>363001</v>
      </c>
      <c r="B19" s="1044" t="s">
        <v>703</v>
      </c>
      <c r="C19" s="1594">
        <f>'2-1-12 MFP Funded by site'!G57</f>
        <v>547</v>
      </c>
      <c r="D19" s="1595">
        <f t="shared" si="21"/>
        <v>3442.7546828904692</v>
      </c>
      <c r="E19" s="1595">
        <f t="shared" ref="E19:E28" si="34">ROUND(C19*D19,0)</f>
        <v>1883187</v>
      </c>
      <c r="F19" s="1586">
        <v>746.0335616438357</v>
      </c>
      <c r="G19" s="1586">
        <f t="shared" ref="G19:G28" si="35">F19*C19</f>
        <v>408080.3582191781</v>
      </c>
      <c r="H19" s="1587">
        <f t="shared" ref="H19:H28" si="36">E19+G19</f>
        <v>2291267.3582191779</v>
      </c>
      <c r="I19" s="1587">
        <f>'[1]Midyear Adjustment Summary'!C136</f>
        <v>-113097.28260242623</v>
      </c>
      <c r="J19" s="1587">
        <f>'[1]Midyear Adjustment Summary'!D136</f>
        <v>20943.941222671525</v>
      </c>
      <c r="K19" s="1587">
        <f t="shared" si="24"/>
        <v>-92153.341379754711</v>
      </c>
      <c r="L19" s="1587">
        <f t="shared" si="25"/>
        <v>2199114.0168394232</v>
      </c>
      <c r="M19" s="1595">
        <f>'[2]Adjusted Amounts'!$C144+'[2]Adjusted Amounts'!$H144</f>
        <v>-3998.0606576154241</v>
      </c>
      <c r="N19" s="1597">
        <f t="shared" si="26"/>
        <v>2195115.9561818079</v>
      </c>
      <c r="O19" s="1586">
        <f>C19*$O$5</f>
        <v>2295212</v>
      </c>
      <c r="P19" s="1586"/>
      <c r="Q19" s="548">
        <v>-27</v>
      </c>
      <c r="R19" s="1586">
        <f>Q19*$O$5</f>
        <v>-113292</v>
      </c>
      <c r="S19" s="1243">
        <v>10</v>
      </c>
      <c r="T19" s="1586">
        <f>($O$5*0.5)*S19</f>
        <v>20980</v>
      </c>
      <c r="U19" s="1586">
        <f t="shared" si="27"/>
        <v>-92312</v>
      </c>
      <c r="V19" s="1586">
        <f>O19+U19</f>
        <v>2202900</v>
      </c>
      <c r="W19" s="1586">
        <f t="shared" si="31"/>
        <v>-38550.750000000007</v>
      </c>
      <c r="X19" s="1586">
        <f t="shared" si="32"/>
        <v>-5507.25</v>
      </c>
      <c r="Y19" s="1586">
        <f t="shared" si="33"/>
        <v>-44058.000000000007</v>
      </c>
      <c r="Z19" s="1586">
        <f t="shared" si="28"/>
        <v>2158842</v>
      </c>
      <c r="AA19" s="1586">
        <f>'[15]April 2012-13 Allocation'!AT15</f>
        <v>-4203</v>
      </c>
      <c r="AB19" s="1586">
        <f t="shared" si="29"/>
        <v>2154639</v>
      </c>
    </row>
    <row r="20" spans="1:28" ht="30.75" customHeight="1">
      <c r="A20" s="1044">
        <v>364001</v>
      </c>
      <c r="B20" s="1044" t="s">
        <v>704</v>
      </c>
      <c r="C20" s="1594">
        <f>'2-1-12 MFP Funded by site'!G58</f>
        <v>462</v>
      </c>
      <c r="D20" s="1595">
        <f t="shared" si="21"/>
        <v>3442.7546828904692</v>
      </c>
      <c r="E20" s="1595">
        <f t="shared" si="34"/>
        <v>1590553</v>
      </c>
      <c r="F20" s="1586">
        <v>746.0335616438357</v>
      </c>
      <c r="G20" s="1586">
        <f t="shared" si="35"/>
        <v>344667.50547945208</v>
      </c>
      <c r="H20" s="1587">
        <f t="shared" si="36"/>
        <v>1935220.5054794522</v>
      </c>
      <c r="I20" s="1587">
        <f>'[1]Midyear Adjustment Summary'!C137</f>
        <v>209439.41222671524</v>
      </c>
      <c r="J20" s="1587">
        <f>'[1]Midyear Adjustment Summary'!D137</f>
        <v>23038.335344938678</v>
      </c>
      <c r="K20" s="1587">
        <f t="shared" si="24"/>
        <v>232477.74757165392</v>
      </c>
      <c r="L20" s="1587">
        <f t="shared" si="25"/>
        <v>2167698.2530511059</v>
      </c>
      <c r="M20" s="1595">
        <f>'[2]Adjusted Amounts'!$C145+'[2]Adjusted Amounts'!$H145</f>
        <v>0</v>
      </c>
      <c r="N20" s="1597">
        <f t="shared" si="26"/>
        <v>2167698.2530511059</v>
      </c>
      <c r="O20" s="1586">
        <f>C20*$O$5</f>
        <v>1938552</v>
      </c>
      <c r="P20" s="1586"/>
      <c r="Q20" s="548">
        <v>50</v>
      </c>
      <c r="R20" s="1586">
        <f>Q20*$O$5</f>
        <v>209800</v>
      </c>
      <c r="S20" s="1243">
        <v>11</v>
      </c>
      <c r="T20" s="1586">
        <f>($O$5*0.5)*S20</f>
        <v>23078</v>
      </c>
      <c r="U20" s="1586">
        <f t="shared" si="27"/>
        <v>232878</v>
      </c>
      <c r="V20" s="1586">
        <f>O20+U20</f>
        <v>2171430</v>
      </c>
      <c r="W20" s="1586">
        <f t="shared" si="31"/>
        <v>-38000.025000000001</v>
      </c>
      <c r="X20" s="1586">
        <f t="shared" si="32"/>
        <v>-5428.5749999999998</v>
      </c>
      <c r="Y20" s="1586">
        <f t="shared" si="33"/>
        <v>-43428.6</v>
      </c>
      <c r="Z20" s="1586">
        <f t="shared" si="28"/>
        <v>2128001.4</v>
      </c>
      <c r="AA20" s="1586">
        <f>'[15]April 2012-13 Allocation'!AT16</f>
        <v>0</v>
      </c>
      <c r="AB20" s="1586">
        <f t="shared" si="29"/>
        <v>2128001.4</v>
      </c>
    </row>
    <row r="21" spans="1:28" ht="47.25" customHeight="1">
      <c r="A21" s="778">
        <v>366001</v>
      </c>
      <c r="B21" s="778" t="s">
        <v>1317</v>
      </c>
      <c r="C21" s="1594">
        <f>'2-1-12 MFP Funded by site'!G59</f>
        <v>103</v>
      </c>
      <c r="D21" s="1595">
        <f t="shared" si="21"/>
        <v>3442.7546828904692</v>
      </c>
      <c r="E21" s="1595">
        <f t="shared" si="34"/>
        <v>354604</v>
      </c>
      <c r="F21" s="1586">
        <v>746.0335616438357</v>
      </c>
      <c r="G21" s="1586">
        <f t="shared" si="35"/>
        <v>76841.456849315073</v>
      </c>
      <c r="H21" s="1587">
        <f t="shared" si="36"/>
        <v>431445.45684931509</v>
      </c>
      <c r="I21" s="1587">
        <f>'[1]Midyear Adjustment Summary'!C138</f>
        <v>117286.07084696053</v>
      </c>
      <c r="J21" s="1587">
        <f>'[1]Midyear Adjustment Summary'!D138</f>
        <v>-20943.941222671525</v>
      </c>
      <c r="K21" s="1587">
        <f t="shared" si="24"/>
        <v>96342.129624289009</v>
      </c>
      <c r="L21" s="1587">
        <f t="shared" si="25"/>
        <v>527787.58647360408</v>
      </c>
      <c r="M21" s="1595">
        <f>'[2]Adjusted Amounts'!$C146+'[2]Adjusted Amounts'!$H146</f>
        <v>0</v>
      </c>
      <c r="N21" s="1597">
        <f t="shared" si="26"/>
        <v>527787.58647360408</v>
      </c>
      <c r="O21" s="1586">
        <v>0</v>
      </c>
      <c r="P21" s="1586">
        <f>C21*$P$5</f>
        <v>503052</v>
      </c>
      <c r="Q21" s="548">
        <v>28</v>
      </c>
      <c r="R21" s="1586">
        <f>$P$5*Q21</f>
        <v>136752</v>
      </c>
      <c r="S21" s="1243">
        <v>-10</v>
      </c>
      <c r="T21" s="1586">
        <f>($P$5*0.5)*S21</f>
        <v>-24420</v>
      </c>
      <c r="U21" s="1586">
        <f t="shared" si="27"/>
        <v>112332</v>
      </c>
      <c r="V21" s="1586">
        <f>P21+U21</f>
        <v>615384</v>
      </c>
      <c r="W21" s="1586">
        <f t="shared" si="31"/>
        <v>-10769.220000000001</v>
      </c>
      <c r="X21" s="1586">
        <f t="shared" si="32"/>
        <v>-1538.46</v>
      </c>
      <c r="Y21" s="1586">
        <f t="shared" si="33"/>
        <v>-12307.68</v>
      </c>
      <c r="Z21" s="1586">
        <f t="shared" si="28"/>
        <v>603076.31999999995</v>
      </c>
      <c r="AA21" s="1586">
        <f>'[15]April 2012-13 Allocation'!AT17</f>
        <v>0</v>
      </c>
      <c r="AB21" s="1586">
        <f t="shared" si="29"/>
        <v>603076.31999999995</v>
      </c>
    </row>
    <row r="22" spans="1:28" ht="30.75" customHeight="1">
      <c r="A22" s="778">
        <v>367001</v>
      </c>
      <c r="B22" s="778" t="s">
        <v>1282</v>
      </c>
      <c r="C22" s="1594">
        <f>'2-1-12 MFP Funded by site'!G60</f>
        <v>364</v>
      </c>
      <c r="D22" s="1595">
        <f t="shared" si="21"/>
        <v>3442.7546828904692</v>
      </c>
      <c r="E22" s="1595">
        <f t="shared" si="34"/>
        <v>1253163</v>
      </c>
      <c r="F22" s="1586">
        <v>746.0335616438357</v>
      </c>
      <c r="G22" s="1586">
        <f t="shared" si="35"/>
        <v>271556.2164383562</v>
      </c>
      <c r="H22" s="1587">
        <f t="shared" si="36"/>
        <v>1524719.2164383563</v>
      </c>
      <c r="I22" s="1587">
        <f>'[1]Midyear Adjustment Summary'!C139</f>
        <v>37699.094200808744</v>
      </c>
      <c r="J22" s="1587">
        <f>'[1]Midyear Adjustment Summary'!D139</f>
        <v>41887.88244534305</v>
      </c>
      <c r="K22" s="1587">
        <f t="shared" si="24"/>
        <v>79586.976646151801</v>
      </c>
      <c r="L22" s="1587">
        <f t="shared" si="25"/>
        <v>1604306.1930845082</v>
      </c>
      <c r="M22" s="1595">
        <f>'[2]Adjusted Amounts'!$C147+'[2]Adjusted Amounts'!$H147</f>
        <v>-3307.3860911074221</v>
      </c>
      <c r="N22" s="1597">
        <f t="shared" si="26"/>
        <v>1600998.8069934007</v>
      </c>
      <c r="O22" s="1586">
        <f t="shared" ref="O22:O42" si="37">C22*$O$5</f>
        <v>1527344</v>
      </c>
      <c r="P22" s="1586"/>
      <c r="Q22" s="548">
        <v>9</v>
      </c>
      <c r="R22" s="1586">
        <f t="shared" ref="R22:R42" si="38">Q22*$O$5</f>
        <v>37764</v>
      </c>
      <c r="S22" s="1243">
        <v>20</v>
      </c>
      <c r="T22" s="1586">
        <f t="shared" ref="T22:T42" si="39">($O$5*0.5)*S22</f>
        <v>41960</v>
      </c>
      <c r="U22" s="1586">
        <f t="shared" si="27"/>
        <v>79724</v>
      </c>
      <c r="V22" s="1586">
        <f t="shared" ref="V22:V42" si="40">O22+U22</f>
        <v>1607068</v>
      </c>
      <c r="W22" s="1586">
        <f t="shared" si="31"/>
        <v>-28123.690000000002</v>
      </c>
      <c r="X22" s="1586">
        <f t="shared" si="32"/>
        <v>-4017.67</v>
      </c>
      <c r="Y22" s="1586">
        <f t="shared" si="33"/>
        <v>-32141.360000000001</v>
      </c>
      <c r="Z22" s="1586">
        <f t="shared" si="28"/>
        <v>1574926.64</v>
      </c>
      <c r="AA22" s="1586">
        <f>'[15]April 2012-13 Allocation'!AT18</f>
        <v>0</v>
      </c>
      <c r="AB22" s="1586">
        <f t="shared" si="29"/>
        <v>1574926.64</v>
      </c>
    </row>
    <row r="23" spans="1:28" ht="30.75" customHeight="1">
      <c r="A23" s="778">
        <v>368001</v>
      </c>
      <c r="B23" s="778" t="s">
        <v>1283</v>
      </c>
      <c r="C23" s="1594">
        <f>'2-1-12 MFP Funded by site'!G61</f>
        <v>200</v>
      </c>
      <c r="D23" s="1595">
        <f t="shared" si="21"/>
        <v>3442.7546828904692</v>
      </c>
      <c r="E23" s="1595">
        <f t="shared" si="34"/>
        <v>688551</v>
      </c>
      <c r="F23" s="1586">
        <v>746.0335616438357</v>
      </c>
      <c r="G23" s="1586">
        <f t="shared" si="35"/>
        <v>149206.71232876714</v>
      </c>
      <c r="H23" s="1587">
        <f t="shared" si="36"/>
        <v>837757.71232876717</v>
      </c>
      <c r="I23" s="1587">
        <f>'[1]Midyear Adjustment Summary'!C140</f>
        <v>234572.14169392106</v>
      </c>
      <c r="J23" s="1587">
        <f>'[1]Midyear Adjustment Summary'!D140</f>
        <v>12566.364733602913</v>
      </c>
      <c r="K23" s="1587">
        <f t="shared" si="24"/>
        <v>247138.50642752397</v>
      </c>
      <c r="L23" s="1587">
        <f t="shared" si="25"/>
        <v>1084896.2187562911</v>
      </c>
      <c r="M23" s="1595">
        <f>'[16]Adjusted Amounts'!$C$148+'[16]Adjusted Amounts'!$H$148+'[17]Adjusted Amounts'!$C$170+'[17]Adjusted Amounts'!$H$170+'[18]October midyear adj'!$M$11</f>
        <v>99938.363850611247</v>
      </c>
      <c r="N23" s="1597">
        <f t="shared" si="26"/>
        <v>1184834.5826069023</v>
      </c>
      <c r="O23" s="1586">
        <f t="shared" si="37"/>
        <v>839200</v>
      </c>
      <c r="P23" s="1586"/>
      <c r="Q23" s="548">
        <v>56</v>
      </c>
      <c r="R23" s="1586">
        <f t="shared" si="38"/>
        <v>234976</v>
      </c>
      <c r="S23" s="1243">
        <v>6</v>
      </c>
      <c r="T23" s="1586">
        <f t="shared" si="39"/>
        <v>12588</v>
      </c>
      <c r="U23" s="1586">
        <f t="shared" si="27"/>
        <v>247564</v>
      </c>
      <c r="V23" s="1586">
        <f t="shared" si="40"/>
        <v>1086764</v>
      </c>
      <c r="W23" s="1586">
        <f t="shared" si="31"/>
        <v>-19018.370000000003</v>
      </c>
      <c r="X23" s="1586">
        <f t="shared" si="32"/>
        <v>-2716.91</v>
      </c>
      <c r="Y23" s="1586">
        <f t="shared" si="33"/>
        <v>-21735.280000000002</v>
      </c>
      <c r="Z23" s="1586">
        <f t="shared" si="28"/>
        <v>1065028.72</v>
      </c>
      <c r="AA23" s="1586">
        <f>'[15]April 2012-13 Allocation'!AT19</f>
        <v>92468.5</v>
      </c>
      <c r="AB23" s="1586">
        <f t="shared" si="29"/>
        <v>1157497.22</v>
      </c>
    </row>
    <row r="24" spans="1:28" ht="25.5">
      <c r="A24" s="778">
        <v>369001</v>
      </c>
      <c r="B24" s="778" t="s">
        <v>1284</v>
      </c>
      <c r="C24" s="1594">
        <f>'2-1-12 MFP Funded by site'!G62</f>
        <v>581</v>
      </c>
      <c r="D24" s="1595">
        <f t="shared" si="21"/>
        <v>3442.7546828904692</v>
      </c>
      <c r="E24" s="1595">
        <f t="shared" si="34"/>
        <v>2000240</v>
      </c>
      <c r="F24" s="1586">
        <v>746.0335616438357</v>
      </c>
      <c r="G24" s="1586">
        <f t="shared" si="35"/>
        <v>433445.49931506853</v>
      </c>
      <c r="H24" s="1587">
        <f t="shared" si="36"/>
        <v>2433685.4993150686</v>
      </c>
      <c r="I24" s="1587">
        <f>'[1]Midyear Adjustment Summary'!C141</f>
        <v>175929.1062704408</v>
      </c>
      <c r="J24" s="1587">
        <f>'[1]Midyear Adjustment Summary'!D141</f>
        <v>58643.035423480265</v>
      </c>
      <c r="K24" s="1587">
        <f t="shared" si="24"/>
        <v>234572.14169392106</v>
      </c>
      <c r="L24" s="1587">
        <f t="shared" si="25"/>
        <v>2668257.6410089899</v>
      </c>
      <c r="M24" s="1595">
        <f>'[2]Adjusted Amounts'!$C149+'[2]Adjusted Amounts'!$H149</f>
        <v>-7464.7880192367847</v>
      </c>
      <c r="N24" s="1597">
        <f t="shared" si="26"/>
        <v>2660792.8529897532</v>
      </c>
      <c r="O24" s="1586">
        <f t="shared" si="37"/>
        <v>2437876</v>
      </c>
      <c r="P24" s="1586"/>
      <c r="Q24" s="548">
        <v>42</v>
      </c>
      <c r="R24" s="1586">
        <f t="shared" si="38"/>
        <v>176232</v>
      </c>
      <c r="S24" s="1243">
        <v>28</v>
      </c>
      <c r="T24" s="1586">
        <f t="shared" si="39"/>
        <v>58744</v>
      </c>
      <c r="U24" s="1586">
        <f t="shared" si="27"/>
        <v>234976</v>
      </c>
      <c r="V24" s="1586">
        <f t="shared" si="40"/>
        <v>2672852</v>
      </c>
      <c r="W24" s="1586">
        <f t="shared" si="31"/>
        <v>-46774.91</v>
      </c>
      <c r="X24" s="1586">
        <f t="shared" si="32"/>
        <v>-6682.13</v>
      </c>
      <c r="Y24" s="1586">
        <f t="shared" si="33"/>
        <v>-53457.04</v>
      </c>
      <c r="Z24" s="1586">
        <f t="shared" si="28"/>
        <v>2619394.96</v>
      </c>
      <c r="AA24" s="1586">
        <f>'[15]April 2012-13 Allocation'!AT20</f>
        <v>-6554.5</v>
      </c>
      <c r="AB24" s="1586">
        <f t="shared" si="29"/>
        <v>2612840.46</v>
      </c>
    </row>
    <row r="25" spans="1:28" ht="30.75" customHeight="1">
      <c r="A25" s="778">
        <v>369002</v>
      </c>
      <c r="B25" s="778" t="s">
        <v>1285</v>
      </c>
      <c r="C25" s="1594">
        <f>'2-1-12 MFP Funded by site'!G63</f>
        <v>608</v>
      </c>
      <c r="D25" s="1595">
        <f t="shared" si="21"/>
        <v>3442.7546828904692</v>
      </c>
      <c r="E25" s="1595">
        <f t="shared" si="34"/>
        <v>2093195</v>
      </c>
      <c r="F25" s="1586">
        <v>746.0335616438357</v>
      </c>
      <c r="G25" s="1586">
        <f t="shared" si="35"/>
        <v>453588.40547945211</v>
      </c>
      <c r="H25" s="1587">
        <f t="shared" si="36"/>
        <v>2546783.4054794521</v>
      </c>
      <c r="I25" s="1587">
        <f>'[1]Midyear Adjustment Summary'!C142</f>
        <v>201061.83573764662</v>
      </c>
      <c r="J25" s="1587">
        <f>'[1]Midyear Adjustment Summary'!D142</f>
        <v>-2094.3941222671524</v>
      </c>
      <c r="K25" s="1587">
        <f t="shared" si="24"/>
        <v>198967.44161537947</v>
      </c>
      <c r="L25" s="1587">
        <f t="shared" si="25"/>
        <v>2745750.8470948315</v>
      </c>
      <c r="M25" s="1595">
        <f>'[2]Adjusted Amounts'!$C150+'[2]Adjusted Amounts'!$H150</f>
        <v>-13507.625357002464</v>
      </c>
      <c r="N25" s="1597">
        <f t="shared" si="26"/>
        <v>2732243.221737829</v>
      </c>
      <c r="O25" s="1586">
        <f t="shared" si="37"/>
        <v>2551168</v>
      </c>
      <c r="P25" s="1586"/>
      <c r="Q25" s="548">
        <v>48</v>
      </c>
      <c r="R25" s="1586">
        <f t="shared" si="38"/>
        <v>201408</v>
      </c>
      <c r="S25" s="1243">
        <v>-1</v>
      </c>
      <c r="T25" s="1586">
        <f t="shared" si="39"/>
        <v>-2098</v>
      </c>
      <c r="U25" s="1586">
        <f t="shared" si="27"/>
        <v>199310</v>
      </c>
      <c r="V25" s="1586">
        <f t="shared" si="40"/>
        <v>2750478</v>
      </c>
      <c r="W25" s="1586">
        <f t="shared" si="31"/>
        <v>-48133.365000000005</v>
      </c>
      <c r="X25" s="1586">
        <f t="shared" si="32"/>
        <v>-6876.1949999999997</v>
      </c>
      <c r="Y25" s="1586">
        <f t="shared" si="33"/>
        <v>-55009.560000000005</v>
      </c>
      <c r="Z25" s="1586">
        <f t="shared" si="28"/>
        <v>2695468.44</v>
      </c>
      <c r="AA25" s="1586">
        <f>'[15]April 2012-13 Allocation'!AT21</f>
        <v>-4203</v>
      </c>
      <c r="AB25" s="1586">
        <f t="shared" si="29"/>
        <v>2691265.44</v>
      </c>
    </row>
    <row r="26" spans="1:28" ht="30.75" customHeight="1">
      <c r="A26" s="1044">
        <v>369003</v>
      </c>
      <c r="B26" s="1044" t="s">
        <v>650</v>
      </c>
      <c r="C26" s="1594">
        <f>'2-1-12 MFP Funded by site'!G64</f>
        <v>581</v>
      </c>
      <c r="D26" s="1595">
        <f t="shared" si="21"/>
        <v>3442.7546828904692</v>
      </c>
      <c r="E26" s="1595">
        <f t="shared" si="34"/>
        <v>2000240</v>
      </c>
      <c r="F26" s="1586">
        <v>746.0335616438357</v>
      </c>
      <c r="G26" s="1586">
        <f t="shared" si="35"/>
        <v>433445.49931506853</v>
      </c>
      <c r="H26" s="1587">
        <f t="shared" si="36"/>
        <v>2433685.4993150686</v>
      </c>
      <c r="I26" s="1587">
        <f>'[1]Midyear Adjustment Summary'!C143</f>
        <v>205250.62398218093</v>
      </c>
      <c r="J26" s="1587">
        <f>'[1]Midyear Adjustment Summary'!D143</f>
        <v>18849.547100404372</v>
      </c>
      <c r="K26" s="1587">
        <f t="shared" si="24"/>
        <v>224100.17108258529</v>
      </c>
      <c r="L26" s="1587">
        <f t="shared" si="25"/>
        <v>2657785.6703976537</v>
      </c>
      <c r="M26" s="1595">
        <f>'[2]Adjusted Amounts'!$C151+'[2]Adjusted Amounts'!$H151</f>
        <v>0</v>
      </c>
      <c r="N26" s="1597">
        <f t="shared" si="26"/>
        <v>2657785.6703976537</v>
      </c>
      <c r="O26" s="1586">
        <f t="shared" si="37"/>
        <v>2437876</v>
      </c>
      <c r="P26" s="1586"/>
      <c r="Q26" s="548">
        <v>49</v>
      </c>
      <c r="R26" s="1586">
        <f t="shared" si="38"/>
        <v>205604</v>
      </c>
      <c r="S26" s="1243">
        <v>9</v>
      </c>
      <c r="T26" s="1586">
        <f t="shared" si="39"/>
        <v>18882</v>
      </c>
      <c r="U26" s="1586">
        <f t="shared" si="27"/>
        <v>224486</v>
      </c>
      <c r="V26" s="1586">
        <f t="shared" si="40"/>
        <v>2662362</v>
      </c>
      <c r="W26" s="1586">
        <f t="shared" si="31"/>
        <v>-46591.335000000006</v>
      </c>
      <c r="X26" s="1586">
        <f t="shared" si="32"/>
        <v>-6655.9049999999997</v>
      </c>
      <c r="Y26" s="1586">
        <f t="shared" si="33"/>
        <v>-53247.240000000005</v>
      </c>
      <c r="Z26" s="1586">
        <f t="shared" si="28"/>
        <v>2609114.7599999998</v>
      </c>
      <c r="AA26" s="1586">
        <f>'[15]April 2012-13 Allocation'!AT22</f>
        <v>0</v>
      </c>
      <c r="AB26" s="1586">
        <f t="shared" si="29"/>
        <v>2609114.7599999998</v>
      </c>
    </row>
    <row r="27" spans="1:28" ht="30.75" customHeight="1">
      <c r="A27" s="1044">
        <v>369004</v>
      </c>
      <c r="B27" s="1044" t="s">
        <v>666</v>
      </c>
      <c r="C27" s="1594">
        <f>'2-1-12 MFP Funded by site'!G65</f>
        <v>157</v>
      </c>
      <c r="D27" s="1595">
        <f t="shared" si="21"/>
        <v>3442.7546828904692</v>
      </c>
      <c r="E27" s="1595">
        <f t="shared" si="34"/>
        <v>540512</v>
      </c>
      <c r="F27" s="1586">
        <v>746.0335616438357</v>
      </c>
      <c r="G27" s="1586">
        <f t="shared" si="35"/>
        <v>117127.26917808221</v>
      </c>
      <c r="H27" s="1587">
        <f t="shared" si="36"/>
        <v>657639.26917808224</v>
      </c>
      <c r="I27" s="1587">
        <f>'[1]Midyear Adjustment Summary'!C144</f>
        <v>142418.80031416635</v>
      </c>
      <c r="J27" s="1587">
        <f>'[1]Midyear Adjustment Summary'!D144</f>
        <v>-6283.1823668014567</v>
      </c>
      <c r="K27" s="1587">
        <f t="shared" si="24"/>
        <v>136135.6179473649</v>
      </c>
      <c r="L27" s="1587">
        <f t="shared" si="25"/>
        <v>793774.88712544716</v>
      </c>
      <c r="M27" s="1595">
        <f>'[2]Adjusted Amounts'!$C152+'[2]Adjusted Amounts'!$H152</f>
        <v>-19990.303288077288</v>
      </c>
      <c r="N27" s="1597">
        <f t="shared" si="26"/>
        <v>773784.58383736992</v>
      </c>
      <c r="O27" s="1586">
        <f t="shared" si="37"/>
        <v>658772</v>
      </c>
      <c r="P27" s="1586"/>
      <c r="Q27" s="548">
        <v>34</v>
      </c>
      <c r="R27" s="1586">
        <f t="shared" si="38"/>
        <v>142664</v>
      </c>
      <c r="S27" s="1243">
        <v>-3</v>
      </c>
      <c r="T27" s="1586">
        <f t="shared" si="39"/>
        <v>-6294</v>
      </c>
      <c r="U27" s="1586">
        <f t="shared" si="27"/>
        <v>136370</v>
      </c>
      <c r="V27" s="1586">
        <f t="shared" si="40"/>
        <v>795142</v>
      </c>
      <c r="W27" s="1586">
        <f t="shared" si="31"/>
        <v>-13914.985000000001</v>
      </c>
      <c r="X27" s="1586">
        <f t="shared" si="32"/>
        <v>-1987.855</v>
      </c>
      <c r="Y27" s="1586">
        <f t="shared" si="33"/>
        <v>-15902.84</v>
      </c>
      <c r="Z27" s="1586">
        <f t="shared" si="28"/>
        <v>779239.16</v>
      </c>
      <c r="AA27" s="1586">
        <f>'[15]April 2012-13 Allocation'!AT23</f>
        <v>-21015</v>
      </c>
      <c r="AB27" s="1586">
        <f t="shared" si="29"/>
        <v>758224.16</v>
      </c>
    </row>
    <row r="28" spans="1:28" ht="30.75" customHeight="1">
      <c r="A28" s="1044">
        <v>369005</v>
      </c>
      <c r="B28" s="1044" t="s">
        <v>667</v>
      </c>
      <c r="C28" s="1594">
        <f>'2-1-12 MFP Funded by site'!G66</f>
        <v>139</v>
      </c>
      <c r="D28" s="1595">
        <f t="shared" si="21"/>
        <v>3442.7546828904692</v>
      </c>
      <c r="E28" s="1595">
        <f t="shared" si="34"/>
        <v>478543</v>
      </c>
      <c r="F28" s="1586">
        <v>746.0335616438357</v>
      </c>
      <c r="G28" s="1586">
        <f t="shared" si="35"/>
        <v>103698.66506849317</v>
      </c>
      <c r="H28" s="1587">
        <f t="shared" si="36"/>
        <v>582241.66506849322</v>
      </c>
      <c r="I28" s="1587">
        <f>'[1]Midyear Adjustment Summary'!C145</f>
        <v>163362.74153683789</v>
      </c>
      <c r="J28" s="1587">
        <f>'[1]Midyear Adjustment Summary'!D145</f>
        <v>4188.7882445343048</v>
      </c>
      <c r="K28" s="1587">
        <f t="shared" si="24"/>
        <v>167551.5297813722</v>
      </c>
      <c r="L28" s="1587">
        <f t="shared" si="25"/>
        <v>749793.19484986539</v>
      </c>
      <c r="M28" s="1595">
        <f>'[2]Adjusted Amounts'!$C153+'[2]Adjusted Amounts'!$H153</f>
        <v>0</v>
      </c>
      <c r="N28" s="1597">
        <f t="shared" si="26"/>
        <v>749793.19484986539</v>
      </c>
      <c r="O28" s="1586">
        <f t="shared" si="37"/>
        <v>583244</v>
      </c>
      <c r="P28" s="1586"/>
      <c r="Q28" s="548">
        <v>39</v>
      </c>
      <c r="R28" s="1586">
        <f t="shared" si="38"/>
        <v>163644</v>
      </c>
      <c r="S28" s="1243">
        <v>2</v>
      </c>
      <c r="T28" s="1586">
        <f t="shared" si="39"/>
        <v>4196</v>
      </c>
      <c r="U28" s="1586">
        <f t="shared" si="27"/>
        <v>167840</v>
      </c>
      <c r="V28" s="1586">
        <f t="shared" si="40"/>
        <v>751084</v>
      </c>
      <c r="W28" s="1586">
        <f t="shared" si="31"/>
        <v>-13143.970000000001</v>
      </c>
      <c r="X28" s="1586">
        <f t="shared" si="32"/>
        <v>-1877.71</v>
      </c>
      <c r="Y28" s="1586">
        <f t="shared" si="33"/>
        <v>-15021.68</v>
      </c>
      <c r="Z28" s="1586">
        <f t="shared" si="28"/>
        <v>736062.32</v>
      </c>
      <c r="AA28" s="1586">
        <f>'[15]April 2012-13 Allocation'!AT24</f>
        <v>0</v>
      </c>
      <c r="AB28" s="1586">
        <f t="shared" si="29"/>
        <v>736062.32</v>
      </c>
    </row>
    <row r="29" spans="1:28" ht="30.75" customHeight="1">
      <c r="A29" s="1044">
        <v>373001</v>
      </c>
      <c r="B29" s="1044" t="s">
        <v>1286</v>
      </c>
      <c r="C29" s="1594">
        <f>'2-1-12 MFP Funded by site'!G67</f>
        <v>310</v>
      </c>
      <c r="D29" s="1595">
        <f t="shared" si="21"/>
        <v>3442.7546828904692</v>
      </c>
      <c r="E29" s="1595">
        <f t="shared" si="22"/>
        <v>1067254</v>
      </c>
      <c r="F29" s="1586">
        <v>746.0335616438357</v>
      </c>
      <c r="G29" s="1586">
        <f t="shared" si="23"/>
        <v>231270.40410958906</v>
      </c>
      <c r="H29" s="1587">
        <f t="shared" si="30"/>
        <v>1298524.4041095891</v>
      </c>
      <c r="I29" s="1587">
        <f>'[1]Midyear Adjustment Summary'!C146</f>
        <v>322536.69482914149</v>
      </c>
      <c r="J29" s="1587">
        <f>'[1]Midyear Adjustment Summary'!D146</f>
        <v>25132.729467205827</v>
      </c>
      <c r="K29" s="1587">
        <f t="shared" si="24"/>
        <v>347669.42429634731</v>
      </c>
      <c r="L29" s="1587">
        <f t="shared" si="25"/>
        <v>1646193.8284059362</v>
      </c>
      <c r="M29" s="1596">
        <f>'[2]Adjusted Amounts'!$C154+'[2]Adjusted Amounts'!$H154</f>
        <v>0</v>
      </c>
      <c r="N29" s="1597">
        <f t="shared" si="26"/>
        <v>1646193.8284059362</v>
      </c>
      <c r="O29" s="1586">
        <f t="shared" si="37"/>
        <v>1300760</v>
      </c>
      <c r="P29" s="1586"/>
      <c r="Q29" s="548">
        <v>77</v>
      </c>
      <c r="R29" s="1586">
        <f t="shared" si="38"/>
        <v>323092</v>
      </c>
      <c r="S29" s="1243">
        <v>12</v>
      </c>
      <c r="T29" s="1586">
        <f t="shared" si="39"/>
        <v>25176</v>
      </c>
      <c r="U29" s="1586">
        <f t="shared" si="27"/>
        <v>348268</v>
      </c>
      <c r="V29" s="1586">
        <f t="shared" si="40"/>
        <v>1649028</v>
      </c>
      <c r="W29" s="1586">
        <f t="shared" si="31"/>
        <v>-28857.99</v>
      </c>
      <c r="X29" s="1586">
        <f t="shared" si="32"/>
        <v>-4122.57</v>
      </c>
      <c r="Y29" s="1586">
        <f t="shared" si="33"/>
        <v>-32980.559999999998</v>
      </c>
      <c r="Z29" s="1586">
        <f t="shared" si="28"/>
        <v>1616047.44</v>
      </c>
      <c r="AA29" s="1586">
        <f>'[15]April 2012-13 Allocation'!AT25</f>
        <v>0</v>
      </c>
      <c r="AB29" s="1586">
        <f t="shared" si="29"/>
        <v>1616047.44</v>
      </c>
    </row>
    <row r="30" spans="1:28" ht="30.75" customHeight="1">
      <c r="A30" s="1044">
        <v>374001</v>
      </c>
      <c r="B30" s="1044" t="s">
        <v>605</v>
      </c>
      <c r="C30" s="1594">
        <f>'2-1-12 MFP Funded by site'!G68</f>
        <v>383</v>
      </c>
      <c r="D30" s="1595">
        <f t="shared" si="21"/>
        <v>3442.7546828904692</v>
      </c>
      <c r="E30" s="1595">
        <f t="shared" si="22"/>
        <v>1318575</v>
      </c>
      <c r="F30" s="1586">
        <v>746.0335616438357</v>
      </c>
      <c r="G30" s="1586">
        <f t="shared" si="23"/>
        <v>285730.85410958907</v>
      </c>
      <c r="H30" s="1587">
        <f t="shared" si="30"/>
        <v>1604305.854109589</v>
      </c>
      <c r="I30" s="1587">
        <f>'[1]Midyear Adjustment Summary'!C147</f>
        <v>113097.28260242623</v>
      </c>
      <c r="J30" s="1587">
        <f>'[1]Midyear Adjustment Summary'!D147</f>
        <v>-16755.152978137219</v>
      </c>
      <c r="K30" s="1587">
        <f t="shared" si="24"/>
        <v>96342.129624289009</v>
      </c>
      <c r="L30" s="1587">
        <f t="shared" si="25"/>
        <v>1700647.983733878</v>
      </c>
      <c r="M30" s="1595">
        <f>'[2]Adjusted Amounts'!$C155+'[2]Adjusted Amounts'!$H155</f>
        <v>-1557.5542760045093</v>
      </c>
      <c r="N30" s="1597">
        <f t="shared" si="26"/>
        <v>1699090.4294578736</v>
      </c>
      <c r="O30" s="1586">
        <f t="shared" si="37"/>
        <v>1607068</v>
      </c>
      <c r="P30" s="1586"/>
      <c r="Q30" s="548">
        <v>27</v>
      </c>
      <c r="R30" s="1586">
        <f t="shared" si="38"/>
        <v>113292</v>
      </c>
      <c r="S30" s="1243">
        <v>-8</v>
      </c>
      <c r="T30" s="1586">
        <f t="shared" si="39"/>
        <v>-16784</v>
      </c>
      <c r="U30" s="1586">
        <f t="shared" si="27"/>
        <v>96508</v>
      </c>
      <c r="V30" s="1586">
        <f t="shared" si="40"/>
        <v>1703576</v>
      </c>
      <c r="W30" s="1586">
        <f t="shared" si="31"/>
        <v>-29812.58</v>
      </c>
      <c r="X30" s="1586">
        <f t="shared" si="32"/>
        <v>-4258.9400000000005</v>
      </c>
      <c r="Y30" s="1586">
        <f t="shared" si="33"/>
        <v>-34071.520000000004</v>
      </c>
      <c r="Z30" s="1586">
        <f t="shared" si="28"/>
        <v>1669504.48</v>
      </c>
      <c r="AA30" s="1586">
        <f>'[15]April 2012-13 Allocation'!AT26</f>
        <v>-2051.5</v>
      </c>
      <c r="AB30" s="1586">
        <f t="shared" si="29"/>
        <v>1667452.98</v>
      </c>
    </row>
    <row r="31" spans="1:28" ht="30.75" customHeight="1">
      <c r="A31" s="1044">
        <v>375001</v>
      </c>
      <c r="B31" s="1044" t="s">
        <v>1287</v>
      </c>
      <c r="C31" s="1594">
        <f>'2-1-12 MFP Funded by site'!G69</f>
        <v>304</v>
      </c>
      <c r="D31" s="1595">
        <f t="shared" si="21"/>
        <v>3442.7546828904692</v>
      </c>
      <c r="E31" s="1595">
        <f t="shared" si="22"/>
        <v>1046597</v>
      </c>
      <c r="F31" s="1586">
        <v>746.0335616438357</v>
      </c>
      <c r="G31" s="1586">
        <f t="shared" si="23"/>
        <v>226794.20273972605</v>
      </c>
      <c r="H31" s="1587">
        <f t="shared" si="30"/>
        <v>1273391.2027397261</v>
      </c>
      <c r="I31" s="1587">
        <f>'[1]Midyear Adjustment Summary'!C148</f>
        <v>150796.37680323498</v>
      </c>
      <c r="J31" s="1587">
        <f>'[1]Midyear Adjustment Summary'!D148</f>
        <v>12566.364733602913</v>
      </c>
      <c r="K31" s="1587">
        <f t="shared" si="24"/>
        <v>163362.74153683789</v>
      </c>
      <c r="L31" s="1587">
        <f t="shared" si="25"/>
        <v>1436753.9442765638</v>
      </c>
      <c r="M31" s="1595">
        <f>'[2]Adjusted Amounts'!$C156+'[2]Adjusted Amounts'!$H156</f>
        <v>-6188.2250055857421</v>
      </c>
      <c r="N31" s="1597">
        <f t="shared" si="26"/>
        <v>1430565.7192709781</v>
      </c>
      <c r="O31" s="1586">
        <f t="shared" si="37"/>
        <v>1275584</v>
      </c>
      <c r="P31" s="1586"/>
      <c r="Q31" s="548">
        <v>36</v>
      </c>
      <c r="R31" s="1586">
        <f t="shared" si="38"/>
        <v>151056</v>
      </c>
      <c r="S31" s="1243">
        <v>6</v>
      </c>
      <c r="T31" s="1586">
        <f t="shared" si="39"/>
        <v>12588</v>
      </c>
      <c r="U31" s="1586">
        <f t="shared" si="27"/>
        <v>163644</v>
      </c>
      <c r="V31" s="1586">
        <f t="shared" si="40"/>
        <v>1439228</v>
      </c>
      <c r="W31" s="1586">
        <f t="shared" si="31"/>
        <v>-25186.49</v>
      </c>
      <c r="X31" s="1586">
        <f t="shared" si="32"/>
        <v>-3598.07</v>
      </c>
      <c r="Y31" s="1586">
        <f t="shared" si="33"/>
        <v>-28784.560000000001</v>
      </c>
      <c r="Z31" s="1586">
        <f t="shared" si="28"/>
        <v>1410443.44</v>
      </c>
      <c r="AA31" s="1586">
        <f>'[15]April 2012-13 Allocation'!AT27</f>
        <v>-2051.5</v>
      </c>
      <c r="AB31" s="1586">
        <f t="shared" si="29"/>
        <v>1408391.94</v>
      </c>
    </row>
    <row r="32" spans="1:28" ht="30.75" customHeight="1">
      <c r="A32" s="1044">
        <v>376001</v>
      </c>
      <c r="B32" s="1044" t="s">
        <v>1288</v>
      </c>
      <c r="C32" s="1594">
        <f>'2-1-12 MFP Funded by site'!G70</f>
        <v>253</v>
      </c>
      <c r="D32" s="1595">
        <f t="shared" si="21"/>
        <v>3442.7546828904692</v>
      </c>
      <c r="E32" s="1595">
        <f t="shared" si="22"/>
        <v>871017</v>
      </c>
      <c r="F32" s="1586">
        <v>746.0335616438357</v>
      </c>
      <c r="G32" s="1586">
        <f t="shared" si="23"/>
        <v>188746.49109589044</v>
      </c>
      <c r="H32" s="1587">
        <f t="shared" si="30"/>
        <v>1059763.4910958905</v>
      </c>
      <c r="I32" s="1587">
        <f>'[1]Midyear Adjustment Summary'!C149</f>
        <v>293215.17711740133</v>
      </c>
      <c r="J32" s="1587">
        <f>'[1]Midyear Adjustment Summary'!D149</f>
        <v>-12566.364733602913</v>
      </c>
      <c r="K32" s="1587">
        <f t="shared" si="24"/>
        <v>280648.81238379842</v>
      </c>
      <c r="L32" s="1587">
        <f t="shared" si="25"/>
        <v>1340412.3034796889</v>
      </c>
      <c r="M32" s="1595">
        <f>'[2]Adjusted Amounts'!$C157+'[2]Adjusted Amounts'!$H157</f>
        <v>0</v>
      </c>
      <c r="N32" s="1597">
        <f t="shared" si="26"/>
        <v>1340412.3034796889</v>
      </c>
      <c r="O32" s="1586">
        <f t="shared" si="37"/>
        <v>1061588</v>
      </c>
      <c r="P32" s="1586"/>
      <c r="Q32" s="548">
        <v>70</v>
      </c>
      <c r="R32" s="1586">
        <f t="shared" si="38"/>
        <v>293720</v>
      </c>
      <c r="S32" s="1243">
        <v>-6</v>
      </c>
      <c r="T32" s="1586">
        <f t="shared" si="39"/>
        <v>-12588</v>
      </c>
      <c r="U32" s="1586">
        <f t="shared" si="27"/>
        <v>281132</v>
      </c>
      <c r="V32" s="1586">
        <f t="shared" si="40"/>
        <v>1342720</v>
      </c>
      <c r="W32" s="1586">
        <f t="shared" si="31"/>
        <v>-23497.600000000002</v>
      </c>
      <c r="X32" s="1586">
        <f t="shared" si="32"/>
        <v>-3356.8</v>
      </c>
      <c r="Y32" s="1586">
        <f t="shared" si="33"/>
        <v>-26854.400000000001</v>
      </c>
      <c r="Z32" s="1586">
        <f t="shared" si="28"/>
        <v>1315865.6000000001</v>
      </c>
      <c r="AA32" s="1586">
        <f>'[15]April 2012-13 Allocation'!AT28</f>
        <v>0</v>
      </c>
      <c r="AB32" s="1586">
        <f t="shared" si="29"/>
        <v>1315865.6000000001</v>
      </c>
    </row>
    <row r="33" spans="1:28" ht="30.75" customHeight="1">
      <c r="A33" s="778">
        <v>379001</v>
      </c>
      <c r="B33" s="778" t="s">
        <v>1289</v>
      </c>
      <c r="C33" s="1594">
        <f>'2-1-12 MFP Funded by site'!G71</f>
        <v>210</v>
      </c>
      <c r="D33" s="1595">
        <f t="shared" si="21"/>
        <v>3442.7546828904692</v>
      </c>
      <c r="E33" s="1595">
        <f t="shared" si="22"/>
        <v>722978</v>
      </c>
      <c r="F33" s="1586">
        <v>926.66296296296309</v>
      </c>
      <c r="G33" s="1586">
        <f t="shared" si="23"/>
        <v>194599.22222222225</v>
      </c>
      <c r="H33" s="1587">
        <f t="shared" si="30"/>
        <v>917577.22222222225</v>
      </c>
      <c r="I33" s="1587">
        <f>'[1]Midyear Adjustment Summary'!C150</f>
        <v>139821.36466730983</v>
      </c>
      <c r="J33" s="1587">
        <f>'[1]Midyear Adjustment Summary'!D150</f>
        <v>24031.797052193877</v>
      </c>
      <c r="K33" s="1587">
        <f t="shared" si="24"/>
        <v>163853.1617195037</v>
      </c>
      <c r="L33" s="1587">
        <f t="shared" si="25"/>
        <v>1081430.3839417258</v>
      </c>
      <c r="M33" s="1595">
        <f>'[2]Adjusted Amounts'!$C158+'[2]Adjusted Amounts'!$H158</f>
        <v>-57.764957735931603</v>
      </c>
      <c r="N33" s="1597">
        <f t="shared" si="26"/>
        <v>1081372.6189839898</v>
      </c>
      <c r="O33" s="1586">
        <f t="shared" si="37"/>
        <v>881160</v>
      </c>
      <c r="P33" s="1586"/>
      <c r="Q33" s="548">
        <v>32</v>
      </c>
      <c r="R33" s="1586">
        <f t="shared" si="38"/>
        <v>134272</v>
      </c>
      <c r="S33" s="1243">
        <v>11</v>
      </c>
      <c r="T33" s="1586">
        <f t="shared" si="39"/>
        <v>23078</v>
      </c>
      <c r="U33" s="1586">
        <f t="shared" si="27"/>
        <v>157350</v>
      </c>
      <c r="V33" s="1586">
        <f t="shared" si="40"/>
        <v>1038510</v>
      </c>
      <c r="W33" s="1586">
        <f t="shared" si="31"/>
        <v>-18173.925000000003</v>
      </c>
      <c r="X33" s="1586">
        <f t="shared" si="32"/>
        <v>-2596.2750000000001</v>
      </c>
      <c r="Y33" s="1586">
        <f t="shared" si="33"/>
        <v>-20770.200000000004</v>
      </c>
      <c r="Z33" s="1586">
        <f t="shared" si="28"/>
        <v>1017739.8</v>
      </c>
      <c r="AA33" s="1586">
        <f>'[15]April 2012-13 Allocation'!AT29</f>
        <v>-100</v>
      </c>
      <c r="AB33" s="1586">
        <f t="shared" si="29"/>
        <v>1017639.8</v>
      </c>
    </row>
    <row r="34" spans="1:28" ht="30.75" customHeight="1">
      <c r="A34" s="778">
        <v>380001</v>
      </c>
      <c r="B34" s="778" t="s">
        <v>1290</v>
      </c>
      <c r="C34" s="1594">
        <f>'2-1-12 MFP Funded by site'!G72</f>
        <v>419</v>
      </c>
      <c r="D34" s="1595">
        <f t="shared" si="21"/>
        <v>3442.7546828904692</v>
      </c>
      <c r="E34" s="1595">
        <f t="shared" si="22"/>
        <v>1442514</v>
      </c>
      <c r="F34" s="1586">
        <v>744.77798165137619</v>
      </c>
      <c r="G34" s="1586">
        <f t="shared" si="23"/>
        <v>312061.97431192663</v>
      </c>
      <c r="H34" s="1587">
        <f t="shared" si="30"/>
        <v>1754575.9743119266</v>
      </c>
      <c r="I34" s="1587">
        <f>'[1]Midyear Adjustment Summary'!C151</f>
        <v>-142376.11059442273</v>
      </c>
      <c r="J34" s="1587">
        <f>'[1]Midyear Adjustment Summary'!D151</f>
        <v>-2093.7663322709227</v>
      </c>
      <c r="K34" s="1587">
        <f t="shared" si="24"/>
        <v>-144469.87692669366</v>
      </c>
      <c r="L34" s="1587">
        <f t="shared" si="25"/>
        <v>1610106.097385233</v>
      </c>
      <c r="M34" s="1595">
        <f>'[2]Adjusted Amounts'!$C159+'[2]Adjusted Amounts'!$H159</f>
        <v>0</v>
      </c>
      <c r="N34" s="1597">
        <f t="shared" si="26"/>
        <v>1610106.097385233</v>
      </c>
      <c r="O34" s="1586">
        <f t="shared" si="37"/>
        <v>1758124</v>
      </c>
      <c r="P34" s="1586"/>
      <c r="Q34" s="548">
        <v>-34</v>
      </c>
      <c r="R34" s="1586">
        <f t="shared" si="38"/>
        <v>-142664</v>
      </c>
      <c r="S34" s="1243">
        <v>-1</v>
      </c>
      <c r="T34" s="1586">
        <f t="shared" si="39"/>
        <v>-2098</v>
      </c>
      <c r="U34" s="1586">
        <f t="shared" si="27"/>
        <v>-144762</v>
      </c>
      <c r="V34" s="1586">
        <f t="shared" si="40"/>
        <v>1613362</v>
      </c>
      <c r="W34" s="1586">
        <f t="shared" si="31"/>
        <v>-28233.835000000003</v>
      </c>
      <c r="X34" s="1586">
        <f t="shared" si="32"/>
        <v>-4033.4050000000002</v>
      </c>
      <c r="Y34" s="1586">
        <f t="shared" si="33"/>
        <v>-32267.24</v>
      </c>
      <c r="Z34" s="1586">
        <f t="shared" si="28"/>
        <v>1581094.76</v>
      </c>
      <c r="AA34" s="1586">
        <f>'[15]April 2012-13 Allocation'!AT30</f>
        <v>0</v>
      </c>
      <c r="AB34" s="1586">
        <f t="shared" si="29"/>
        <v>1581094.76</v>
      </c>
    </row>
    <row r="35" spans="1:28" ht="33" customHeight="1">
      <c r="A35" s="1269">
        <v>381001</v>
      </c>
      <c r="B35" s="1269" t="s">
        <v>1076</v>
      </c>
      <c r="C35" s="1600">
        <f>'2-1-12 MFP Funded by site'!G73</f>
        <v>308</v>
      </c>
      <c r="D35" s="1601">
        <f t="shared" si="21"/>
        <v>3442.7546828904692</v>
      </c>
      <c r="E35" s="1601">
        <f t="shared" si="22"/>
        <v>1060368</v>
      </c>
      <c r="F35" s="1602">
        <v>743.65689655172423</v>
      </c>
      <c r="G35" s="1586">
        <f t="shared" si="23"/>
        <v>229046.32413793105</v>
      </c>
      <c r="H35" s="1587">
        <f t="shared" si="30"/>
        <v>1289414.324137931</v>
      </c>
      <c r="I35" s="1587">
        <f>'[1]Midyear Adjustment Summary'!C152</f>
        <v>322353.69161704887</v>
      </c>
      <c r="J35" s="1587">
        <f>'[1]Midyear Adjustment Summary'!D152</f>
        <v>-8372.8231588843864</v>
      </c>
      <c r="K35" s="1587">
        <f t="shared" si="24"/>
        <v>313980.86845816451</v>
      </c>
      <c r="L35" s="1587">
        <f t="shared" si="25"/>
        <v>1603395.1925960956</v>
      </c>
      <c r="M35" s="1595">
        <f>'[2]Adjusted Amounts'!$C160+'[2]Adjusted Amounts'!$H160</f>
        <v>0</v>
      </c>
      <c r="N35" s="1597">
        <f t="shared" si="26"/>
        <v>1603395.1925960956</v>
      </c>
      <c r="O35" s="1586">
        <f t="shared" si="37"/>
        <v>1292368</v>
      </c>
      <c r="P35" s="1586"/>
      <c r="Q35" s="548">
        <v>77</v>
      </c>
      <c r="R35" s="1586">
        <f t="shared" si="38"/>
        <v>323092</v>
      </c>
      <c r="S35" s="1243">
        <v>-4</v>
      </c>
      <c r="T35" s="1586">
        <f t="shared" si="39"/>
        <v>-8392</v>
      </c>
      <c r="U35" s="1586">
        <f t="shared" si="27"/>
        <v>314700</v>
      </c>
      <c r="V35" s="1586">
        <f t="shared" si="40"/>
        <v>1607068</v>
      </c>
      <c r="W35" s="1586">
        <f t="shared" si="31"/>
        <v>-28123.690000000002</v>
      </c>
      <c r="X35" s="1586">
        <f t="shared" si="32"/>
        <v>-4017.67</v>
      </c>
      <c r="Y35" s="1586">
        <f t="shared" si="33"/>
        <v>-32141.360000000001</v>
      </c>
      <c r="Z35" s="1586">
        <f t="shared" si="28"/>
        <v>1574926.64</v>
      </c>
      <c r="AA35" s="1586">
        <f>'[15]April 2012-13 Allocation'!AT31</f>
        <v>0</v>
      </c>
      <c r="AB35" s="1586">
        <f t="shared" si="29"/>
        <v>1574926.64</v>
      </c>
    </row>
    <row r="36" spans="1:28" ht="30.75" customHeight="1">
      <c r="A36" s="778">
        <v>382001</v>
      </c>
      <c r="B36" s="778" t="s">
        <v>1184</v>
      </c>
      <c r="C36" s="1594">
        <f>'2-1-12 MFP Funded by site'!G74</f>
        <v>336</v>
      </c>
      <c r="D36" s="1595">
        <f t="shared" si="21"/>
        <v>3442.7546828904692</v>
      </c>
      <c r="E36" s="1595">
        <f t="shared" si="22"/>
        <v>1156766</v>
      </c>
      <c r="F36" s="1586">
        <v>783.54939759036142</v>
      </c>
      <c r="G36" s="1586">
        <f t="shared" si="23"/>
        <v>263272.59759036143</v>
      </c>
      <c r="H36" s="1587">
        <f t="shared" si="30"/>
        <v>1420038.5975903615</v>
      </c>
      <c r="I36" s="1587">
        <f>'[1]Midyear Adjustment Summary'!C153</f>
        <v>131015.42649490575</v>
      </c>
      <c r="J36" s="1587">
        <f>'[1]Midyear Adjustment Summary'!D153</f>
        <v>71847.169368174116</v>
      </c>
      <c r="K36" s="1587">
        <f t="shared" si="24"/>
        <v>202862.59586307989</v>
      </c>
      <c r="L36" s="1587">
        <f t="shared" si="25"/>
        <v>1622901.1934534414</v>
      </c>
      <c r="M36" s="1595">
        <f>'[2]Adjusted Amounts'!$C161+'[2]Adjusted Amounts'!$H161</f>
        <v>-1017.172158089008</v>
      </c>
      <c r="N36" s="1597">
        <f t="shared" si="26"/>
        <v>1621884.0212953524</v>
      </c>
      <c r="O36" s="1586">
        <f t="shared" si="37"/>
        <v>1409856</v>
      </c>
      <c r="P36" s="1586"/>
      <c r="Q36" s="548">
        <v>31</v>
      </c>
      <c r="R36" s="1586">
        <f t="shared" si="38"/>
        <v>130076</v>
      </c>
      <c r="S36" s="1243">
        <v>34</v>
      </c>
      <c r="T36" s="1586">
        <f t="shared" si="39"/>
        <v>71332</v>
      </c>
      <c r="U36" s="1586">
        <f t="shared" si="27"/>
        <v>201408</v>
      </c>
      <c r="V36" s="1586">
        <f t="shared" si="40"/>
        <v>1611264</v>
      </c>
      <c r="W36" s="1586">
        <f t="shared" si="31"/>
        <v>-28197.120000000003</v>
      </c>
      <c r="X36" s="1586">
        <f t="shared" si="32"/>
        <v>-4028.1600000000003</v>
      </c>
      <c r="Y36" s="1586">
        <f t="shared" si="33"/>
        <v>-32225.280000000002</v>
      </c>
      <c r="Z36" s="1586">
        <f t="shared" si="28"/>
        <v>1579038.72</v>
      </c>
      <c r="AA36" s="1586">
        <f>'[15]April 2012-13 Allocation'!AT32</f>
        <v>-4103</v>
      </c>
      <c r="AB36" s="1586">
        <f t="shared" si="29"/>
        <v>1574935.72</v>
      </c>
    </row>
    <row r="37" spans="1:28" ht="33" customHeight="1">
      <c r="A37" s="1046">
        <v>382002</v>
      </c>
      <c r="B37" s="1046" t="s">
        <v>1182</v>
      </c>
      <c r="C37" s="1599">
        <v>120</v>
      </c>
      <c r="D37" s="1595">
        <f t="shared" si="21"/>
        <v>3442.7546828904692</v>
      </c>
      <c r="E37" s="1595">
        <f t="shared" ref="E37:E38" si="41">ROUND(C37*D37,0)</f>
        <v>413131</v>
      </c>
      <c r="F37" s="1586">
        <v>746.0335616438357</v>
      </c>
      <c r="G37" s="1586">
        <f t="shared" ref="G37:G38" si="42">F37*C37</f>
        <v>89524.027397260288</v>
      </c>
      <c r="H37" s="1587">
        <f t="shared" ref="H37:H38" si="43">E37+G37</f>
        <v>502655.0273972603</v>
      </c>
      <c r="I37" s="1587">
        <f>'[1]Midyear Adjustment Summary'!C154</f>
        <v>-71209.400157083175</v>
      </c>
      <c r="J37" s="1587">
        <f>'[1]Midyear Adjustment Summary'!D154</f>
        <v>4188.7882445343048</v>
      </c>
      <c r="K37" s="1587">
        <f t="shared" si="24"/>
        <v>-67020.611912548877</v>
      </c>
      <c r="L37" s="1587">
        <f t="shared" si="25"/>
        <v>435634.41548471141</v>
      </c>
      <c r="M37" s="1595">
        <v>0</v>
      </c>
      <c r="N37" s="1597">
        <f t="shared" si="26"/>
        <v>435634.41548471141</v>
      </c>
      <c r="O37" s="1586">
        <f t="shared" si="37"/>
        <v>503520</v>
      </c>
      <c r="P37" s="1586"/>
      <c r="Q37" s="548">
        <v>-17</v>
      </c>
      <c r="R37" s="1586">
        <f t="shared" si="38"/>
        <v>-71332</v>
      </c>
      <c r="S37" s="1243">
        <v>2</v>
      </c>
      <c r="T37" s="1586">
        <f t="shared" si="39"/>
        <v>4196</v>
      </c>
      <c r="U37" s="1586">
        <f t="shared" si="27"/>
        <v>-67136</v>
      </c>
      <c r="V37" s="1586">
        <f t="shared" si="40"/>
        <v>436384</v>
      </c>
      <c r="W37" s="1586">
        <f t="shared" si="31"/>
        <v>-7636.7200000000012</v>
      </c>
      <c r="X37" s="1586">
        <f t="shared" si="32"/>
        <v>-1090.96</v>
      </c>
      <c r="Y37" s="1586">
        <f t="shared" si="33"/>
        <v>-8727.68</v>
      </c>
      <c r="Z37" s="1586">
        <f t="shared" si="28"/>
        <v>427656.32</v>
      </c>
      <c r="AA37" s="1586">
        <f>'[15]April 2012-13 Allocation'!AT33</f>
        <v>0</v>
      </c>
      <c r="AB37" s="1586">
        <f t="shared" si="29"/>
        <v>427656.32</v>
      </c>
    </row>
    <row r="38" spans="1:28" ht="33" customHeight="1">
      <c r="A38" s="1046">
        <v>382003</v>
      </c>
      <c r="B38" s="1046" t="s">
        <v>1183</v>
      </c>
      <c r="C38" s="1599">
        <v>120</v>
      </c>
      <c r="D38" s="1595">
        <f t="shared" si="21"/>
        <v>3442.7546828904692</v>
      </c>
      <c r="E38" s="1595">
        <f t="shared" si="41"/>
        <v>413131</v>
      </c>
      <c r="F38" s="1586">
        <v>746.0335616438357</v>
      </c>
      <c r="G38" s="1586">
        <f t="shared" si="42"/>
        <v>89524.027397260288</v>
      </c>
      <c r="H38" s="1587">
        <f t="shared" si="43"/>
        <v>502655.0273972603</v>
      </c>
      <c r="I38" s="1587">
        <f>'[1]Midyear Adjustment Summary'!C155</f>
        <v>-41887.88244534305</v>
      </c>
      <c r="J38" s="1587">
        <f>'[1]Midyear Adjustment Summary'!D155</f>
        <v>-20943.941222671525</v>
      </c>
      <c r="K38" s="1587">
        <f t="shared" si="24"/>
        <v>-62831.823668014578</v>
      </c>
      <c r="L38" s="1587">
        <f t="shared" si="25"/>
        <v>439823.2037292457</v>
      </c>
      <c r="M38" s="1595">
        <v>0</v>
      </c>
      <c r="N38" s="1597">
        <f t="shared" si="26"/>
        <v>439823.2037292457</v>
      </c>
      <c r="O38" s="1586">
        <f t="shared" si="37"/>
        <v>503520</v>
      </c>
      <c r="P38" s="1586"/>
      <c r="Q38" s="548">
        <v>-10</v>
      </c>
      <c r="R38" s="1586">
        <f t="shared" si="38"/>
        <v>-41960</v>
      </c>
      <c r="S38" s="1243">
        <v>-10</v>
      </c>
      <c r="T38" s="1586">
        <f t="shared" si="39"/>
        <v>-20980</v>
      </c>
      <c r="U38" s="1586">
        <f t="shared" si="27"/>
        <v>-62940</v>
      </c>
      <c r="V38" s="1586">
        <f t="shared" si="40"/>
        <v>440580</v>
      </c>
      <c r="W38" s="1586">
        <f t="shared" si="31"/>
        <v>-7710.1500000000005</v>
      </c>
      <c r="X38" s="1586">
        <f t="shared" si="32"/>
        <v>-1101.45</v>
      </c>
      <c r="Y38" s="1586">
        <f t="shared" si="33"/>
        <v>-8811.6</v>
      </c>
      <c r="Z38" s="1586">
        <f t="shared" si="28"/>
        <v>431768.4</v>
      </c>
      <c r="AA38" s="1586">
        <f>'[15]April 2012-13 Allocation'!AT34</f>
        <v>0</v>
      </c>
      <c r="AB38" s="1586">
        <f t="shared" si="29"/>
        <v>431768.4</v>
      </c>
    </row>
    <row r="39" spans="1:28" ht="30.75" customHeight="1">
      <c r="A39" s="778">
        <v>384001</v>
      </c>
      <c r="B39" s="778" t="s">
        <v>1291</v>
      </c>
      <c r="C39" s="1594">
        <f>'2-1-12 MFP Funded by site'!G76</f>
        <v>526</v>
      </c>
      <c r="D39" s="1595">
        <f t="shared" si="21"/>
        <v>3442.7546828904692</v>
      </c>
      <c r="E39" s="1595">
        <f t="shared" si="22"/>
        <v>1810889</v>
      </c>
      <c r="F39" s="1586">
        <v>735.82244897959185</v>
      </c>
      <c r="G39" s="1586">
        <f t="shared" si="23"/>
        <v>387042.60816326534</v>
      </c>
      <c r="H39" s="1587">
        <f t="shared" si="30"/>
        <v>2197931.6081632655</v>
      </c>
      <c r="I39" s="1587">
        <f>'[1]Midyear Adjustment Summary'!C156</f>
        <v>-580822.2213299385</v>
      </c>
      <c r="J39" s="1587">
        <f>'[1]Midyear Adjustment Summary'!D156</f>
        <v>27160.751357155394</v>
      </c>
      <c r="K39" s="1587">
        <f t="shared" si="24"/>
        <v>-553661.46997278312</v>
      </c>
      <c r="L39" s="1587">
        <f t="shared" si="25"/>
        <v>1644270.1381904823</v>
      </c>
      <c r="M39" s="1595">
        <f>'[2]Adjusted Amounts'!$C163+'[2]Adjusted Amounts'!$H163</f>
        <v>-5771.3580955673315</v>
      </c>
      <c r="N39" s="1597">
        <f t="shared" si="26"/>
        <v>1638498.7800949148</v>
      </c>
      <c r="O39" s="1586">
        <f t="shared" si="37"/>
        <v>2207096</v>
      </c>
      <c r="P39" s="1586"/>
      <c r="Q39" s="548">
        <v>-139</v>
      </c>
      <c r="R39" s="1586">
        <f t="shared" si="38"/>
        <v>-583244</v>
      </c>
      <c r="S39" s="1243">
        <v>13</v>
      </c>
      <c r="T39" s="1586">
        <f t="shared" si="39"/>
        <v>27274</v>
      </c>
      <c r="U39" s="1586">
        <f t="shared" si="27"/>
        <v>-555970</v>
      </c>
      <c r="V39" s="1586">
        <f t="shared" si="40"/>
        <v>1651126</v>
      </c>
      <c r="W39" s="1586">
        <f t="shared" si="31"/>
        <v>-28894.705000000002</v>
      </c>
      <c r="X39" s="1586">
        <f t="shared" si="32"/>
        <v>-4127.8150000000005</v>
      </c>
      <c r="Y39" s="1586">
        <f t="shared" si="33"/>
        <v>-33022.520000000004</v>
      </c>
      <c r="Z39" s="1586">
        <f t="shared" si="28"/>
        <v>1618103.48</v>
      </c>
      <c r="AA39" s="1586">
        <f>'[15]April 2012-13 Allocation'!AT35</f>
        <v>-6654.5</v>
      </c>
      <c r="AB39" s="1586">
        <f t="shared" si="29"/>
        <v>1611448.98</v>
      </c>
    </row>
    <row r="40" spans="1:28" ht="30.75" customHeight="1">
      <c r="A40" s="778">
        <v>385001</v>
      </c>
      <c r="B40" s="778" t="s">
        <v>1292</v>
      </c>
      <c r="C40" s="1603">
        <f>'2-1-12 MFP Funded by site'!G77-350</f>
        <v>420</v>
      </c>
      <c r="D40" s="1595">
        <f t="shared" si="21"/>
        <v>3442.7546828904692</v>
      </c>
      <c r="E40" s="1595">
        <f t="shared" si="22"/>
        <v>1445957</v>
      </c>
      <c r="F40" s="1586">
        <v>618.75651162790689</v>
      </c>
      <c r="G40" s="1586">
        <f t="shared" si="23"/>
        <v>259877.7348837209</v>
      </c>
      <c r="H40" s="1587">
        <f t="shared" si="30"/>
        <v>1705834.734883721</v>
      </c>
      <c r="I40" s="1587">
        <f>'[1]Midyear Adjustment Summary'!C157</f>
        <v>-251813.69406013933</v>
      </c>
      <c r="J40" s="1587">
        <f>'[1]Midyear Adjustment Summary'!D157</f>
        <v>-12184.533583555129</v>
      </c>
      <c r="K40" s="1587">
        <f t="shared" si="24"/>
        <v>-263998.22764369444</v>
      </c>
      <c r="L40" s="1587">
        <f t="shared" si="25"/>
        <v>1441836.5072400265</v>
      </c>
      <c r="M40" s="1595">
        <f>'[2]Adjusted Amounts'!$C164+'[2]Adjusted Amounts'!$H164</f>
        <v>-9602.6036842078665</v>
      </c>
      <c r="N40" s="1597">
        <f t="shared" si="26"/>
        <v>1432233.9035558186</v>
      </c>
      <c r="O40" s="1586">
        <f t="shared" si="37"/>
        <v>1762320</v>
      </c>
      <c r="P40" s="1586"/>
      <c r="Q40" s="548">
        <v>-62</v>
      </c>
      <c r="R40" s="1586">
        <f t="shared" si="38"/>
        <v>-260152</v>
      </c>
      <c r="S40" s="1243">
        <v>-6</v>
      </c>
      <c r="T40" s="1586">
        <f t="shared" si="39"/>
        <v>-12588</v>
      </c>
      <c r="U40" s="1586">
        <f t="shared" si="27"/>
        <v>-272740</v>
      </c>
      <c r="V40" s="1586">
        <f t="shared" si="40"/>
        <v>1489580</v>
      </c>
      <c r="W40" s="1586">
        <f t="shared" si="31"/>
        <v>-26067.65</v>
      </c>
      <c r="X40" s="1586">
        <f t="shared" si="32"/>
        <v>-3723.9500000000003</v>
      </c>
      <c r="Y40" s="1586">
        <f t="shared" si="33"/>
        <v>-29791.600000000002</v>
      </c>
      <c r="Z40" s="1586">
        <f t="shared" si="28"/>
        <v>1459788.4</v>
      </c>
      <c r="AA40" s="1586">
        <f>'[15]April 2012-13 Allocation'!AT36</f>
        <v>-4103</v>
      </c>
      <c r="AB40" s="1586">
        <f t="shared" si="29"/>
        <v>1455685.4</v>
      </c>
    </row>
    <row r="41" spans="1:28" ht="30.75" customHeight="1">
      <c r="A41" s="1045">
        <v>385002</v>
      </c>
      <c r="B41" s="1045" t="s">
        <v>707</v>
      </c>
      <c r="C41" s="1598">
        <f>340+230</f>
        <v>570</v>
      </c>
      <c r="D41" s="1595">
        <f t="shared" si="21"/>
        <v>3442.7546828904692</v>
      </c>
      <c r="E41" s="1595">
        <f t="shared" si="22"/>
        <v>1962370</v>
      </c>
      <c r="F41" s="1586">
        <v>746.0335616438357</v>
      </c>
      <c r="G41" s="1586">
        <f t="shared" si="23"/>
        <v>425239.13013698632</v>
      </c>
      <c r="H41" s="1587">
        <f t="shared" si="30"/>
        <v>2387609.1301369863</v>
      </c>
      <c r="I41" s="1587">
        <f>'[1]Midyear Adjustment Summary'!C158</f>
        <v>-284837.6006283327</v>
      </c>
      <c r="J41" s="1587">
        <f>'[1]Midyear Adjustment Summary'!D158</f>
        <v>-18849.547100404372</v>
      </c>
      <c r="K41" s="1587">
        <f t="shared" si="24"/>
        <v>-303687.14772873709</v>
      </c>
      <c r="L41" s="1587">
        <f t="shared" si="25"/>
        <v>2083921.9824082493</v>
      </c>
      <c r="M41" s="1595">
        <v>0</v>
      </c>
      <c r="N41" s="1597">
        <f t="shared" si="26"/>
        <v>2083921.9824082493</v>
      </c>
      <c r="O41" s="1586">
        <f t="shared" si="37"/>
        <v>2391720</v>
      </c>
      <c r="P41" s="1586"/>
      <c r="Q41" s="548">
        <v>-68</v>
      </c>
      <c r="R41" s="1586">
        <f t="shared" si="38"/>
        <v>-285328</v>
      </c>
      <c r="S41" s="1243">
        <v>-9</v>
      </c>
      <c r="T41" s="1586">
        <f t="shared" si="39"/>
        <v>-18882</v>
      </c>
      <c r="U41" s="1586">
        <f t="shared" si="27"/>
        <v>-304210</v>
      </c>
      <c r="V41" s="1586">
        <f t="shared" si="40"/>
        <v>2087510</v>
      </c>
      <c r="W41" s="1586">
        <f t="shared" si="31"/>
        <v>-36531.425000000003</v>
      </c>
      <c r="X41" s="1586">
        <f t="shared" si="32"/>
        <v>-5218.7750000000005</v>
      </c>
      <c r="Y41" s="1586">
        <f t="shared" si="33"/>
        <v>-41750.200000000004</v>
      </c>
      <c r="Z41" s="1586">
        <f t="shared" si="28"/>
        <v>2045759.8</v>
      </c>
      <c r="AA41" s="1586">
        <f>'[15]April 2012-13 Allocation'!AT37</f>
        <v>0</v>
      </c>
      <c r="AB41" s="1586">
        <f t="shared" si="29"/>
        <v>2045759.8</v>
      </c>
    </row>
    <row r="42" spans="1:28" ht="30.75" customHeight="1">
      <c r="A42" s="778">
        <v>388001</v>
      </c>
      <c r="B42" s="778" t="s">
        <v>1293</v>
      </c>
      <c r="C42" s="1594">
        <f>'2-1-12 MFP Funded by site'!G79</f>
        <v>548</v>
      </c>
      <c r="D42" s="1595">
        <f t="shared" si="21"/>
        <v>3442.7546828904692</v>
      </c>
      <c r="E42" s="1595">
        <f t="shared" si="22"/>
        <v>1886630</v>
      </c>
      <c r="F42" s="1586">
        <v>708.2132751810401</v>
      </c>
      <c r="G42" s="1586">
        <f t="shared" si="23"/>
        <v>388100.87479921</v>
      </c>
      <c r="H42" s="1587">
        <f t="shared" si="30"/>
        <v>2274730.8747992101</v>
      </c>
      <c r="I42" s="1587">
        <f>'[1]Midyear Adjustment Summary'!C159</f>
        <v>199246.46198743244</v>
      </c>
      <c r="J42" s="1587">
        <f>'[1]Midyear Adjustment Summary'!D159</f>
        <v>24905.807748429055</v>
      </c>
      <c r="K42" s="1587">
        <f t="shared" si="24"/>
        <v>224152.26973586151</v>
      </c>
      <c r="L42" s="1587">
        <f t="shared" si="25"/>
        <v>2498883.1445350717</v>
      </c>
      <c r="M42" s="1595">
        <f>'[2]Adjusted Amounts'!$C166+'[2]Adjusted Amounts'!$H166</f>
        <v>-4018.0053288885883</v>
      </c>
      <c r="N42" s="1597">
        <f t="shared" si="26"/>
        <v>2494865.1392061831</v>
      </c>
      <c r="O42" s="1586">
        <f t="shared" si="37"/>
        <v>2299408</v>
      </c>
      <c r="P42" s="1586"/>
      <c r="Q42" s="548">
        <v>48</v>
      </c>
      <c r="R42" s="1586">
        <f t="shared" si="38"/>
        <v>201408</v>
      </c>
      <c r="S42" s="1243">
        <v>12</v>
      </c>
      <c r="T42" s="1586">
        <f t="shared" si="39"/>
        <v>25176</v>
      </c>
      <c r="U42" s="1586">
        <f t="shared" si="27"/>
        <v>226584</v>
      </c>
      <c r="V42" s="1586">
        <f t="shared" si="40"/>
        <v>2525992</v>
      </c>
      <c r="W42" s="1586">
        <f t="shared" si="31"/>
        <v>-44204.86</v>
      </c>
      <c r="X42" s="1586">
        <f t="shared" si="32"/>
        <v>-6314.9800000000005</v>
      </c>
      <c r="Y42" s="1586">
        <f t="shared" si="33"/>
        <v>-50519.840000000004</v>
      </c>
      <c r="Z42" s="1586">
        <f t="shared" si="28"/>
        <v>2475472.16</v>
      </c>
      <c r="AA42" s="1586">
        <f>'[15]April 2012-13 Allocation'!AT38</f>
        <v>-4303</v>
      </c>
      <c r="AB42" s="1586">
        <f t="shared" si="29"/>
        <v>2471169.16</v>
      </c>
    </row>
    <row r="43" spans="1:28" ht="44.25" customHeight="1">
      <c r="A43" s="778">
        <v>390001</v>
      </c>
      <c r="B43" s="778" t="s">
        <v>1318</v>
      </c>
      <c r="C43" s="1594">
        <f>'2-1-12 MFP Funded by site'!G80</f>
        <v>667</v>
      </c>
      <c r="D43" s="1595">
        <f t="shared" si="21"/>
        <v>3442.7546828904692</v>
      </c>
      <c r="E43" s="1595">
        <f t="shared" si="22"/>
        <v>2296317</v>
      </c>
      <c r="F43" s="1586">
        <v>650.55234865477053</v>
      </c>
      <c r="G43" s="1586">
        <f t="shared" si="23"/>
        <v>433918.41655273194</v>
      </c>
      <c r="H43" s="1587">
        <f t="shared" si="30"/>
        <v>2730235.4165527318</v>
      </c>
      <c r="I43" s="1587">
        <f>'[1]Midyear Adjustment Summary'!C160</f>
        <v>-253785.03595580487</v>
      </c>
      <c r="J43" s="1587">
        <f>'[1]Midyear Adjustment Summary'!D160</f>
        <v>-18419.88164195358</v>
      </c>
      <c r="K43" s="1587">
        <f t="shared" si="24"/>
        <v>-272204.91759775847</v>
      </c>
      <c r="L43" s="1587">
        <f t="shared" si="25"/>
        <v>2458030.4989549732</v>
      </c>
      <c r="M43" s="1595">
        <f>'[2]Adjusted Amounts'!$C167+'[2]Adjusted Amounts'!$H167</f>
        <v>-3307.3860911074221</v>
      </c>
      <c r="N43" s="1597">
        <f t="shared" si="26"/>
        <v>2454723.1128638657</v>
      </c>
      <c r="O43" s="1586">
        <v>0</v>
      </c>
      <c r="P43" s="1586">
        <f>C43*$P$5</f>
        <v>3257628</v>
      </c>
      <c r="Q43" s="548">
        <v>-62</v>
      </c>
      <c r="R43" s="1586">
        <f>$P$5*Q43</f>
        <v>-302808</v>
      </c>
      <c r="S43" s="1243">
        <v>-9</v>
      </c>
      <c r="T43" s="1586">
        <f>($P$5*0.5)*S43</f>
        <v>-21978</v>
      </c>
      <c r="U43" s="1586">
        <f t="shared" si="27"/>
        <v>-324786</v>
      </c>
      <c r="V43" s="1586">
        <f>P43+U43</f>
        <v>2932842</v>
      </c>
      <c r="W43" s="1586">
        <f t="shared" si="31"/>
        <v>-51324.735000000008</v>
      </c>
      <c r="X43" s="1586">
        <f t="shared" si="32"/>
        <v>-7332.1050000000005</v>
      </c>
      <c r="Y43" s="1586">
        <f t="shared" si="33"/>
        <v>-58656.840000000011</v>
      </c>
      <c r="Z43" s="1586">
        <f t="shared" si="28"/>
        <v>2874185.16</v>
      </c>
      <c r="AA43" s="1586">
        <f>'[15]April 2012-13 Allocation'!AT39</f>
        <v>0</v>
      </c>
      <c r="AB43" s="1586">
        <f t="shared" si="29"/>
        <v>2874185.16</v>
      </c>
    </row>
    <row r="44" spans="1:28" ht="30.75" customHeight="1">
      <c r="A44" s="778">
        <v>391001</v>
      </c>
      <c r="B44" s="778" t="s">
        <v>1294</v>
      </c>
      <c r="C44" s="1594">
        <f>'2-1-12 MFP Funded by site'!G81</f>
        <v>686</v>
      </c>
      <c r="D44" s="1595">
        <f t="shared" si="21"/>
        <v>3442.7546828904692</v>
      </c>
      <c r="E44" s="1595">
        <f t="shared" si="22"/>
        <v>2361730</v>
      </c>
      <c r="F44" s="1586">
        <v>721.28337970262919</v>
      </c>
      <c r="G44" s="1586">
        <f t="shared" si="23"/>
        <v>494800.39847600361</v>
      </c>
      <c r="H44" s="1587">
        <f t="shared" si="30"/>
        <v>2856530.3984760037</v>
      </c>
      <c r="I44" s="1587">
        <f>'[1]Midyear Adjustment Summary'!C161</f>
        <v>-8328.0761251861968</v>
      </c>
      <c r="J44" s="1587">
        <f>'[1]Midyear Adjustment Summary'!D161</f>
        <v>20820.190312965493</v>
      </c>
      <c r="K44" s="1587">
        <f t="shared" si="24"/>
        <v>12492.114187779296</v>
      </c>
      <c r="L44" s="1587">
        <f t="shared" si="25"/>
        <v>2869022.512663783</v>
      </c>
      <c r="M44" s="1595">
        <f>'[2]Adjusted Amounts'!$C168+'[2]Adjusted Amounts'!$H168</f>
        <v>-2868.4638235076786</v>
      </c>
      <c r="N44" s="1597">
        <f t="shared" si="26"/>
        <v>2866154.0488402755</v>
      </c>
      <c r="O44" s="1586">
        <f t="shared" ref="O44:O60" si="44">C44*$O$5</f>
        <v>2878456</v>
      </c>
      <c r="P44" s="1586"/>
      <c r="Q44" s="548">
        <v>-2</v>
      </c>
      <c r="R44" s="1586">
        <f t="shared" ref="R44:R60" si="45">Q44*$O$5</f>
        <v>-8392</v>
      </c>
      <c r="S44" s="1243">
        <v>10</v>
      </c>
      <c r="T44" s="1586">
        <f t="shared" ref="T44:T60" si="46">($O$5*0.5)*S44</f>
        <v>20980</v>
      </c>
      <c r="U44" s="1586">
        <f t="shared" si="27"/>
        <v>12588</v>
      </c>
      <c r="V44" s="1586">
        <f t="shared" ref="V44:V60" si="47">O44+U44</f>
        <v>2891044</v>
      </c>
      <c r="W44" s="1586">
        <f t="shared" si="31"/>
        <v>-50593.270000000004</v>
      </c>
      <c r="X44" s="1586">
        <f t="shared" si="32"/>
        <v>-7227.6100000000006</v>
      </c>
      <c r="Y44" s="1586">
        <f t="shared" si="33"/>
        <v>-57820.880000000005</v>
      </c>
      <c r="Z44" s="1586">
        <f t="shared" si="28"/>
        <v>2833223.12</v>
      </c>
      <c r="AA44" s="1586">
        <f>'[15]April 2012-13 Allocation'!AT40</f>
        <v>-2051.5</v>
      </c>
      <c r="AB44" s="1586">
        <f t="shared" si="29"/>
        <v>2831171.62</v>
      </c>
    </row>
    <row r="45" spans="1:28" ht="30.75" customHeight="1">
      <c r="A45" s="1045">
        <v>391002</v>
      </c>
      <c r="B45" s="1045" t="s">
        <v>706</v>
      </c>
      <c r="C45" s="1598">
        <v>420</v>
      </c>
      <c r="D45" s="1595">
        <f t="shared" si="21"/>
        <v>3442.7546828904692</v>
      </c>
      <c r="E45" s="1595">
        <f t="shared" si="22"/>
        <v>1445957</v>
      </c>
      <c r="F45" s="1586">
        <v>746.0335616438357</v>
      </c>
      <c r="G45" s="1586">
        <f t="shared" ref="G45" si="48">F45*C45</f>
        <v>313334.095890411</v>
      </c>
      <c r="H45" s="1587">
        <f t="shared" ref="H45" si="49">E45+G45</f>
        <v>1759291.0958904109</v>
      </c>
      <c r="I45" s="1587">
        <f>'[1]Midyear Adjustment Summary'!C162</f>
        <v>-376990.94200808741</v>
      </c>
      <c r="J45" s="1587">
        <f>'[1]Midyear Adjustment Summary'!D162</f>
        <v>35604.700078541588</v>
      </c>
      <c r="K45" s="1587">
        <f t="shared" si="24"/>
        <v>-341386.24192954582</v>
      </c>
      <c r="L45" s="1587">
        <f t="shared" si="25"/>
        <v>1417904.8539608652</v>
      </c>
      <c r="M45" s="1595">
        <v>0</v>
      </c>
      <c r="N45" s="1597">
        <f t="shared" si="26"/>
        <v>1417904.8539608652</v>
      </c>
      <c r="O45" s="1586">
        <f t="shared" si="44"/>
        <v>1762320</v>
      </c>
      <c r="P45" s="1586"/>
      <c r="Q45" s="548">
        <v>-90</v>
      </c>
      <c r="R45" s="1586">
        <f t="shared" si="45"/>
        <v>-377640</v>
      </c>
      <c r="S45" s="1243">
        <v>17</v>
      </c>
      <c r="T45" s="1586">
        <f t="shared" si="46"/>
        <v>35666</v>
      </c>
      <c r="U45" s="1586">
        <f t="shared" si="27"/>
        <v>-341974</v>
      </c>
      <c r="V45" s="1586">
        <f t="shared" si="47"/>
        <v>1420346</v>
      </c>
      <c r="W45" s="1586">
        <f t="shared" si="31"/>
        <v>-24856.055000000004</v>
      </c>
      <c r="X45" s="1586">
        <f t="shared" si="32"/>
        <v>-3550.8650000000002</v>
      </c>
      <c r="Y45" s="1586">
        <f t="shared" si="33"/>
        <v>-28406.920000000006</v>
      </c>
      <c r="Z45" s="1586">
        <f t="shared" si="28"/>
        <v>1391939.08</v>
      </c>
      <c r="AA45" s="1586">
        <f>'[15]April 2012-13 Allocation'!AT41</f>
        <v>0</v>
      </c>
      <c r="AB45" s="1586">
        <f t="shared" si="29"/>
        <v>1391939.08</v>
      </c>
    </row>
    <row r="46" spans="1:28" ht="30.75" customHeight="1">
      <c r="A46" s="778">
        <v>392001</v>
      </c>
      <c r="B46" s="778" t="s">
        <v>1295</v>
      </c>
      <c r="C46" s="1594">
        <f>'2-1-12 MFP Funded by site'!G82</f>
        <v>399</v>
      </c>
      <c r="D46" s="1595">
        <f t="shared" si="21"/>
        <v>3442.7546828904692</v>
      </c>
      <c r="E46" s="1595">
        <f t="shared" si="22"/>
        <v>1373659</v>
      </c>
      <c r="F46" s="1586">
        <v>600.21655982905986</v>
      </c>
      <c r="G46" s="1586">
        <f t="shared" si="23"/>
        <v>239486.40737179489</v>
      </c>
      <c r="H46" s="1587">
        <f t="shared" si="30"/>
        <v>1613145.4073717948</v>
      </c>
      <c r="I46" s="1587">
        <f>'[1]Midyear Adjustment Summary'!C163</f>
        <v>92988.338582549171</v>
      </c>
      <c r="J46" s="1587">
        <f>'[1]Midyear Adjustment Summary'!D163</f>
        <v>6064.4568640792932</v>
      </c>
      <c r="K46" s="1587">
        <f t="shared" si="24"/>
        <v>99052.795446628472</v>
      </c>
      <c r="L46" s="1587">
        <f t="shared" si="25"/>
        <v>1712198.2028184233</v>
      </c>
      <c r="M46" s="1595">
        <f>'[2]Adjusted Amounts'!$C169+'[2]Adjusted Amounts'!$H169</f>
        <v>-2012.7692645042325</v>
      </c>
      <c r="N46" s="1597">
        <f t="shared" si="26"/>
        <v>1710185.433553919</v>
      </c>
      <c r="O46" s="1586">
        <f t="shared" si="44"/>
        <v>1674204</v>
      </c>
      <c r="P46" s="1586"/>
      <c r="Q46" s="548">
        <v>23</v>
      </c>
      <c r="R46" s="1586">
        <f t="shared" si="45"/>
        <v>96508</v>
      </c>
      <c r="S46" s="1243">
        <v>3</v>
      </c>
      <c r="T46" s="1586">
        <f t="shared" si="46"/>
        <v>6294</v>
      </c>
      <c r="U46" s="1586">
        <f t="shared" si="27"/>
        <v>102802</v>
      </c>
      <c r="V46" s="1586">
        <f t="shared" si="47"/>
        <v>1777006</v>
      </c>
      <c r="W46" s="1586">
        <f t="shared" si="31"/>
        <v>-31097.605000000003</v>
      </c>
      <c r="X46" s="1586">
        <f t="shared" si="32"/>
        <v>-4442.5150000000003</v>
      </c>
      <c r="Y46" s="1586">
        <f t="shared" si="33"/>
        <v>-35540.120000000003</v>
      </c>
      <c r="Z46" s="1586">
        <f t="shared" si="28"/>
        <v>1741465.88</v>
      </c>
      <c r="AA46" s="1586">
        <f>'[15]April 2012-13 Allocation'!AT42</f>
        <v>-2251.5</v>
      </c>
      <c r="AB46" s="1586">
        <f t="shared" si="29"/>
        <v>1739214.38</v>
      </c>
    </row>
    <row r="47" spans="1:28" ht="30.75" customHeight="1">
      <c r="A47" s="778">
        <v>393001</v>
      </c>
      <c r="B47" s="778" t="s">
        <v>1296</v>
      </c>
      <c r="C47" s="1594">
        <f>'2-1-12 MFP Funded by site'!G83</f>
        <v>785</v>
      </c>
      <c r="D47" s="1595">
        <f t="shared" si="21"/>
        <v>3442.7546828904692</v>
      </c>
      <c r="E47" s="1595">
        <f t="shared" si="22"/>
        <v>2702562</v>
      </c>
      <c r="F47" s="1586">
        <v>776.90344307346322</v>
      </c>
      <c r="G47" s="1586">
        <f t="shared" si="23"/>
        <v>609869.20281266863</v>
      </c>
      <c r="H47" s="1587">
        <f t="shared" si="30"/>
        <v>3312431.2028126689</v>
      </c>
      <c r="I47" s="1587">
        <f>'[1]Midyear Adjustment Summary'!C164</f>
        <v>485260.68448585225</v>
      </c>
      <c r="J47" s="1587">
        <f>'[1]Midyear Adjustment Summary'!D164</f>
        <v>-29537.606881747528</v>
      </c>
      <c r="K47" s="1587">
        <f t="shared" si="24"/>
        <v>455723.07760410471</v>
      </c>
      <c r="L47" s="1587">
        <f t="shared" si="25"/>
        <v>3768154.2804167736</v>
      </c>
      <c r="M47" s="1595">
        <f>'[2]Adjusted Amounts'!$C170+'[2]Adjusted Amounts'!$H170</f>
        <v>-4028.9305390450827</v>
      </c>
      <c r="N47" s="1597">
        <f t="shared" si="26"/>
        <v>3764125.3498777286</v>
      </c>
      <c r="O47" s="1586">
        <f t="shared" si="44"/>
        <v>3293860</v>
      </c>
      <c r="P47" s="1586"/>
      <c r="Q47" s="548">
        <v>115</v>
      </c>
      <c r="R47" s="1586">
        <f t="shared" si="45"/>
        <v>482540</v>
      </c>
      <c r="S47" s="1243">
        <v>-14</v>
      </c>
      <c r="T47" s="1586">
        <f t="shared" si="46"/>
        <v>-29372</v>
      </c>
      <c r="U47" s="1586">
        <f t="shared" si="27"/>
        <v>453168</v>
      </c>
      <c r="V47" s="1586">
        <f t="shared" si="47"/>
        <v>3747028</v>
      </c>
      <c r="W47" s="1586">
        <f t="shared" si="31"/>
        <v>-65572.990000000005</v>
      </c>
      <c r="X47" s="1586">
        <f t="shared" si="32"/>
        <v>-9367.57</v>
      </c>
      <c r="Y47" s="1586">
        <f t="shared" si="33"/>
        <v>-74940.56</v>
      </c>
      <c r="Z47" s="1586">
        <f t="shared" si="28"/>
        <v>3672087.44</v>
      </c>
      <c r="AA47" s="1586">
        <f>'[15]April 2012-13 Allocation'!AT43</f>
        <v>-4203</v>
      </c>
      <c r="AB47" s="1586">
        <f t="shared" si="29"/>
        <v>3667884.44</v>
      </c>
    </row>
    <row r="48" spans="1:28" ht="30.75" customHeight="1">
      <c r="A48" s="778">
        <v>393002</v>
      </c>
      <c r="B48" s="778" t="s">
        <v>1297</v>
      </c>
      <c r="C48" s="1594">
        <f>'2-1-12 MFP Funded by site'!G84</f>
        <v>422</v>
      </c>
      <c r="D48" s="1595">
        <f t="shared" si="21"/>
        <v>3442.7546828904692</v>
      </c>
      <c r="E48" s="1595">
        <f>ROUND(C48*D48,0)</f>
        <v>1452842</v>
      </c>
      <c r="F48" s="1586">
        <v>642.89065513553726</v>
      </c>
      <c r="G48" s="1586">
        <f>F48*C48</f>
        <v>271299.85646719672</v>
      </c>
      <c r="H48" s="1587">
        <f>E48+G48</f>
        <v>1724141.8564671967</v>
      </c>
      <c r="I48" s="1587">
        <f>'[1]Midyear Adjustment Summary'!C165</f>
        <v>155254.52284498824</v>
      </c>
      <c r="J48" s="1587">
        <f>'[1]Midyear Adjustment Summary'!D165</f>
        <v>12256.936014078019</v>
      </c>
      <c r="K48" s="1587">
        <f t="shared" si="24"/>
        <v>167511.45885906625</v>
      </c>
      <c r="L48" s="1587">
        <f t="shared" si="25"/>
        <v>1891653.315326263</v>
      </c>
      <c r="M48" s="1595">
        <f>'[2]Adjusted Amounts'!$C171+'[2]Adjusted Amounts'!$H171</f>
        <v>-3299.625992895325</v>
      </c>
      <c r="N48" s="1597">
        <f t="shared" si="26"/>
        <v>1888353.6893333676</v>
      </c>
      <c r="O48" s="1586">
        <f t="shared" si="44"/>
        <v>1770712</v>
      </c>
      <c r="P48" s="1586"/>
      <c r="Q48" s="548">
        <v>38</v>
      </c>
      <c r="R48" s="1586">
        <f t="shared" si="45"/>
        <v>159448</v>
      </c>
      <c r="S48" s="1243">
        <v>6</v>
      </c>
      <c r="T48" s="1586">
        <f t="shared" si="46"/>
        <v>12588</v>
      </c>
      <c r="U48" s="1586">
        <f t="shared" si="27"/>
        <v>172036</v>
      </c>
      <c r="V48" s="1586">
        <f t="shared" si="47"/>
        <v>1942748</v>
      </c>
      <c r="W48" s="1586">
        <f t="shared" si="31"/>
        <v>-33998.090000000004</v>
      </c>
      <c r="X48" s="1586">
        <f t="shared" si="32"/>
        <v>-4856.87</v>
      </c>
      <c r="Y48" s="1586">
        <f t="shared" si="33"/>
        <v>-38854.960000000006</v>
      </c>
      <c r="Z48" s="1586">
        <f t="shared" si="28"/>
        <v>1903893.04</v>
      </c>
      <c r="AA48" s="1586">
        <f>'[15]April 2012-13 Allocation'!AT44</f>
        <v>-2151.5</v>
      </c>
      <c r="AB48" s="1586">
        <f t="shared" si="29"/>
        <v>1901741.54</v>
      </c>
    </row>
    <row r="49" spans="1:34" s="1254" customFormat="1" ht="30.75" customHeight="1">
      <c r="A49" s="1269">
        <v>393003</v>
      </c>
      <c r="B49" s="1269" t="s">
        <v>1298</v>
      </c>
      <c r="C49" s="1600">
        <f>'2-1-12 MFP Funded by site'!G85</f>
        <v>480</v>
      </c>
      <c r="D49" s="1595">
        <f t="shared" si="21"/>
        <v>3442.7546828904692</v>
      </c>
      <c r="E49" s="1595">
        <f t="shared" si="22"/>
        <v>1652522</v>
      </c>
      <c r="F49" s="1586">
        <v>746.0335616438357</v>
      </c>
      <c r="G49" s="1586">
        <f t="shared" si="23"/>
        <v>358096.10958904115</v>
      </c>
      <c r="H49" s="1587">
        <f t="shared" si="30"/>
        <v>2010618.1095890412</v>
      </c>
      <c r="I49" s="1587">
        <f>'[1]Midyear Adjustment Summary'!C166</f>
        <v>-314159.11834007286</v>
      </c>
      <c r="J49" s="1587">
        <f>'[1]Midyear Adjustment Summary'!D166</f>
        <v>81681.370768418943</v>
      </c>
      <c r="K49" s="1587">
        <f t="shared" si="24"/>
        <v>-232477.74757165392</v>
      </c>
      <c r="L49" s="1587">
        <f t="shared" si="25"/>
        <v>1778140.3620173873</v>
      </c>
      <c r="M49" s="1595"/>
      <c r="N49" s="1597">
        <f t="shared" si="26"/>
        <v>1778140.3620173873</v>
      </c>
      <c r="O49" s="1586">
        <f t="shared" si="44"/>
        <v>2014080</v>
      </c>
      <c r="P49" s="1586"/>
      <c r="Q49" s="1342">
        <v>-75</v>
      </c>
      <c r="R49" s="1586">
        <f t="shared" si="45"/>
        <v>-314700</v>
      </c>
      <c r="S49" s="1254">
        <v>39</v>
      </c>
      <c r="T49" s="1586">
        <f t="shared" si="46"/>
        <v>81822</v>
      </c>
      <c r="U49" s="1586">
        <f t="shared" si="27"/>
        <v>-232878</v>
      </c>
      <c r="V49" s="1586">
        <f t="shared" si="47"/>
        <v>1781202</v>
      </c>
      <c r="W49" s="1586">
        <f t="shared" si="31"/>
        <v>-31171.035000000003</v>
      </c>
      <c r="X49" s="1586">
        <f t="shared" si="32"/>
        <v>-4453.0050000000001</v>
      </c>
      <c r="Y49" s="1586">
        <f t="shared" si="33"/>
        <v>-35624.04</v>
      </c>
      <c r="Z49" s="1586">
        <f t="shared" si="28"/>
        <v>1745577.96</v>
      </c>
      <c r="AA49" s="1586">
        <f>'[15]April 2012-13 Allocation'!AT45</f>
        <v>0</v>
      </c>
      <c r="AB49" s="1586">
        <f t="shared" si="29"/>
        <v>1745577.96</v>
      </c>
      <c r="AD49" s="1342"/>
      <c r="AE49" s="1342"/>
      <c r="AF49" s="1342"/>
      <c r="AG49" s="1342"/>
      <c r="AH49" s="1342"/>
    </row>
    <row r="50" spans="1:34" ht="30.75" customHeight="1">
      <c r="A50" s="778">
        <v>395001</v>
      </c>
      <c r="B50" s="778" t="s">
        <v>1299</v>
      </c>
      <c r="C50" s="1594">
        <f>'2-1-12 MFP Funded by site'!G86</f>
        <v>641</v>
      </c>
      <c r="D50" s="1595">
        <f t="shared" si="21"/>
        <v>3442.7546828904692</v>
      </c>
      <c r="E50" s="1595">
        <f t="shared" si="22"/>
        <v>2206806</v>
      </c>
      <c r="F50" s="1586">
        <v>678.38194087511556</v>
      </c>
      <c r="G50" s="1586">
        <f t="shared" si="23"/>
        <v>434842.8241009491</v>
      </c>
      <c r="H50" s="1587">
        <f t="shared" si="30"/>
        <v>2641648.8241009489</v>
      </c>
      <c r="I50" s="1587">
        <f>'[1]Midyear Adjustment Summary'!C167</f>
        <v>140118.64520802989</v>
      </c>
      <c r="J50" s="1587">
        <f>'[1]Midyear Adjustment Summary'!D167</f>
        <v>-4121.1366237655848</v>
      </c>
      <c r="K50" s="1587">
        <f t="shared" si="24"/>
        <v>135997.50858426432</v>
      </c>
      <c r="L50" s="1587">
        <f t="shared" si="25"/>
        <v>2777646.3326852131</v>
      </c>
      <c r="M50" s="1595">
        <f>'[2]Adjusted Amounts'!$C173+'[2]Adjusted Amounts'!$H173</f>
        <v>-4831.1145567275616</v>
      </c>
      <c r="N50" s="1597">
        <f t="shared" si="26"/>
        <v>2772815.2181284856</v>
      </c>
      <c r="O50" s="1586">
        <f t="shared" si="44"/>
        <v>2689636</v>
      </c>
      <c r="P50" s="1586"/>
      <c r="Q50" s="548">
        <v>34</v>
      </c>
      <c r="R50" s="1586">
        <f t="shared" si="45"/>
        <v>142664</v>
      </c>
      <c r="S50" s="1243">
        <v>-2</v>
      </c>
      <c r="T50" s="1586">
        <f t="shared" si="46"/>
        <v>-4196</v>
      </c>
      <c r="U50" s="1586">
        <f t="shared" si="27"/>
        <v>138468</v>
      </c>
      <c r="V50" s="1586">
        <f t="shared" si="47"/>
        <v>2828104</v>
      </c>
      <c r="W50" s="1586">
        <f t="shared" si="31"/>
        <v>-49491.820000000007</v>
      </c>
      <c r="X50" s="1586">
        <f t="shared" si="32"/>
        <v>-7070.26</v>
      </c>
      <c r="Y50" s="1586">
        <f t="shared" si="33"/>
        <v>-56562.080000000009</v>
      </c>
      <c r="Z50" s="1586">
        <f t="shared" si="28"/>
        <v>2771541.92</v>
      </c>
      <c r="AA50" s="1586">
        <f>'[15]April 2012-13 Allocation'!AT46</f>
        <v>-2051.5</v>
      </c>
      <c r="AB50" s="1586">
        <f t="shared" si="29"/>
        <v>2769490.42</v>
      </c>
    </row>
    <row r="51" spans="1:34" ht="30.75" customHeight="1">
      <c r="A51" s="778">
        <v>395002</v>
      </c>
      <c r="B51" s="778" t="s">
        <v>1300</v>
      </c>
      <c r="C51" s="1594">
        <f>'2-1-12 MFP Funded by site'!G87</f>
        <v>592</v>
      </c>
      <c r="D51" s="1595">
        <f t="shared" si="21"/>
        <v>3442.7546828904692</v>
      </c>
      <c r="E51" s="1595">
        <f t="shared" si="22"/>
        <v>2038111</v>
      </c>
      <c r="F51" s="1586">
        <v>686.92241021135874</v>
      </c>
      <c r="G51" s="1586">
        <f t="shared" si="23"/>
        <v>406658.06684512435</v>
      </c>
      <c r="H51" s="1587">
        <f t="shared" si="30"/>
        <v>2444769.0668451246</v>
      </c>
      <c r="I51" s="1587">
        <f>'[1]Midyear Adjustment Summary'!C168</f>
        <v>-28907.739651712796</v>
      </c>
      <c r="J51" s="1587">
        <f>'[1]Midyear Adjustment Summary'!D168</f>
        <v>43361.609477569196</v>
      </c>
      <c r="K51" s="1587">
        <f t="shared" si="24"/>
        <v>14453.8698258564</v>
      </c>
      <c r="L51" s="1587">
        <f t="shared" si="25"/>
        <v>2459222.9366709809</v>
      </c>
      <c r="M51" s="1595">
        <f>'[2]Adjusted Amounts'!$C174+'[2]Adjusted Amounts'!$H174</f>
        <v>-13433.516585811494</v>
      </c>
      <c r="N51" s="1597">
        <f t="shared" si="26"/>
        <v>2445789.4200851694</v>
      </c>
      <c r="O51" s="1586">
        <f t="shared" si="44"/>
        <v>2484032</v>
      </c>
      <c r="P51" s="1586"/>
      <c r="Q51" s="548">
        <v>-7</v>
      </c>
      <c r="R51" s="1586">
        <f t="shared" si="45"/>
        <v>-29372</v>
      </c>
      <c r="S51" s="1243">
        <v>21</v>
      </c>
      <c r="T51" s="1586">
        <f t="shared" si="46"/>
        <v>44058</v>
      </c>
      <c r="U51" s="1586">
        <f t="shared" si="27"/>
        <v>14686</v>
      </c>
      <c r="V51" s="1586">
        <f t="shared" si="47"/>
        <v>2498718</v>
      </c>
      <c r="W51" s="1586">
        <f t="shared" si="31"/>
        <v>-43727.565000000002</v>
      </c>
      <c r="X51" s="1586">
        <f t="shared" si="32"/>
        <v>-6246.7950000000001</v>
      </c>
      <c r="Y51" s="1586">
        <f t="shared" si="33"/>
        <v>-49974.36</v>
      </c>
      <c r="Z51" s="1586">
        <f t="shared" si="28"/>
        <v>2448743.64</v>
      </c>
      <c r="AA51" s="1586">
        <f>'[15]April 2012-13 Allocation'!AT47</f>
        <v>-10557.5</v>
      </c>
      <c r="AB51" s="1586">
        <f t="shared" si="29"/>
        <v>2438186.14</v>
      </c>
    </row>
    <row r="52" spans="1:34" ht="30.75" customHeight="1">
      <c r="A52" s="778">
        <v>395003</v>
      </c>
      <c r="B52" s="778" t="s">
        <v>1301</v>
      </c>
      <c r="C52" s="1594">
        <f>'2-1-12 MFP Funded by site'!G88</f>
        <v>610</v>
      </c>
      <c r="D52" s="1595">
        <f t="shared" si="21"/>
        <v>3442.7546828904692</v>
      </c>
      <c r="E52" s="1595">
        <f t="shared" si="22"/>
        <v>2100080</v>
      </c>
      <c r="F52" s="1586">
        <v>761.3587570202327</v>
      </c>
      <c r="G52" s="1586">
        <f t="shared" si="23"/>
        <v>464428.84178234194</v>
      </c>
      <c r="H52" s="1587">
        <f t="shared" si="30"/>
        <v>2564508.8417823417</v>
      </c>
      <c r="I52" s="1587">
        <f>'[1]Midyear Adjustment Summary'!C169</f>
        <v>109306.94943767825</v>
      </c>
      <c r="J52" s="1587">
        <f>'[1]Midyear Adjustment Summary'!D169</f>
        <v>-4204.1134399107023</v>
      </c>
      <c r="K52" s="1587">
        <f t="shared" si="24"/>
        <v>105102.83599776756</v>
      </c>
      <c r="L52" s="1587">
        <f t="shared" si="25"/>
        <v>2669611.6777801095</v>
      </c>
      <c r="M52" s="1595">
        <f>'[2]Adjusted Amounts'!$C175+'[2]Adjusted Amounts'!$H175</f>
        <v>-25409.890761430594</v>
      </c>
      <c r="N52" s="1597">
        <f t="shared" si="26"/>
        <v>2644201.7870186791</v>
      </c>
      <c r="O52" s="1586">
        <f t="shared" si="44"/>
        <v>2559560</v>
      </c>
      <c r="P52" s="1586"/>
      <c r="Q52" s="548">
        <v>26</v>
      </c>
      <c r="R52" s="1586">
        <f t="shared" si="45"/>
        <v>109096</v>
      </c>
      <c r="S52" s="1243">
        <v>-2</v>
      </c>
      <c r="T52" s="1586">
        <f t="shared" si="46"/>
        <v>-4196</v>
      </c>
      <c r="U52" s="1586">
        <f t="shared" si="27"/>
        <v>104900</v>
      </c>
      <c r="V52" s="1586">
        <f t="shared" si="47"/>
        <v>2664460</v>
      </c>
      <c r="W52" s="1586">
        <f t="shared" si="31"/>
        <v>-46628.05</v>
      </c>
      <c r="X52" s="1586">
        <f t="shared" si="32"/>
        <v>-6661.1500000000005</v>
      </c>
      <c r="Y52" s="1586">
        <f t="shared" si="33"/>
        <v>-53289.200000000004</v>
      </c>
      <c r="Z52" s="1586">
        <f t="shared" si="28"/>
        <v>2611170.7999999998</v>
      </c>
      <c r="AA52" s="1586">
        <f>'[15]April 2012-13 Allocation'!AT48</f>
        <v>-23166.5</v>
      </c>
      <c r="AB52" s="1586">
        <f t="shared" si="29"/>
        <v>2588004.2999999998</v>
      </c>
    </row>
    <row r="53" spans="1:34" ht="30.75" customHeight="1">
      <c r="A53" s="778">
        <v>395004</v>
      </c>
      <c r="B53" s="778" t="s">
        <v>1302</v>
      </c>
      <c r="C53" s="1594">
        <f>'2-1-12 MFP Funded by site'!G89</f>
        <v>471</v>
      </c>
      <c r="D53" s="1595">
        <f t="shared" si="21"/>
        <v>3442.7546828904692</v>
      </c>
      <c r="E53" s="1595">
        <f t="shared" si="22"/>
        <v>1621537</v>
      </c>
      <c r="F53" s="1586">
        <v>1003.4698393033485</v>
      </c>
      <c r="G53" s="1586">
        <f t="shared" si="23"/>
        <v>472634.29431187717</v>
      </c>
      <c r="H53" s="1587">
        <f t="shared" si="30"/>
        <v>2094171.2943118771</v>
      </c>
      <c r="I53" s="1587">
        <f>'[1]Midyear Adjustment Summary'!C170</f>
        <v>-124494.28662142689</v>
      </c>
      <c r="J53" s="1587">
        <f>'[1]Midyear Adjustment Summary'!D170</f>
        <v>71139.592355101078</v>
      </c>
      <c r="K53" s="1587">
        <f t="shared" si="24"/>
        <v>-53354.694266325809</v>
      </c>
      <c r="L53" s="1587">
        <f t="shared" si="25"/>
        <v>2040816.6000455513</v>
      </c>
      <c r="M53" s="1595">
        <f>'[2]Adjusted Amounts'!$C176+'[2]Adjusted Amounts'!$H176</f>
        <v>-28217.824855321145</v>
      </c>
      <c r="N53" s="1597">
        <f t="shared" si="26"/>
        <v>2012598.7751902302</v>
      </c>
      <c r="O53" s="1586">
        <f t="shared" si="44"/>
        <v>1976316</v>
      </c>
      <c r="P53" s="1586"/>
      <c r="Q53" s="548">
        <v>-28</v>
      </c>
      <c r="R53" s="1586">
        <f t="shared" si="45"/>
        <v>-117488</v>
      </c>
      <c r="S53" s="1243">
        <v>32</v>
      </c>
      <c r="T53" s="1586">
        <f t="shared" si="46"/>
        <v>67136</v>
      </c>
      <c r="U53" s="1586">
        <f t="shared" si="27"/>
        <v>-50352</v>
      </c>
      <c r="V53" s="1586">
        <f t="shared" si="47"/>
        <v>1925964</v>
      </c>
      <c r="W53" s="1586">
        <f t="shared" si="31"/>
        <v>-33704.370000000003</v>
      </c>
      <c r="X53" s="1586">
        <f t="shared" si="32"/>
        <v>-4814.91</v>
      </c>
      <c r="Y53" s="1586">
        <f t="shared" si="33"/>
        <v>-38519.279999999999</v>
      </c>
      <c r="Z53" s="1586">
        <f t="shared" si="28"/>
        <v>1887444.72</v>
      </c>
      <c r="AA53" s="1586">
        <f>'[15]April 2012-13 Allocation'!AT49</f>
        <v>-18863.5</v>
      </c>
      <c r="AB53" s="1586">
        <f t="shared" si="29"/>
        <v>1868581.22</v>
      </c>
    </row>
    <row r="54" spans="1:34" ht="30.75" customHeight="1">
      <c r="A54" s="778">
        <v>395005</v>
      </c>
      <c r="B54" s="778" t="s">
        <v>1303</v>
      </c>
      <c r="C54" s="1594">
        <f>'2-1-12 MFP Funded by site'!G90</f>
        <v>858</v>
      </c>
      <c r="D54" s="1595">
        <f t="shared" si="21"/>
        <v>3442.7546828904692</v>
      </c>
      <c r="E54" s="1595">
        <f t="shared" si="22"/>
        <v>2953884</v>
      </c>
      <c r="F54" s="1586">
        <v>592.05529010815155</v>
      </c>
      <c r="G54" s="1586">
        <f t="shared" si="23"/>
        <v>507983.43891279405</v>
      </c>
      <c r="H54" s="1587">
        <f t="shared" si="30"/>
        <v>3461867.438912794</v>
      </c>
      <c r="I54" s="1587">
        <f>'[1]Midyear Adjustment Summary'!C171</f>
        <v>181566.44878493794</v>
      </c>
      <c r="J54" s="1587">
        <f>'[1]Midyear Adjustment Summary'!D171</f>
        <v>-48417.719675983448</v>
      </c>
      <c r="K54" s="1587">
        <f t="shared" si="24"/>
        <v>133148.72910895449</v>
      </c>
      <c r="L54" s="1587">
        <f t="shared" si="25"/>
        <v>3595016.1680217483</v>
      </c>
      <c r="M54" s="1595">
        <f>'[2]Adjusted Amounts'!$C177+'[2]Adjusted Amounts'!$H177</f>
        <v>-34130.720163278726</v>
      </c>
      <c r="N54" s="1597">
        <f t="shared" si="26"/>
        <v>3560885.4478584696</v>
      </c>
      <c r="O54" s="1586">
        <f t="shared" si="44"/>
        <v>3600168</v>
      </c>
      <c r="P54" s="1586"/>
      <c r="Q54" s="548">
        <v>45</v>
      </c>
      <c r="R54" s="1586">
        <f t="shared" si="45"/>
        <v>188820</v>
      </c>
      <c r="S54" s="1243">
        <v>-24</v>
      </c>
      <c r="T54" s="1586">
        <f t="shared" si="46"/>
        <v>-50352</v>
      </c>
      <c r="U54" s="1586">
        <f t="shared" si="27"/>
        <v>138468</v>
      </c>
      <c r="V54" s="1586">
        <f t="shared" si="47"/>
        <v>3738636</v>
      </c>
      <c r="W54" s="1586">
        <f t="shared" si="31"/>
        <v>-65426.130000000005</v>
      </c>
      <c r="X54" s="1586">
        <f t="shared" si="32"/>
        <v>-9346.59</v>
      </c>
      <c r="Y54" s="1586">
        <f t="shared" si="33"/>
        <v>-74772.72</v>
      </c>
      <c r="Z54" s="1586">
        <f t="shared" si="28"/>
        <v>3663863.28</v>
      </c>
      <c r="AA54" s="1586">
        <f>'[15]April 2012-13 Allocation'!AT50</f>
        <v>-20715</v>
      </c>
      <c r="AB54" s="1586">
        <f t="shared" si="29"/>
        <v>3643148.28</v>
      </c>
    </row>
    <row r="55" spans="1:34" ht="30.75" customHeight="1">
      <c r="A55" s="778">
        <v>395007</v>
      </c>
      <c r="B55" s="778" t="s">
        <v>1304</v>
      </c>
      <c r="C55" s="1594">
        <f>'2-1-12 MFP Funded by site'!G91</f>
        <v>278</v>
      </c>
      <c r="D55" s="1595">
        <f t="shared" si="21"/>
        <v>3442.7546828904692</v>
      </c>
      <c r="E55" s="1595">
        <f t="shared" si="22"/>
        <v>957086</v>
      </c>
      <c r="F55" s="1586">
        <v>907.69666061705993</v>
      </c>
      <c r="G55" s="1586">
        <f t="shared" si="23"/>
        <v>252339.67165154265</v>
      </c>
      <c r="H55" s="1587">
        <f t="shared" si="30"/>
        <v>1209425.6716515427</v>
      </c>
      <c r="I55" s="1587">
        <f>'[1]Midyear Adjustment Summary'!C172</f>
        <v>-134863.99164873341</v>
      </c>
      <c r="J55" s="1587">
        <f>'[1]Midyear Adjustment Summary'!D172</f>
        <v>30453.159404552709</v>
      </c>
      <c r="K55" s="1587">
        <f t="shared" si="24"/>
        <v>-104410.8322441807</v>
      </c>
      <c r="L55" s="1587">
        <f t="shared" si="25"/>
        <v>1105014.839407362</v>
      </c>
      <c r="M55" s="1595">
        <f>'[2]Adjusted Amounts'!$C178+'[2]Adjusted Amounts'!$H178</f>
        <v>-48373.316151059538</v>
      </c>
      <c r="N55" s="1597">
        <f t="shared" si="26"/>
        <v>1056641.5232563026</v>
      </c>
      <c r="O55" s="1586">
        <f t="shared" si="44"/>
        <v>1166488</v>
      </c>
      <c r="P55" s="1586"/>
      <c r="Q55" s="548">
        <v>-31</v>
      </c>
      <c r="R55" s="1586">
        <f t="shared" si="45"/>
        <v>-130076</v>
      </c>
      <c r="S55" s="1243">
        <v>14</v>
      </c>
      <c r="T55" s="1586">
        <f t="shared" si="46"/>
        <v>29372</v>
      </c>
      <c r="U55" s="1586">
        <f t="shared" si="27"/>
        <v>-100704</v>
      </c>
      <c r="V55" s="1586">
        <f t="shared" si="47"/>
        <v>1065784</v>
      </c>
      <c r="W55" s="1586">
        <f t="shared" si="31"/>
        <v>-18651.22</v>
      </c>
      <c r="X55" s="1586">
        <f t="shared" si="32"/>
        <v>-2664.46</v>
      </c>
      <c r="Y55" s="1586">
        <f t="shared" si="33"/>
        <v>-21315.68</v>
      </c>
      <c r="Z55" s="1586">
        <f t="shared" si="28"/>
        <v>1044468.32</v>
      </c>
      <c r="AA55" s="1586">
        <f>'[15]April 2012-13 Allocation'!AT51</f>
        <v>-44381.5</v>
      </c>
      <c r="AB55" s="1586">
        <f t="shared" si="29"/>
        <v>1000086.82</v>
      </c>
    </row>
    <row r="56" spans="1:34" ht="30.75" customHeight="1">
      <c r="A56" s="778">
        <v>397001</v>
      </c>
      <c r="B56" s="778" t="s">
        <v>1305</v>
      </c>
      <c r="C56" s="1594">
        <f>'2-1-12 MFP Funded by site'!G92</f>
        <v>469</v>
      </c>
      <c r="D56" s="1595">
        <f t="shared" si="21"/>
        <v>3442.7546828904692</v>
      </c>
      <c r="E56" s="1595">
        <f t="shared" si="22"/>
        <v>1614652</v>
      </c>
      <c r="F56" s="1586">
        <v>741.72363820787723</v>
      </c>
      <c r="G56" s="1586">
        <f t="shared" si="23"/>
        <v>347868.3863194944</v>
      </c>
      <c r="H56" s="1587">
        <f t="shared" si="30"/>
        <v>1962520.3863194943</v>
      </c>
      <c r="I56" s="1587">
        <f>'[1]Midyear Adjustment Summary'!C173</f>
        <v>62767.174816475192</v>
      </c>
      <c r="J56" s="1587">
        <f>'[1]Midyear Adjustment Summary'!D173</f>
        <v>-2092.239160549173</v>
      </c>
      <c r="K56" s="1587">
        <f t="shared" si="24"/>
        <v>60674.93565592602</v>
      </c>
      <c r="L56" s="1587">
        <f t="shared" si="25"/>
        <v>2023195.3219754205</v>
      </c>
      <c r="M56" s="1595">
        <f>'[2]Adjusted Amounts'!$C179+'[2]Adjusted Amounts'!$H179</f>
        <v>0</v>
      </c>
      <c r="N56" s="1597">
        <f t="shared" si="26"/>
        <v>2023195.3219754205</v>
      </c>
      <c r="O56" s="1586">
        <f t="shared" si="44"/>
        <v>1967924</v>
      </c>
      <c r="P56" s="1586"/>
      <c r="Q56" s="548">
        <v>15</v>
      </c>
      <c r="R56" s="1586">
        <f t="shared" si="45"/>
        <v>62940</v>
      </c>
      <c r="S56" s="1243">
        <v>-1</v>
      </c>
      <c r="T56" s="1586">
        <f t="shared" si="46"/>
        <v>-2098</v>
      </c>
      <c r="U56" s="1586">
        <f t="shared" si="27"/>
        <v>60842</v>
      </c>
      <c r="V56" s="1586">
        <f t="shared" si="47"/>
        <v>2028766</v>
      </c>
      <c r="W56" s="1586">
        <f t="shared" si="31"/>
        <v>-35503.405000000006</v>
      </c>
      <c r="X56" s="1586">
        <f t="shared" si="32"/>
        <v>-5071.915</v>
      </c>
      <c r="Y56" s="1586">
        <f t="shared" si="33"/>
        <v>-40575.320000000007</v>
      </c>
      <c r="Z56" s="1586">
        <f t="shared" si="28"/>
        <v>1988190.68</v>
      </c>
      <c r="AA56" s="1586">
        <f>'[15]April 2012-13 Allocation'!AT52</f>
        <v>0</v>
      </c>
      <c r="AB56" s="1586">
        <f t="shared" si="29"/>
        <v>1988190.68</v>
      </c>
    </row>
    <row r="57" spans="1:34" ht="30.75" customHeight="1">
      <c r="A57" s="778">
        <v>398001</v>
      </c>
      <c r="B57" s="778" t="s">
        <v>1306</v>
      </c>
      <c r="C57" s="1594">
        <f>'2-1-12 MFP Funded by site'!G93</f>
        <v>481</v>
      </c>
      <c r="D57" s="1595">
        <f t="shared" si="21"/>
        <v>3442.7546828904692</v>
      </c>
      <c r="E57" s="1595">
        <f t="shared" si="22"/>
        <v>1655965</v>
      </c>
      <c r="F57" s="1586">
        <v>643.94778836855926</v>
      </c>
      <c r="G57" s="1586">
        <f t="shared" si="23"/>
        <v>309738.886205277</v>
      </c>
      <c r="H57" s="1587">
        <f t="shared" si="30"/>
        <v>1965703.8862052769</v>
      </c>
      <c r="I57" s="1587">
        <f>'[1]Midyear Adjustment Summary'!C174</f>
        <v>555791.53609122778</v>
      </c>
      <c r="J57" s="1587">
        <f>'[1]Midyear Adjustment Summary'!D174</f>
        <v>-28606.917298813198</v>
      </c>
      <c r="K57" s="1587">
        <f t="shared" si="24"/>
        <v>527184.61879241455</v>
      </c>
      <c r="L57" s="1587">
        <f t="shared" si="25"/>
        <v>2492888.5049976916</v>
      </c>
      <c r="M57" s="1595">
        <f>'[2]Adjusted Amounts'!$C180+'[2]Adjusted Amounts'!$H180</f>
        <v>-12568.727550269825</v>
      </c>
      <c r="N57" s="1597">
        <f t="shared" si="26"/>
        <v>2480319.7774474216</v>
      </c>
      <c r="O57" s="1586">
        <f t="shared" si="44"/>
        <v>2018276</v>
      </c>
      <c r="P57" s="1586"/>
      <c r="Q57" s="548">
        <v>136</v>
      </c>
      <c r="R57" s="1586">
        <f t="shared" si="45"/>
        <v>570656</v>
      </c>
      <c r="S57" s="1243">
        <v>-14</v>
      </c>
      <c r="T57" s="1586">
        <f t="shared" si="46"/>
        <v>-29372</v>
      </c>
      <c r="U57" s="1586">
        <f t="shared" si="27"/>
        <v>541284</v>
      </c>
      <c r="V57" s="1586">
        <f t="shared" si="47"/>
        <v>2559560</v>
      </c>
      <c r="W57" s="1586">
        <f t="shared" si="31"/>
        <v>-44792.3</v>
      </c>
      <c r="X57" s="1586">
        <f t="shared" si="32"/>
        <v>-6398.9000000000005</v>
      </c>
      <c r="Y57" s="1586">
        <f t="shared" si="33"/>
        <v>-51191.200000000004</v>
      </c>
      <c r="Z57" s="1586">
        <f t="shared" si="28"/>
        <v>2508368.7999999998</v>
      </c>
      <c r="AA57" s="1586">
        <f>'[15]April 2012-13 Allocation'!AT53</f>
        <v>0</v>
      </c>
      <c r="AB57" s="1586">
        <f t="shared" si="29"/>
        <v>2508368.7999999998</v>
      </c>
    </row>
    <row r="58" spans="1:34" ht="30.75" customHeight="1">
      <c r="A58" s="778">
        <v>398002</v>
      </c>
      <c r="B58" s="778" t="s">
        <v>1307</v>
      </c>
      <c r="C58" s="1594">
        <f>'2-1-12 MFP Funded by site'!G94</f>
        <v>556</v>
      </c>
      <c r="D58" s="1595">
        <f t="shared" si="21"/>
        <v>3442.7546828904692</v>
      </c>
      <c r="E58" s="1595">
        <f t="shared" si="22"/>
        <v>1914172</v>
      </c>
      <c r="F58" s="1586">
        <v>724.79250196607131</v>
      </c>
      <c r="G58" s="1586">
        <f t="shared" si="23"/>
        <v>402984.63109313563</v>
      </c>
      <c r="H58" s="1587">
        <f t="shared" si="30"/>
        <v>2317156.6310931356</v>
      </c>
      <c r="I58" s="1587">
        <f>'[1]Midyear Adjustment Summary'!C175</f>
        <v>875184.90881987347</v>
      </c>
      <c r="J58" s="1587">
        <f>'[1]Midyear Adjustment Summary'!D175</f>
        <v>-6251.3207772848109</v>
      </c>
      <c r="K58" s="1587">
        <f t="shared" si="24"/>
        <v>868933.58804258867</v>
      </c>
      <c r="L58" s="1587">
        <f t="shared" si="25"/>
        <v>3186090.219135724</v>
      </c>
      <c r="M58" s="1595">
        <f>'[2]Adjusted Amounts'!$C181+'[2]Adjusted Amounts'!$H181</f>
        <v>11533.069772177947</v>
      </c>
      <c r="N58" s="1597">
        <f t="shared" si="26"/>
        <v>3197623.2889079018</v>
      </c>
      <c r="O58" s="1586">
        <f t="shared" si="44"/>
        <v>2332976</v>
      </c>
      <c r="P58" s="1586"/>
      <c r="Q58" s="548">
        <v>210</v>
      </c>
      <c r="R58" s="1586">
        <f t="shared" si="45"/>
        <v>881160</v>
      </c>
      <c r="S58" s="1243">
        <v>-3</v>
      </c>
      <c r="T58" s="1586">
        <f t="shared" si="46"/>
        <v>-6294</v>
      </c>
      <c r="U58" s="1586">
        <f t="shared" si="27"/>
        <v>874866</v>
      </c>
      <c r="V58" s="1586">
        <f t="shared" si="47"/>
        <v>3207842</v>
      </c>
      <c r="W58" s="1586">
        <f t="shared" si="31"/>
        <v>-56137.235000000008</v>
      </c>
      <c r="X58" s="1586">
        <f t="shared" si="32"/>
        <v>-8019.6050000000005</v>
      </c>
      <c r="Y58" s="1586">
        <f t="shared" si="33"/>
        <v>-64156.840000000011</v>
      </c>
      <c r="Z58" s="1586">
        <f t="shared" si="28"/>
        <v>3143685.16</v>
      </c>
      <c r="AA58" s="1586">
        <f>'[15]April 2012-13 Allocation'!AT54</f>
        <v>16112</v>
      </c>
      <c r="AB58" s="1586">
        <f t="shared" si="29"/>
        <v>3159797.16</v>
      </c>
    </row>
    <row r="59" spans="1:34" ht="30.75" customHeight="1">
      <c r="A59" s="778">
        <v>398003</v>
      </c>
      <c r="B59" s="778" t="s">
        <v>1308</v>
      </c>
      <c r="C59" s="1594">
        <f>'2-1-12 MFP Funded by site'!G95</f>
        <v>387</v>
      </c>
      <c r="D59" s="1595">
        <f t="shared" si="21"/>
        <v>3442.7546828904692</v>
      </c>
      <c r="E59" s="1595">
        <f t="shared" si="22"/>
        <v>1332346</v>
      </c>
      <c r="F59" s="1586">
        <v>592.5310423197493</v>
      </c>
      <c r="G59" s="1586">
        <f t="shared" si="23"/>
        <v>229309.51337774299</v>
      </c>
      <c r="H59" s="1587">
        <f t="shared" si="30"/>
        <v>1561655.5133777431</v>
      </c>
      <c r="I59" s="1587">
        <f>'[1]Midyear Adjustment Summary'!C176</f>
        <v>80705.71450420437</v>
      </c>
      <c r="J59" s="1587">
        <f>'[1]Midyear Adjustment Summary'!D176</f>
        <v>-4035.2857252102185</v>
      </c>
      <c r="K59" s="1587">
        <f t="shared" si="24"/>
        <v>76670.428778994159</v>
      </c>
      <c r="L59" s="1587">
        <f t="shared" si="25"/>
        <v>1638325.9421567372</v>
      </c>
      <c r="M59" s="1595">
        <f>'[2]Adjusted Amounts'!$C182+'[2]Adjusted Amounts'!$H182</f>
        <v>-20795.015874036515</v>
      </c>
      <c r="N59" s="1597">
        <f t="shared" si="26"/>
        <v>1617530.9262827006</v>
      </c>
      <c r="O59" s="1586">
        <f t="shared" si="44"/>
        <v>1623852</v>
      </c>
      <c r="P59" s="1586"/>
      <c r="Q59" s="548">
        <v>20</v>
      </c>
      <c r="R59" s="1586">
        <f t="shared" si="45"/>
        <v>83920</v>
      </c>
      <c r="S59" s="1243">
        <v>-2</v>
      </c>
      <c r="T59" s="1586">
        <f t="shared" si="46"/>
        <v>-4196</v>
      </c>
      <c r="U59" s="1586">
        <f t="shared" si="27"/>
        <v>79724</v>
      </c>
      <c r="V59" s="1586">
        <f t="shared" si="47"/>
        <v>1703576</v>
      </c>
      <c r="W59" s="1586">
        <f t="shared" si="31"/>
        <v>-29812.58</v>
      </c>
      <c r="X59" s="1586">
        <f t="shared" si="32"/>
        <v>-4258.9400000000005</v>
      </c>
      <c r="Y59" s="1586">
        <f t="shared" si="33"/>
        <v>-34071.520000000004</v>
      </c>
      <c r="Z59" s="1586">
        <f t="shared" si="28"/>
        <v>1669504.48</v>
      </c>
      <c r="AA59" s="1586">
        <f>'[15]April 2012-13 Allocation'!AT55</f>
        <v>-12609</v>
      </c>
      <c r="AB59" s="1586">
        <f t="shared" si="29"/>
        <v>1656895.48</v>
      </c>
    </row>
    <row r="60" spans="1:34" ht="30.75" customHeight="1">
      <c r="A60" s="1968">
        <v>398004</v>
      </c>
      <c r="B60" s="778" t="s">
        <v>1309</v>
      </c>
      <c r="C60" s="1594">
        <v>203</v>
      </c>
      <c r="D60" s="1595">
        <f t="shared" si="21"/>
        <v>3442.7546828904692</v>
      </c>
      <c r="E60" s="1595">
        <f t="shared" si="22"/>
        <v>698879</v>
      </c>
      <c r="F60" s="1586">
        <v>741.31578947368428</v>
      </c>
      <c r="G60" s="1586">
        <f t="shared" si="23"/>
        <v>150487.10526315792</v>
      </c>
      <c r="H60" s="1587">
        <f t="shared" si="30"/>
        <v>849366.10526315798</v>
      </c>
      <c r="I60" s="1587">
        <f>'[1]Midyear Adjustment Summary'!C177</f>
        <v>405854.83581932291</v>
      </c>
      <c r="J60" s="1587">
        <f>'[1]Midyear Adjustment Summary'!D177</f>
        <v>0</v>
      </c>
      <c r="K60" s="1587">
        <f t="shared" si="24"/>
        <v>405854.83581932291</v>
      </c>
      <c r="L60" s="1587">
        <f t="shared" si="25"/>
        <v>1255220.9410824808</v>
      </c>
      <c r="M60" s="1595">
        <f>'[2]Adjusted Amounts'!$C183+'[2]Adjusted Amounts'!$H183</f>
        <v>-1339.5971272527331</v>
      </c>
      <c r="N60" s="1597">
        <f t="shared" si="26"/>
        <v>1253881.3439552281</v>
      </c>
      <c r="O60" s="1586">
        <f t="shared" si="44"/>
        <v>851788</v>
      </c>
      <c r="P60" s="1586"/>
      <c r="Q60" s="548">
        <v>97</v>
      </c>
      <c r="R60" s="1586">
        <f t="shared" si="45"/>
        <v>407012</v>
      </c>
      <c r="S60" s="1243">
        <v>0</v>
      </c>
      <c r="T60" s="1586">
        <f t="shared" si="46"/>
        <v>0</v>
      </c>
      <c r="U60" s="1586">
        <f t="shared" si="27"/>
        <v>407012</v>
      </c>
      <c r="V60" s="1586">
        <f t="shared" si="47"/>
        <v>1258800</v>
      </c>
      <c r="W60" s="1586">
        <f t="shared" si="31"/>
        <v>-22029.000000000004</v>
      </c>
      <c r="X60" s="1586">
        <f t="shared" si="32"/>
        <v>-3147</v>
      </c>
      <c r="Y60" s="1586">
        <f t="shared" si="33"/>
        <v>-25176.000000000004</v>
      </c>
      <c r="Z60" s="1586">
        <f t="shared" si="28"/>
        <v>1233624</v>
      </c>
      <c r="AA60" s="1586">
        <f>'[15]April 2012-13 Allocation'!AT56</f>
        <v>2051.5</v>
      </c>
      <c r="AB60" s="1586">
        <f t="shared" si="29"/>
        <v>1235675.5</v>
      </c>
    </row>
    <row r="61" spans="1:34" ht="44.25" customHeight="1">
      <c r="A61" s="1969"/>
      <c r="B61" s="778" t="s">
        <v>1319</v>
      </c>
      <c r="C61" s="1594">
        <v>213</v>
      </c>
      <c r="D61" s="1595">
        <f t="shared" si="21"/>
        <v>3442.7546828904692</v>
      </c>
      <c r="E61" s="1595">
        <f t="shared" si="22"/>
        <v>733307</v>
      </c>
      <c r="F61" s="1586">
        <v>741.31578947368428</v>
      </c>
      <c r="G61" s="1586">
        <f t="shared" si="23"/>
        <v>157900.26315789475</v>
      </c>
      <c r="H61" s="1587">
        <f t="shared" si="30"/>
        <v>891207.26315789472</v>
      </c>
      <c r="I61" s="1587"/>
      <c r="J61" s="1587"/>
      <c r="K61" s="1587">
        <f t="shared" si="24"/>
        <v>0</v>
      </c>
      <c r="L61" s="1587">
        <f t="shared" si="25"/>
        <v>891207.26315789472</v>
      </c>
      <c r="M61" s="1595"/>
      <c r="N61" s="1597">
        <f t="shared" si="26"/>
        <v>891207.26315789472</v>
      </c>
      <c r="O61" s="1586">
        <v>0</v>
      </c>
      <c r="P61" s="1586">
        <f>C61*$P$5</f>
        <v>1040292</v>
      </c>
      <c r="Q61" s="548">
        <v>0</v>
      </c>
      <c r="R61" s="1586">
        <f>$P$5*Q61</f>
        <v>0</v>
      </c>
      <c r="T61" s="1586">
        <f>($P$5*0.5)*S61</f>
        <v>0</v>
      </c>
      <c r="U61" s="1586">
        <f t="shared" si="27"/>
        <v>0</v>
      </c>
      <c r="V61" s="1586">
        <f>P61+U61</f>
        <v>1040292</v>
      </c>
      <c r="W61" s="1586">
        <f t="shared" si="31"/>
        <v>-18205.11</v>
      </c>
      <c r="X61" s="1586">
        <f t="shared" si="32"/>
        <v>-2600.73</v>
      </c>
      <c r="Y61" s="1586">
        <f t="shared" si="33"/>
        <v>-20805.84</v>
      </c>
      <c r="Z61" s="1586">
        <f t="shared" si="28"/>
        <v>1019486.16</v>
      </c>
      <c r="AA61" s="1586">
        <f>'[15]April 2012-13 Allocation'!AT57</f>
        <v>0</v>
      </c>
      <c r="AB61" s="1586">
        <f t="shared" si="29"/>
        <v>1019486.16</v>
      </c>
    </row>
    <row r="62" spans="1:34" ht="30.75" customHeight="1">
      <c r="A62" s="778">
        <v>398005</v>
      </c>
      <c r="B62" s="778" t="s">
        <v>1310</v>
      </c>
      <c r="C62" s="1594">
        <f>'2-1-12 MFP Funded by site'!G97</f>
        <v>271</v>
      </c>
      <c r="D62" s="1595">
        <f t="shared" si="21"/>
        <v>3442.7546828904692</v>
      </c>
      <c r="E62" s="1595">
        <f t="shared" si="22"/>
        <v>932987</v>
      </c>
      <c r="F62" s="1586">
        <v>746.0335616438357</v>
      </c>
      <c r="G62" s="1586">
        <f t="shared" si="23"/>
        <v>202175.09520547948</v>
      </c>
      <c r="H62" s="1587">
        <f t="shared" si="30"/>
        <v>1135162.0952054795</v>
      </c>
      <c r="I62" s="1587">
        <f>'[1]Midyear Adjustment Summary'!C178</f>
        <v>456577.91865423921</v>
      </c>
      <c r="J62" s="1587">
        <f>'[1]Midyear Adjustment Summary'!D178</f>
        <v>-77492.582523884645</v>
      </c>
      <c r="K62" s="1587">
        <f t="shared" si="24"/>
        <v>379085.33613035455</v>
      </c>
      <c r="L62" s="1587">
        <f t="shared" si="25"/>
        <v>1514247.4313358341</v>
      </c>
      <c r="M62" s="1595">
        <f>'[2]Adjusted Amounts'!$C184+'[2]Adjusted Amounts'!$H184</f>
        <v>-22885.095805249432</v>
      </c>
      <c r="N62" s="1597">
        <f t="shared" si="26"/>
        <v>1491362.3355305847</v>
      </c>
      <c r="O62" s="1586">
        <f t="shared" ref="O62:O68" si="50">C62*$O$5</f>
        <v>1137116</v>
      </c>
      <c r="P62" s="1586"/>
      <c r="Q62" s="548">
        <v>109</v>
      </c>
      <c r="R62" s="1586">
        <f t="shared" ref="R62:R68" si="51">Q62*$O$5</f>
        <v>457364</v>
      </c>
      <c r="S62" s="1243">
        <v>-37</v>
      </c>
      <c r="T62" s="1586">
        <f t="shared" ref="T62:T68" si="52">($O$5*0.5)*S62</f>
        <v>-77626</v>
      </c>
      <c r="U62" s="1586">
        <f t="shared" si="27"/>
        <v>379738</v>
      </c>
      <c r="V62" s="1586">
        <f t="shared" ref="V62:V68" si="53">O62+U62</f>
        <v>1516854</v>
      </c>
      <c r="W62" s="1586">
        <f t="shared" si="31"/>
        <v>-26544.945000000003</v>
      </c>
      <c r="X62" s="1586">
        <f t="shared" si="32"/>
        <v>-3792.1350000000002</v>
      </c>
      <c r="Y62" s="1586">
        <f t="shared" si="33"/>
        <v>-30337.08</v>
      </c>
      <c r="Z62" s="1586">
        <f t="shared" si="28"/>
        <v>1486516.92</v>
      </c>
      <c r="AA62" s="1586">
        <f>'[15]April 2012-13 Allocation'!AT58</f>
        <v>-21015</v>
      </c>
      <c r="AB62" s="1586">
        <f t="shared" si="29"/>
        <v>1465501.92</v>
      </c>
    </row>
    <row r="63" spans="1:34" ht="30.75" customHeight="1">
      <c r="A63" s="778">
        <v>398006</v>
      </c>
      <c r="B63" s="778" t="s">
        <v>1311</v>
      </c>
      <c r="C63" s="1594">
        <f>'2-1-12 MFP Funded by site'!G98</f>
        <v>309</v>
      </c>
      <c r="D63" s="1595">
        <f t="shared" si="21"/>
        <v>3442.7546828904692</v>
      </c>
      <c r="E63" s="1595">
        <f t="shared" si="22"/>
        <v>1063811</v>
      </c>
      <c r="F63" s="1586">
        <v>746.0335616438357</v>
      </c>
      <c r="G63" s="1586">
        <f t="shared" si="23"/>
        <v>230524.37054794523</v>
      </c>
      <c r="H63" s="1587">
        <f t="shared" si="30"/>
        <v>1294335.3705479451</v>
      </c>
      <c r="I63" s="1587">
        <f>'[1]Midyear Adjustment Summary'!C179</f>
        <v>917344.62555301271</v>
      </c>
      <c r="J63" s="1587">
        <f>'[1]Midyear Adjustment Summary'!D179</f>
        <v>-29321.517711740133</v>
      </c>
      <c r="K63" s="1587">
        <f t="shared" si="24"/>
        <v>888023.10784127261</v>
      </c>
      <c r="L63" s="1587">
        <f t="shared" si="25"/>
        <v>2182358.4783892175</v>
      </c>
      <c r="M63" s="1595">
        <f>'[2]Adjusted Amounts'!$C185+'[2]Adjusted Amounts'!$H185</f>
        <v>-11303.507406338271</v>
      </c>
      <c r="N63" s="1597">
        <f t="shared" si="26"/>
        <v>2171054.9709828794</v>
      </c>
      <c r="O63" s="1586">
        <f t="shared" si="50"/>
        <v>1296564</v>
      </c>
      <c r="P63" s="1586"/>
      <c r="Q63" s="548">
        <v>219</v>
      </c>
      <c r="R63" s="1586">
        <f t="shared" si="51"/>
        <v>918924</v>
      </c>
      <c r="S63" s="1243">
        <v>-14</v>
      </c>
      <c r="T63" s="1586">
        <f t="shared" si="52"/>
        <v>-29372</v>
      </c>
      <c r="U63" s="1586">
        <f t="shared" si="27"/>
        <v>889552</v>
      </c>
      <c r="V63" s="1586">
        <f t="shared" si="53"/>
        <v>2186116</v>
      </c>
      <c r="W63" s="1586">
        <f t="shared" si="31"/>
        <v>-38257.030000000006</v>
      </c>
      <c r="X63" s="1586">
        <f t="shared" si="32"/>
        <v>-5465.29</v>
      </c>
      <c r="Y63" s="1586">
        <f t="shared" si="33"/>
        <v>-43722.320000000007</v>
      </c>
      <c r="Z63" s="1586">
        <f t="shared" si="28"/>
        <v>2142393.6800000002</v>
      </c>
      <c r="AA63" s="1586">
        <f>'[15]April 2012-13 Allocation'!AT59</f>
        <v>-8406</v>
      </c>
      <c r="AB63" s="1586">
        <f t="shared" si="29"/>
        <v>2133987.6800000002</v>
      </c>
    </row>
    <row r="64" spans="1:34" ht="30.75" customHeight="1">
      <c r="A64" s="778">
        <v>399001</v>
      </c>
      <c r="B64" s="778" t="s">
        <v>519</v>
      </c>
      <c r="C64" s="1594">
        <f>'2-1-12 MFP Funded by site'!G99</f>
        <v>515</v>
      </c>
      <c r="D64" s="1595">
        <f t="shared" si="21"/>
        <v>3442.7546828904692</v>
      </c>
      <c r="E64" s="1595">
        <f t="shared" si="22"/>
        <v>1773019</v>
      </c>
      <c r="F64" s="1586">
        <v>752.85062142702634</v>
      </c>
      <c r="G64" s="1586">
        <f t="shared" si="23"/>
        <v>387718.07003491855</v>
      </c>
      <c r="H64" s="1587">
        <f t="shared" si="30"/>
        <v>2160737.0700349184</v>
      </c>
      <c r="I64" s="1587">
        <f>'[1]Midyear Adjustment Summary'!C180</f>
        <v>0</v>
      </c>
      <c r="J64" s="1587">
        <f>'[1]Midyear Adjustment Summary'!D180</f>
        <v>-14684.618565111234</v>
      </c>
      <c r="K64" s="1587">
        <f t="shared" si="24"/>
        <v>-14684.618565111234</v>
      </c>
      <c r="L64" s="1587">
        <f t="shared" si="25"/>
        <v>2146052.451469807</v>
      </c>
      <c r="M64" s="1595">
        <f>'[2]Adjusted Amounts'!$C186+'[2]Adjusted Amounts'!$H186</f>
        <v>0</v>
      </c>
      <c r="N64" s="1597">
        <f t="shared" si="26"/>
        <v>2146052.451469807</v>
      </c>
      <c r="O64" s="1586">
        <f t="shared" si="50"/>
        <v>2160940</v>
      </c>
      <c r="P64" s="1586"/>
      <c r="Q64" s="548">
        <v>0</v>
      </c>
      <c r="R64" s="1586">
        <f t="shared" si="51"/>
        <v>0</v>
      </c>
      <c r="S64" s="1243">
        <v>-7</v>
      </c>
      <c r="T64" s="1586">
        <f t="shared" si="52"/>
        <v>-14686</v>
      </c>
      <c r="U64" s="1586">
        <f t="shared" si="27"/>
        <v>-14686</v>
      </c>
      <c r="V64" s="1586">
        <f t="shared" si="53"/>
        <v>2146254</v>
      </c>
      <c r="W64" s="1586">
        <f t="shared" si="31"/>
        <v>-37559.445000000007</v>
      </c>
      <c r="X64" s="1586">
        <f t="shared" si="32"/>
        <v>-5365.6350000000002</v>
      </c>
      <c r="Y64" s="1586">
        <f t="shared" si="33"/>
        <v>-42925.080000000009</v>
      </c>
      <c r="Z64" s="1586">
        <f t="shared" si="28"/>
        <v>2103328.92</v>
      </c>
      <c r="AA64" s="1586">
        <f>'[15]April 2012-13 Allocation'!AT60</f>
        <v>0</v>
      </c>
      <c r="AB64" s="1586">
        <f t="shared" si="29"/>
        <v>2103328.92</v>
      </c>
    </row>
    <row r="65" spans="1:34" ht="30.75" customHeight="1">
      <c r="A65" s="778">
        <v>399002</v>
      </c>
      <c r="B65" s="778" t="s">
        <v>1312</v>
      </c>
      <c r="C65" s="1604">
        <f>'2-1-12 MFP Funded by site'!G100</f>
        <v>421</v>
      </c>
      <c r="D65" s="1595">
        <f t="shared" si="21"/>
        <v>3442.7546828904692</v>
      </c>
      <c r="E65" s="1595">
        <f t="shared" si="22"/>
        <v>1449400</v>
      </c>
      <c r="F65" s="1586">
        <v>803.97152919927748</v>
      </c>
      <c r="G65" s="1586">
        <f t="shared" si="23"/>
        <v>338472.01379289583</v>
      </c>
      <c r="H65" s="1587">
        <f t="shared" si="30"/>
        <v>1787872.0137928957</v>
      </c>
      <c r="I65" s="1587">
        <f>'[1]Midyear Adjustment Summary'!C181</f>
        <v>293024.1086341925</v>
      </c>
      <c r="J65" s="1587">
        <f>'[1]Midyear Adjustment Summary'!D181</f>
        <v>-10616.815530224367</v>
      </c>
      <c r="K65" s="1587">
        <f t="shared" si="24"/>
        <v>282407.29310396814</v>
      </c>
      <c r="L65" s="1587">
        <f t="shared" si="25"/>
        <v>2070279.306896864</v>
      </c>
      <c r="M65" s="1595">
        <f>'[2]Adjusted Amounts'!$C187+'[2]Adjusted Amounts'!$H187</f>
        <v>-4630.6707295812012</v>
      </c>
      <c r="N65" s="1597">
        <f t="shared" si="26"/>
        <v>2065648.6361672827</v>
      </c>
      <c r="O65" s="1586">
        <f t="shared" si="50"/>
        <v>1766516</v>
      </c>
      <c r="P65" s="1586"/>
      <c r="Q65" s="548">
        <v>69</v>
      </c>
      <c r="R65" s="1586">
        <f t="shared" si="51"/>
        <v>289524</v>
      </c>
      <c r="S65" s="1243">
        <v>-5</v>
      </c>
      <c r="T65" s="1586">
        <f t="shared" si="52"/>
        <v>-10490</v>
      </c>
      <c r="U65" s="1586">
        <f t="shared" si="27"/>
        <v>279034</v>
      </c>
      <c r="V65" s="1586">
        <f t="shared" si="53"/>
        <v>2045550</v>
      </c>
      <c r="W65" s="1586">
        <f t="shared" si="31"/>
        <v>-35797.125</v>
      </c>
      <c r="X65" s="1586">
        <f t="shared" si="32"/>
        <v>-5113.875</v>
      </c>
      <c r="Y65" s="1586">
        <f t="shared" si="33"/>
        <v>-40911</v>
      </c>
      <c r="Z65" s="1586">
        <f t="shared" si="28"/>
        <v>2004639</v>
      </c>
      <c r="AA65" s="1586">
        <f>'[15]April 2012-13 Allocation'!AT61</f>
        <v>0</v>
      </c>
      <c r="AB65" s="1586">
        <f t="shared" si="29"/>
        <v>2004639</v>
      </c>
    </row>
    <row r="66" spans="1:34" ht="30.75" customHeight="1">
      <c r="A66" s="1044">
        <v>399003</v>
      </c>
      <c r="B66" s="1044" t="s">
        <v>658</v>
      </c>
      <c r="C66" s="1592">
        <f>'2-1-12 MFP Funded by site'!G101</f>
        <v>385</v>
      </c>
      <c r="D66" s="1595">
        <f t="shared" si="21"/>
        <v>3442.7546828904692</v>
      </c>
      <c r="E66" s="1595">
        <f>ROUND(C66*D66,0)</f>
        <v>1325461</v>
      </c>
      <c r="F66" s="1586">
        <v>746.0335616438357</v>
      </c>
      <c r="G66" s="1586">
        <f>F66*C66</f>
        <v>287222.92123287672</v>
      </c>
      <c r="H66" s="1587">
        <f>E66+G66</f>
        <v>1612683.9212328768</v>
      </c>
      <c r="I66" s="1587">
        <f>'[1]Midyear Adjustment Summary'!C182</f>
        <v>209439.41222671524</v>
      </c>
      <c r="J66" s="1587">
        <f>'[1]Midyear Adjustment Summary'!D182</f>
        <v>-85870.159012953241</v>
      </c>
      <c r="K66" s="1587">
        <f t="shared" si="24"/>
        <v>123569.253213762</v>
      </c>
      <c r="L66" s="1587">
        <f t="shared" si="25"/>
        <v>1736253.1744466389</v>
      </c>
      <c r="M66" s="1595">
        <f>'[2]Adjusted Amounts'!$C$188+'[2]Adjusted Amounts'!$H$188</f>
        <v>-19990.303288077295</v>
      </c>
      <c r="N66" s="1597">
        <f t="shared" si="26"/>
        <v>1716262.8711585617</v>
      </c>
      <c r="O66" s="1586">
        <f t="shared" si="50"/>
        <v>1615460</v>
      </c>
      <c r="P66" s="1586"/>
      <c r="Q66" s="548">
        <v>50</v>
      </c>
      <c r="R66" s="1586">
        <f t="shared" si="51"/>
        <v>209800</v>
      </c>
      <c r="S66" s="1243">
        <v>-41</v>
      </c>
      <c r="T66" s="1586">
        <f t="shared" si="52"/>
        <v>-86018</v>
      </c>
      <c r="U66" s="1586">
        <f t="shared" si="27"/>
        <v>123782</v>
      </c>
      <c r="V66" s="1586">
        <f t="shared" si="53"/>
        <v>1739242</v>
      </c>
      <c r="W66" s="1586">
        <f t="shared" si="31"/>
        <v>-30436.735000000004</v>
      </c>
      <c r="X66" s="1586">
        <f t="shared" si="32"/>
        <v>-4348.1050000000005</v>
      </c>
      <c r="Y66" s="1586">
        <f t="shared" si="33"/>
        <v>-34784.840000000004</v>
      </c>
      <c r="Z66" s="1586">
        <f t="shared" si="28"/>
        <v>1704457.16</v>
      </c>
      <c r="AA66" s="1586">
        <f>'[15]April 2012-13 Allocation'!AT62</f>
        <v>-21015</v>
      </c>
      <c r="AB66" s="1586">
        <f t="shared" si="29"/>
        <v>1683442.16</v>
      </c>
    </row>
    <row r="67" spans="1:34" ht="30.75" customHeight="1">
      <c r="A67" s="778">
        <v>399004</v>
      </c>
      <c r="B67" s="778" t="s">
        <v>1313</v>
      </c>
      <c r="C67" s="1604">
        <f>'2-1-12 MFP Funded by site'!G102</f>
        <v>425</v>
      </c>
      <c r="D67" s="1595">
        <f t="shared" si="21"/>
        <v>3442.7546828904692</v>
      </c>
      <c r="E67" s="1595">
        <f>ROUND(C67*D67,0)</f>
        <v>1463171</v>
      </c>
      <c r="F67" s="1586">
        <v>746.0335616438357</v>
      </c>
      <c r="G67" s="1586">
        <f>F67*C67</f>
        <v>317064.26369863015</v>
      </c>
      <c r="H67" s="1587">
        <f>E67+G67</f>
        <v>1780235.26369863</v>
      </c>
      <c r="I67" s="1587">
        <f>'[1]Midyear Adjustment Summary'!C183</f>
        <v>213628.20047124955</v>
      </c>
      <c r="J67" s="1587">
        <f>'[1]Midyear Adjustment Summary'!D183</f>
        <v>-8377.5764890686096</v>
      </c>
      <c r="K67" s="1587">
        <f t="shared" si="24"/>
        <v>205250.62398218096</v>
      </c>
      <c r="L67" s="1587">
        <f t="shared" si="25"/>
        <v>1985485.8876808109</v>
      </c>
      <c r="M67" s="1595">
        <f>'[2]Adjusted Amounts'!$C$189+'[2]Adjusted Amounts'!$H$189</f>
        <v>0</v>
      </c>
      <c r="N67" s="1597">
        <f t="shared" si="26"/>
        <v>1985485.8876808109</v>
      </c>
      <c r="O67" s="1586">
        <f t="shared" si="50"/>
        <v>1783300</v>
      </c>
      <c r="P67" s="1586"/>
      <c r="Q67" s="548">
        <v>51</v>
      </c>
      <c r="R67" s="1586">
        <f t="shared" si="51"/>
        <v>213996</v>
      </c>
      <c r="S67" s="1243">
        <v>-4</v>
      </c>
      <c r="T67" s="1586">
        <f t="shared" si="52"/>
        <v>-8392</v>
      </c>
      <c r="U67" s="1586">
        <f t="shared" si="27"/>
        <v>205604</v>
      </c>
      <c r="V67" s="1586">
        <f t="shared" si="53"/>
        <v>1988904</v>
      </c>
      <c r="W67" s="1586">
        <f t="shared" si="31"/>
        <v>-34805.82</v>
      </c>
      <c r="X67" s="1586">
        <f t="shared" si="32"/>
        <v>-4972.26</v>
      </c>
      <c r="Y67" s="1586">
        <f t="shared" si="33"/>
        <v>-39778.080000000002</v>
      </c>
      <c r="Z67" s="1586">
        <f t="shared" si="28"/>
        <v>1949125.92</v>
      </c>
      <c r="AA67" s="1586">
        <f>'[15]April 2012-13 Allocation'!AT63</f>
        <v>0</v>
      </c>
      <c r="AB67" s="1586">
        <f t="shared" si="29"/>
        <v>1949125.92</v>
      </c>
    </row>
    <row r="68" spans="1:34" ht="30.75" customHeight="1">
      <c r="A68" s="1045">
        <v>399005</v>
      </c>
      <c r="B68" s="1045" t="s">
        <v>1314</v>
      </c>
      <c r="C68" s="1598">
        <f>'2-1-12 MFP Funded by site'!G78</f>
        <v>614</v>
      </c>
      <c r="D68" s="1595">
        <f t="shared" si="21"/>
        <v>3442.7546828904692</v>
      </c>
      <c r="E68" s="1595">
        <f>ROUND(C68*D68,0)</f>
        <v>2113851</v>
      </c>
      <c r="F68" s="1586">
        <v>746.0335616438357</v>
      </c>
      <c r="G68" s="1586">
        <f>F68*C68</f>
        <v>458064.60684931511</v>
      </c>
      <c r="H68" s="1587">
        <f>E68+G68</f>
        <v>2571915.6068493151</v>
      </c>
      <c r="I68" s="1587">
        <f>'[1]Midyear Adjustment Summary'!C184</f>
        <v>138230.01206963207</v>
      </c>
      <c r="J68" s="1587">
        <f>'[1]Midyear Adjustment Summary'!D184</f>
        <v>-4188.7882445343048</v>
      </c>
      <c r="K68" s="1587">
        <f t="shared" si="24"/>
        <v>134041.22382509775</v>
      </c>
      <c r="L68" s="1587">
        <f t="shared" si="25"/>
        <v>2705956.8306744127</v>
      </c>
      <c r="M68" s="1595"/>
      <c r="N68" s="1597">
        <f t="shared" si="26"/>
        <v>2705956.8306744127</v>
      </c>
      <c r="O68" s="1586">
        <f t="shared" si="50"/>
        <v>2576344</v>
      </c>
      <c r="P68" s="1586"/>
      <c r="Q68" s="548">
        <v>33</v>
      </c>
      <c r="R68" s="1586">
        <f t="shared" si="51"/>
        <v>138468</v>
      </c>
      <c r="S68" s="1243">
        <v>-2</v>
      </c>
      <c r="T68" s="1586">
        <f t="shared" si="52"/>
        <v>-4196</v>
      </c>
      <c r="U68" s="1586">
        <f t="shared" si="27"/>
        <v>134272</v>
      </c>
      <c r="V68" s="1586">
        <f t="shared" si="53"/>
        <v>2710616</v>
      </c>
      <c r="W68" s="1586">
        <f t="shared" si="31"/>
        <v>-47435.780000000006</v>
      </c>
      <c r="X68" s="1586">
        <f t="shared" si="32"/>
        <v>-6776.54</v>
      </c>
      <c r="Y68" s="1586">
        <f t="shared" si="33"/>
        <v>-54212.320000000007</v>
      </c>
      <c r="Z68" s="1586">
        <f t="shared" si="28"/>
        <v>2656403.6800000002</v>
      </c>
      <c r="AA68" s="1586">
        <f>'[15]April 2012-13 Allocation'!AT64</f>
        <v>0</v>
      </c>
      <c r="AB68" s="1586">
        <f t="shared" si="29"/>
        <v>2656403.6800000002</v>
      </c>
    </row>
    <row r="69" spans="1:34" s="1255" customFormat="1">
      <c r="A69" s="1253"/>
      <c r="B69" s="1253" t="s">
        <v>89</v>
      </c>
      <c r="C69" s="1605">
        <f>SUM(C12:C68)</f>
        <v>23731</v>
      </c>
      <c r="D69" s="1606"/>
      <c r="E69" s="1605">
        <f>SUM(E12:E68)</f>
        <v>81700013</v>
      </c>
      <c r="F69" s="1605"/>
      <c r="G69" s="1607">
        <f>SUM(G12:G68)</f>
        <v>17398336.980362907</v>
      </c>
      <c r="H69" s="1582">
        <f>SUM(H12:H68)</f>
        <v>99098349.980362922</v>
      </c>
      <c r="I69" s="1582">
        <f>SUM(I12:I68)</f>
        <v>6020078.0332720336</v>
      </c>
      <c r="J69" s="1582">
        <f t="shared" ref="J69:L69" si="54">SUM(J12:J68)</f>
        <v>100735.68326559315</v>
      </c>
      <c r="K69" s="1582">
        <f t="shared" si="54"/>
        <v>6120813.7165376274</v>
      </c>
      <c r="L69" s="1582">
        <f t="shared" si="54"/>
        <v>105219163.6969005</v>
      </c>
      <c r="M69" s="1607">
        <f>SUM(M12:M68)</f>
        <v>-235100.39278213523</v>
      </c>
      <c r="N69" s="1582">
        <f>SUM(N12:N68)</f>
        <v>104984063.30411839</v>
      </c>
      <c r="O69" s="1607">
        <f t="shared" ref="O69:AB69" si="55">SUM(O12:O68)</f>
        <v>94023968</v>
      </c>
      <c r="P69" s="1607">
        <f t="shared" si="55"/>
        <v>6461532</v>
      </c>
      <c r="Q69" s="1626">
        <f t="shared" si="55"/>
        <v>1442</v>
      </c>
      <c r="R69" s="1607">
        <f t="shared" si="55"/>
        <v>6005912</v>
      </c>
      <c r="S69" s="1626">
        <f t="shared" si="55"/>
        <v>44</v>
      </c>
      <c r="T69" s="1607">
        <f t="shared" si="55"/>
        <v>89216</v>
      </c>
      <c r="U69" s="1607">
        <f t="shared" si="55"/>
        <v>6095128</v>
      </c>
      <c r="V69" s="1607">
        <f t="shared" si="55"/>
        <v>106580628</v>
      </c>
      <c r="W69" s="1607">
        <f t="shared" si="55"/>
        <v>-1865160.9900000009</v>
      </c>
      <c r="X69" s="1607">
        <f t="shared" si="55"/>
        <v>-266451.57000000007</v>
      </c>
      <c r="Y69" s="1607">
        <f t="shared" si="55"/>
        <v>-2131612.5600000005</v>
      </c>
      <c r="Z69" s="1607">
        <f t="shared" si="55"/>
        <v>104449015.44</v>
      </c>
      <c r="AA69" s="1607">
        <f t="shared" si="55"/>
        <v>-131890.5</v>
      </c>
      <c r="AB69" s="1607">
        <f t="shared" si="55"/>
        <v>104317124.94</v>
      </c>
      <c r="AD69" s="559"/>
      <c r="AE69" s="559"/>
      <c r="AF69" s="559"/>
      <c r="AG69" s="559"/>
      <c r="AH69" s="559"/>
    </row>
    <row r="70" spans="1:34" s="1255" customFormat="1" ht="25.5">
      <c r="A70" s="1253"/>
      <c r="B70" s="1253" t="s">
        <v>90</v>
      </c>
      <c r="C70" s="1605">
        <f>C69+C9</f>
        <v>28384</v>
      </c>
      <c r="D70" s="1606"/>
      <c r="E70" s="1605">
        <f>E69+E9</f>
        <v>97719151</v>
      </c>
      <c r="F70" s="1605"/>
      <c r="G70" s="1607">
        <f>G69+G9</f>
        <v>21107022.006311826</v>
      </c>
      <c r="H70" s="1608">
        <f>H69+H9</f>
        <v>118826173.00631183</v>
      </c>
      <c r="I70" s="1608">
        <f t="shared" ref="I70:L70" si="56">I69+I9</f>
        <v>2399282.7461703178</v>
      </c>
      <c r="J70" s="1608">
        <f t="shared" si="56"/>
        <v>15939.540710517831</v>
      </c>
      <c r="K70" s="1608">
        <f t="shared" si="56"/>
        <v>2415222.2868808364</v>
      </c>
      <c r="L70" s="1608">
        <f t="shared" si="56"/>
        <v>121241395.29319263</v>
      </c>
      <c r="M70" s="1609">
        <f>M69+M9</f>
        <v>-838656.84186917357</v>
      </c>
      <c r="N70" s="1583">
        <f>N69+N9</f>
        <v>120402738.45132348</v>
      </c>
      <c r="O70" s="1607">
        <f t="shared" ref="O70:AB70" si="57">O69+O9</f>
        <v>113547956</v>
      </c>
      <c r="P70" s="1607">
        <f t="shared" si="57"/>
        <v>6461532</v>
      </c>
      <c r="Q70" s="1626">
        <f t="shared" si="57"/>
        <v>588</v>
      </c>
      <c r="R70" s="1607">
        <f t="shared" si="57"/>
        <v>2422528</v>
      </c>
      <c r="S70" s="1626">
        <f t="shared" si="57"/>
        <v>4</v>
      </c>
      <c r="T70" s="1607">
        <f t="shared" si="57"/>
        <v>5296</v>
      </c>
      <c r="U70" s="1607">
        <f t="shared" si="57"/>
        <v>2427824</v>
      </c>
      <c r="V70" s="1607">
        <f t="shared" si="57"/>
        <v>122437312</v>
      </c>
      <c r="W70" s="1607">
        <f t="shared" si="57"/>
        <v>0</v>
      </c>
      <c r="X70" s="1607">
        <f t="shared" si="57"/>
        <v>-266451.57000000007</v>
      </c>
      <c r="Y70" s="1607">
        <f t="shared" si="57"/>
        <v>-266451.5699999996</v>
      </c>
      <c r="Z70" s="1607">
        <f t="shared" si="57"/>
        <v>122170860.43000001</v>
      </c>
      <c r="AA70" s="1607">
        <f t="shared" si="57"/>
        <v>-299310.5</v>
      </c>
      <c r="AB70" s="1607">
        <f t="shared" si="57"/>
        <v>121871549.93000001</v>
      </c>
      <c r="AD70" s="559"/>
      <c r="AE70" s="559"/>
      <c r="AF70" s="559"/>
      <c r="AG70" s="559"/>
      <c r="AH70" s="559"/>
    </row>
    <row r="71" spans="1:34" ht="15.75">
      <c r="A71" s="779"/>
      <c r="B71" s="567"/>
      <c r="C71" s="1256"/>
      <c r="D71" s="1257"/>
      <c r="E71" s="1258"/>
      <c r="F71" s="1258"/>
      <c r="G71" s="1258"/>
      <c r="H71" s="1258"/>
      <c r="I71" s="1258"/>
      <c r="J71" s="1258"/>
      <c r="K71" s="1258"/>
      <c r="L71" s="1258"/>
      <c r="M71" s="1258"/>
      <c r="N71" s="1259"/>
    </row>
    <row r="72" spans="1:34" s="1687" customFormat="1" ht="18.75" customHeight="1" thickBot="1">
      <c r="A72" s="1678"/>
      <c r="B72" s="1678" t="s">
        <v>297</v>
      </c>
      <c r="C72" s="1679">
        <f>C70+C7</f>
        <v>39028</v>
      </c>
      <c r="D72" s="1680"/>
      <c r="E72" s="1681">
        <f>E70+E7</f>
        <v>134363832</v>
      </c>
      <c r="F72" s="1681"/>
      <c r="G72" s="1681">
        <f>G70+G7</f>
        <v>28847677.045378514</v>
      </c>
      <c r="H72" s="1682">
        <f>H70+H7</f>
        <v>163211509.04537851</v>
      </c>
      <c r="I72" s="1683">
        <f t="shared" ref="I72:L72" si="58">I70+I7</f>
        <v>2399282.7461703178</v>
      </c>
      <c r="J72" s="1683">
        <f t="shared" si="58"/>
        <v>15939.540710517831</v>
      </c>
      <c r="K72" s="1683">
        <f t="shared" si="58"/>
        <v>2415222.2868808364</v>
      </c>
      <c r="L72" s="1682">
        <f t="shared" si="58"/>
        <v>121241395.29319263</v>
      </c>
      <c r="M72" s="1684"/>
      <c r="N72" s="1685"/>
      <c r="O72" s="1686"/>
      <c r="P72" s="1686"/>
      <c r="Q72" s="1686"/>
      <c r="AD72" s="1686"/>
      <c r="AE72" s="1686"/>
      <c r="AF72" s="1686"/>
      <c r="AG72" s="1686"/>
      <c r="AH72" s="1686"/>
    </row>
    <row r="73" spans="1:34" ht="13.5" thickTop="1">
      <c r="A73" s="1260"/>
      <c r="B73" s="1260"/>
      <c r="C73" s="1261"/>
      <c r="D73" s="1262"/>
      <c r="E73" s="557"/>
      <c r="F73" s="557"/>
      <c r="G73" s="557"/>
      <c r="H73" s="557"/>
      <c r="I73" s="557"/>
      <c r="J73" s="557"/>
      <c r="K73" s="557"/>
      <c r="L73" s="557"/>
      <c r="M73" s="1263"/>
      <c r="N73" s="557"/>
    </row>
    <row r="74" spans="1:34" ht="22.5" customHeight="1">
      <c r="A74" s="1260"/>
      <c r="B74" s="1260"/>
      <c r="C74" s="1961" t="s">
        <v>748</v>
      </c>
      <c r="D74" s="1961"/>
      <c r="E74" s="1961"/>
      <c r="F74" s="1961"/>
      <c r="G74" s="1961"/>
      <c r="H74" s="1961"/>
      <c r="I74" s="1961"/>
      <c r="J74" s="1961"/>
      <c r="K74" s="1961"/>
      <c r="L74" s="1961"/>
      <c r="M74" s="1961"/>
      <c r="N74" s="1961"/>
    </row>
    <row r="75" spans="1:34" ht="22.5" customHeight="1">
      <c r="B75" s="1264"/>
      <c r="C75" s="1965" t="s">
        <v>995</v>
      </c>
      <c r="D75" s="1965"/>
      <c r="E75" s="1965"/>
      <c r="F75" s="1965"/>
      <c r="G75" s="1965"/>
      <c r="H75" s="1965"/>
      <c r="I75" s="1965"/>
      <c r="J75" s="1965"/>
      <c r="K75" s="1965"/>
      <c r="L75" s="1965"/>
      <c r="M75" s="1965"/>
      <c r="N75" s="1965"/>
    </row>
    <row r="76" spans="1:34" ht="10.5" customHeight="1">
      <c r="C76" s="1956"/>
      <c r="D76" s="1957"/>
      <c r="E76" s="1957"/>
      <c r="F76" s="1957"/>
      <c r="G76" s="1957"/>
      <c r="H76" s="1957"/>
      <c r="I76" s="1957"/>
      <c r="J76" s="1957"/>
      <c r="K76" s="1957"/>
      <c r="L76" s="1957"/>
      <c r="M76" s="1957"/>
      <c r="N76" s="1957"/>
    </row>
    <row r="77" spans="1:34" hidden="1"/>
    <row r="78" spans="1:34" ht="15.75" hidden="1">
      <c r="B78" s="1243" t="s">
        <v>654</v>
      </c>
      <c r="F78" s="1240">
        <v>746.0335616438357</v>
      </c>
    </row>
    <row r="79" spans="1:34" hidden="1"/>
    <row r="80" spans="1:34" hidden="1"/>
    <row r="81" spans="3:3" hidden="1">
      <c r="C81" s="1243">
        <v>258</v>
      </c>
    </row>
    <row r="82" spans="3:3" hidden="1"/>
    <row r="83" spans="3:3" hidden="1"/>
    <row r="84" spans="3:3" hidden="1"/>
    <row r="85" spans="3:3" hidden="1"/>
  </sheetData>
  <mergeCells count="36">
    <mergeCell ref="C76:N76"/>
    <mergeCell ref="A1:N1"/>
    <mergeCell ref="C74:N74"/>
    <mergeCell ref="I3:K3"/>
    <mergeCell ref="C75:N75"/>
    <mergeCell ref="H4:H5"/>
    <mergeCell ref="C4:C5"/>
    <mergeCell ref="B4:B5"/>
    <mergeCell ref="E4:E5"/>
    <mergeCell ref="M4:M5"/>
    <mergeCell ref="F4:F5"/>
    <mergeCell ref="I4:I5"/>
    <mergeCell ref="J4:J5"/>
    <mergeCell ref="A4:A5"/>
    <mergeCell ref="A60:A61"/>
    <mergeCell ref="F3:G3"/>
    <mergeCell ref="G4:G5"/>
    <mergeCell ref="N4:N5"/>
    <mergeCell ref="K4:K5"/>
    <mergeCell ref="L4:L5"/>
    <mergeCell ref="AE4:AE5"/>
    <mergeCell ref="AF4:AF5"/>
    <mergeCell ref="AG4:AG5"/>
    <mergeCell ref="Z4:Z5"/>
    <mergeCell ref="AA4:AA5"/>
    <mergeCell ref="AB4:AB5"/>
    <mergeCell ref="AD4:AD5"/>
    <mergeCell ref="Q3:U3"/>
    <mergeCell ref="W3:Y3"/>
    <mergeCell ref="Q4:Q5"/>
    <mergeCell ref="R4:R5"/>
    <mergeCell ref="S4:S5"/>
    <mergeCell ref="T4:T5"/>
    <mergeCell ref="U4:U5"/>
    <mergeCell ref="V4:V5"/>
    <mergeCell ref="Y4:Y5"/>
  </mergeCells>
  <phoneticPr fontId="0" type="noConversion"/>
  <printOptions horizontalCentered="1"/>
  <pageMargins left="0.2" right="0.2" top="1.0900000000000001" bottom="0.77" header="0.32" footer="0.19"/>
  <pageSetup paperSize="5" scale="56" firstPageNumber="46" fitToHeight="2" orientation="portrait" useFirstPageNumber="1" r:id="rId1"/>
  <headerFooter alignWithMargins="0">
    <oddHeader xml:space="preserve">&amp;L&amp;"Arial,Bold"&amp;22Table 5B-1:  FY2012-13 MFP Budget Letter  
Recovery School District (Orleans Parish) (May 2013)
&amp;R
</oddHeader>
    <oddFooter>&amp;L&amp;14*FY2010-11 is the first year of operation
&amp;R&amp;16&amp;P</oddFooter>
  </headerFooter>
  <colBreaks count="2" manualBreakCount="2">
    <brk id="8" max="75" man="1"/>
    <brk id="14" max="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56"/>
  <sheetViews>
    <sheetView view="pageBreakPreview" zoomScale="80" zoomScaleNormal="75" zoomScaleSheetLayoutView="8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B4" sqref="B4:B5"/>
    </sheetView>
  </sheetViews>
  <sheetFormatPr defaultRowHeight="12.75"/>
  <cols>
    <col min="1" max="1" width="9" customWidth="1"/>
    <col min="2" max="2" width="33.28515625" customWidth="1"/>
    <col min="3" max="3" width="12.140625" bestFit="1" customWidth="1"/>
    <col min="4" max="4" width="13.5703125" customWidth="1"/>
    <col min="5" max="5" width="20.7109375" customWidth="1"/>
    <col min="6" max="6" width="18.42578125" customWidth="1"/>
    <col min="7" max="7" width="19.7109375" customWidth="1"/>
    <col min="8" max="8" width="21.42578125" customWidth="1"/>
    <col min="9" max="9" width="15.140625" customWidth="1"/>
    <col min="10" max="10" width="16.7109375" customWidth="1"/>
    <col min="11" max="11" width="17.42578125" customWidth="1"/>
    <col min="12" max="12" width="18.5703125" customWidth="1"/>
    <col min="13" max="13" width="12.140625" customWidth="1"/>
    <col min="14" max="14" width="13.85546875" customWidth="1"/>
    <col min="15" max="15" width="11.140625" bestFit="1" customWidth="1"/>
    <col min="16" max="16" width="16.42578125" bestFit="1" customWidth="1"/>
    <col min="17" max="17" width="15.85546875" customWidth="1"/>
    <col min="18" max="18" width="20.85546875" customWidth="1"/>
    <col min="19" max="19" width="15.28515625" customWidth="1"/>
    <col min="20" max="20" width="15" bestFit="1" customWidth="1"/>
    <col min="21" max="21" width="15" customWidth="1"/>
    <col min="22" max="28" width="18" customWidth="1"/>
    <col min="29" max="29" width="19.140625" customWidth="1"/>
    <col min="30" max="32" width="16.7109375" customWidth="1"/>
    <col min="33" max="35" width="20.85546875" customWidth="1"/>
    <col min="36" max="36" width="17.42578125" bestFit="1" customWidth="1"/>
    <col min="37" max="37" width="15" bestFit="1" customWidth="1"/>
    <col min="38" max="38" width="14.85546875" bestFit="1" customWidth="1"/>
    <col min="39" max="39" width="15" bestFit="1" customWidth="1"/>
    <col min="40" max="40" width="13.7109375" bestFit="1" customWidth="1"/>
  </cols>
  <sheetData>
    <row r="1" spans="1:40" ht="15.75">
      <c r="A1" s="263"/>
      <c r="B1" s="263"/>
    </row>
    <row r="2" spans="1:40" ht="22.5" customHeight="1">
      <c r="B2" s="1979"/>
      <c r="C2" s="1979"/>
      <c r="D2" s="1979"/>
      <c r="E2" s="1979"/>
      <c r="F2" s="1979"/>
      <c r="G2" s="1979"/>
      <c r="H2" s="1979"/>
      <c r="I2" s="1979"/>
      <c r="J2" s="1979"/>
      <c r="K2" s="1979"/>
      <c r="L2" s="1979"/>
      <c r="M2" s="1979"/>
      <c r="N2" s="1979"/>
      <c r="O2" s="1979"/>
      <c r="P2" s="1979"/>
      <c r="Q2" s="1979"/>
      <c r="R2" s="1979"/>
      <c r="S2" s="1347"/>
      <c r="T2" s="1347"/>
      <c r="U2" s="342"/>
      <c r="V2" s="342"/>
      <c r="W2" s="342"/>
      <c r="X2" s="342"/>
      <c r="Y2" s="342"/>
      <c r="Z2" s="342"/>
      <c r="AA2" s="342"/>
      <c r="AB2" s="342"/>
      <c r="AC2" s="342"/>
    </row>
    <row r="3" spans="1:40" ht="41.25" customHeight="1">
      <c r="C3" s="73"/>
      <c r="D3" s="439"/>
      <c r="E3" s="75"/>
      <c r="F3" s="1980" t="s">
        <v>556</v>
      </c>
      <c r="G3" s="1981"/>
      <c r="H3" s="75"/>
      <c r="I3" s="1985" t="s">
        <v>1188</v>
      </c>
      <c r="J3" s="1986"/>
      <c r="K3" s="1987"/>
      <c r="M3" s="1982" t="s">
        <v>612</v>
      </c>
      <c r="N3" s="1982"/>
      <c r="O3" s="1982"/>
      <c r="P3" s="765"/>
      <c r="Q3" s="75"/>
      <c r="R3" s="75"/>
      <c r="S3" s="75"/>
      <c r="T3" s="75"/>
      <c r="U3" s="75"/>
      <c r="V3" s="75"/>
      <c r="W3" s="75"/>
      <c r="X3" s="1992" t="s">
        <v>1193</v>
      </c>
      <c r="Y3" s="1993"/>
      <c r="Z3" s="1993"/>
      <c r="AA3" s="1993"/>
      <c r="AB3" s="1994"/>
      <c r="AC3" s="75"/>
      <c r="AD3" s="1982" t="s">
        <v>617</v>
      </c>
      <c r="AE3" s="1982"/>
      <c r="AF3" s="1982"/>
      <c r="AG3" s="75"/>
      <c r="AH3" s="75"/>
      <c r="AI3" s="75"/>
      <c r="AJ3" s="75"/>
      <c r="AK3" s="75"/>
      <c r="AL3" s="75"/>
    </row>
    <row r="4" spans="1:40" ht="101.25" customHeight="1">
      <c r="A4" s="1811" t="s">
        <v>616</v>
      </c>
      <c r="B4" s="1811" t="s">
        <v>203</v>
      </c>
      <c r="C4" s="1983" t="s">
        <v>708</v>
      </c>
      <c r="D4" s="1811" t="s">
        <v>289</v>
      </c>
      <c r="E4" s="1810" t="s">
        <v>1111</v>
      </c>
      <c r="F4" s="1811" t="s">
        <v>564</v>
      </c>
      <c r="G4" s="1811" t="s">
        <v>557</v>
      </c>
      <c r="H4" s="1810" t="s">
        <v>1112</v>
      </c>
      <c r="I4" s="1973" t="s">
        <v>1190</v>
      </c>
      <c r="J4" s="1973" t="s">
        <v>1191</v>
      </c>
      <c r="K4" s="1973" t="s">
        <v>1189</v>
      </c>
      <c r="L4" s="1973" t="s">
        <v>1203</v>
      </c>
      <c r="M4" s="335" t="s">
        <v>613</v>
      </c>
      <c r="N4" s="335" t="s">
        <v>614</v>
      </c>
      <c r="O4" s="1988" t="s">
        <v>615</v>
      </c>
      <c r="P4" s="1810" t="s">
        <v>1192</v>
      </c>
      <c r="Q4" s="1990" t="s">
        <v>990</v>
      </c>
      <c r="R4" s="1810" t="s">
        <v>1202</v>
      </c>
      <c r="S4" s="1798" t="s">
        <v>1405</v>
      </c>
      <c r="T4" s="1798" t="s">
        <v>1403</v>
      </c>
      <c r="U4" s="1810" t="s">
        <v>1127</v>
      </c>
      <c r="V4" s="1978" t="s">
        <v>1264</v>
      </c>
      <c r="W4" s="1978" t="s">
        <v>1113</v>
      </c>
      <c r="X4" s="1817" t="s">
        <v>1195</v>
      </c>
      <c r="Y4" s="1817" t="s">
        <v>1196</v>
      </c>
      <c r="Z4" s="1817" t="s">
        <v>1197</v>
      </c>
      <c r="AA4" s="1817" t="s">
        <v>1198</v>
      </c>
      <c r="AB4" s="1817" t="s">
        <v>1194</v>
      </c>
      <c r="AC4" s="1991" t="s">
        <v>1199</v>
      </c>
      <c r="AD4" s="335" t="s">
        <v>613</v>
      </c>
      <c r="AE4" s="335" t="s">
        <v>614</v>
      </c>
      <c r="AF4" s="1988" t="s">
        <v>615</v>
      </c>
      <c r="AG4" s="1978" t="s">
        <v>1200</v>
      </c>
      <c r="AH4" s="1810" t="s">
        <v>989</v>
      </c>
      <c r="AI4" s="1978" t="s">
        <v>1201</v>
      </c>
      <c r="AJ4" s="1942" t="s">
        <v>1330</v>
      </c>
      <c r="AK4" s="1942" t="s">
        <v>1403</v>
      </c>
      <c r="AL4" s="1978" t="s">
        <v>1128</v>
      </c>
      <c r="AM4" s="1976" t="s">
        <v>1114</v>
      </c>
      <c r="AN4" s="1976" t="s">
        <v>1115</v>
      </c>
    </row>
    <row r="5" spans="1:40" ht="81" customHeight="1">
      <c r="A5" s="1797" t="s">
        <v>87</v>
      </c>
      <c r="B5" s="1797"/>
      <c r="C5" s="1984"/>
      <c r="D5" s="1797"/>
      <c r="E5" s="1800"/>
      <c r="F5" s="1797"/>
      <c r="G5" s="1797"/>
      <c r="H5" s="1800"/>
      <c r="I5" s="1974"/>
      <c r="J5" s="1974"/>
      <c r="K5" s="1974"/>
      <c r="L5" s="1974"/>
      <c r="M5" s="764">
        <v>1.7500000000000002E-2</v>
      </c>
      <c r="N5" s="764">
        <v>2.5000000000000001E-3</v>
      </c>
      <c r="O5" s="1945"/>
      <c r="P5" s="1800"/>
      <c r="Q5" s="1935"/>
      <c r="R5" s="1800"/>
      <c r="S5" s="1800"/>
      <c r="T5" s="1800"/>
      <c r="U5" s="1800"/>
      <c r="V5" s="1943"/>
      <c r="W5" s="1943"/>
      <c r="X5" s="1819"/>
      <c r="Y5" s="1819"/>
      <c r="Z5" s="1819"/>
      <c r="AA5" s="1819"/>
      <c r="AB5" s="1819"/>
      <c r="AC5" s="1991"/>
      <c r="AD5" s="764">
        <v>1.7500000000000002E-2</v>
      </c>
      <c r="AE5" s="764">
        <v>2.5000000000000001E-3</v>
      </c>
      <c r="AF5" s="1945"/>
      <c r="AG5" s="1943"/>
      <c r="AH5" s="1800"/>
      <c r="AI5" s="1943"/>
      <c r="AJ5" s="1943"/>
      <c r="AK5" s="1943"/>
      <c r="AL5" s="1943"/>
      <c r="AM5" s="1977"/>
      <c r="AN5" s="1977"/>
    </row>
    <row r="6" spans="1:40">
      <c r="A6" s="116"/>
      <c r="B6" s="116"/>
      <c r="C6" s="225">
        <v>1</v>
      </c>
      <c r="D6" s="225">
        <f t="shared" ref="D6:H6" si="0">C6+1</f>
        <v>2</v>
      </c>
      <c r="E6" s="225">
        <f t="shared" si="0"/>
        <v>3</v>
      </c>
      <c r="F6" s="225">
        <f t="shared" si="0"/>
        <v>4</v>
      </c>
      <c r="G6" s="225">
        <f t="shared" si="0"/>
        <v>5</v>
      </c>
      <c r="H6" s="225">
        <f t="shared" si="0"/>
        <v>6</v>
      </c>
      <c r="I6" s="225">
        <f t="shared" ref="I6" si="1">H6+1</f>
        <v>7</v>
      </c>
      <c r="J6" s="225">
        <f t="shared" ref="J6" si="2">I6+1</f>
        <v>8</v>
      </c>
      <c r="K6" s="225">
        <f t="shared" ref="K6" si="3">J6+1</f>
        <v>9</v>
      </c>
      <c r="L6" s="225">
        <f t="shared" ref="L6" si="4">K6+1</f>
        <v>10</v>
      </c>
      <c r="M6" s="225">
        <f t="shared" ref="M6" si="5">L6+1</f>
        <v>11</v>
      </c>
      <c r="N6" s="225">
        <f t="shared" ref="N6" si="6">M6+1</f>
        <v>12</v>
      </c>
      <c r="O6" s="225">
        <f t="shared" ref="O6" si="7">N6+1</f>
        <v>13</v>
      </c>
      <c r="P6" s="225">
        <f t="shared" ref="P6" si="8">O6+1</f>
        <v>14</v>
      </c>
      <c r="Q6" s="225">
        <f t="shared" ref="Q6" si="9">P6+1</f>
        <v>15</v>
      </c>
      <c r="R6" s="225">
        <f t="shared" ref="R6" si="10">Q6+1</f>
        <v>16</v>
      </c>
      <c r="S6" s="225">
        <f t="shared" ref="S6" si="11">R6+1</f>
        <v>17</v>
      </c>
      <c r="T6" s="225">
        <f t="shared" ref="T6" si="12">S6+1</f>
        <v>18</v>
      </c>
      <c r="U6" s="225">
        <f t="shared" ref="U6" si="13">T6+1</f>
        <v>19</v>
      </c>
      <c r="V6" s="225">
        <f>U6+1</f>
        <v>20</v>
      </c>
      <c r="W6" s="225">
        <f t="shared" ref="W6" si="14">V6+1</f>
        <v>21</v>
      </c>
      <c r="X6" s="225">
        <f t="shared" ref="X6" si="15">W6+1</f>
        <v>22</v>
      </c>
      <c r="Y6" s="225">
        <f t="shared" ref="Y6" si="16">X6+1</f>
        <v>23</v>
      </c>
      <c r="Z6" s="225">
        <f t="shared" ref="Z6" si="17">Y6+1</f>
        <v>24</v>
      </c>
      <c r="AA6" s="225">
        <f t="shared" ref="AA6" si="18">Z6+1</f>
        <v>25</v>
      </c>
      <c r="AB6" s="225">
        <f t="shared" ref="AB6" si="19">AA6+1</f>
        <v>26</v>
      </c>
      <c r="AC6" s="225">
        <f t="shared" ref="AC6" si="20">AB6+1</f>
        <v>27</v>
      </c>
      <c r="AD6" s="225">
        <f t="shared" ref="AD6" si="21">AC6+1</f>
        <v>28</v>
      </c>
      <c r="AE6" s="225">
        <f t="shared" ref="AE6" si="22">AD6+1</f>
        <v>29</v>
      </c>
      <c r="AF6" s="225">
        <f t="shared" ref="AF6" si="23">AE6+1</f>
        <v>30</v>
      </c>
      <c r="AG6" s="225">
        <f t="shared" ref="AG6" si="24">AF6+1</f>
        <v>31</v>
      </c>
      <c r="AH6" s="225">
        <f t="shared" ref="AH6" si="25">AG6+1</f>
        <v>32</v>
      </c>
      <c r="AI6" s="225">
        <f t="shared" ref="AI6" si="26">AH6+1</f>
        <v>33</v>
      </c>
      <c r="AJ6" s="225">
        <f t="shared" ref="AJ6" si="27">AI6+1</f>
        <v>34</v>
      </c>
      <c r="AK6" s="225">
        <f t="shared" ref="AK6" si="28">AJ6+1</f>
        <v>35</v>
      </c>
      <c r="AL6" s="225">
        <f t="shared" ref="AL6" si="29">AK6+1</f>
        <v>36</v>
      </c>
      <c r="AM6" s="225">
        <f t="shared" ref="AM6" si="30">AL6+1</f>
        <v>37</v>
      </c>
      <c r="AN6" s="225">
        <f t="shared" ref="AN6" si="31">AM6+1</f>
        <v>38</v>
      </c>
    </row>
    <row r="7" spans="1:40" s="109" customFormat="1" ht="30" customHeight="1">
      <c r="A7" s="602"/>
      <c r="B7" s="602" t="s">
        <v>581</v>
      </c>
      <c r="C7" s="1047">
        <f>'Table 8 2.1.12 MFP Funded'!G20-C15</f>
        <v>40369</v>
      </c>
      <c r="D7" s="515">
        <f>'Table 3 Levels 1&amp;2'!$AL$24</f>
        <v>3395.7244841073689</v>
      </c>
      <c r="E7" s="513">
        <f>ROUND(C7*D7,0)</f>
        <v>137082002</v>
      </c>
      <c r="F7" s="513">
        <v>801.47762416806802</v>
      </c>
      <c r="G7" s="513">
        <f>F7*C7</f>
        <v>32354850.210040737</v>
      </c>
      <c r="H7" s="766">
        <f>E7+G7</f>
        <v>169436852.21004075</v>
      </c>
      <c r="I7" s="766"/>
      <c r="J7" s="766">
        <f>I7*D7</f>
        <v>0</v>
      </c>
      <c r="K7" s="766">
        <f>I7+J7</f>
        <v>0</v>
      </c>
      <c r="L7" s="766">
        <f>H7+K7</f>
        <v>169436852.21004075</v>
      </c>
      <c r="M7" s="766"/>
      <c r="N7" s="766"/>
      <c r="O7" s="766"/>
      <c r="P7" s="766"/>
      <c r="Q7" s="512" t="s">
        <v>290</v>
      </c>
      <c r="R7" s="769" t="s">
        <v>290</v>
      </c>
      <c r="S7" s="769"/>
      <c r="T7" s="769"/>
      <c r="U7" s="769"/>
      <c r="V7" s="512"/>
      <c r="W7" s="512"/>
      <c r="X7" s="512"/>
      <c r="Y7" s="512"/>
      <c r="Z7" s="512"/>
      <c r="AA7" s="849"/>
      <c r="AB7" s="512"/>
      <c r="AC7" s="512"/>
      <c r="AD7" s="512"/>
      <c r="AE7" s="512"/>
      <c r="AF7" s="512"/>
      <c r="AG7" s="512"/>
      <c r="AH7" s="800" t="s">
        <v>659</v>
      </c>
      <c r="AI7" s="771"/>
      <c r="AJ7" s="771"/>
      <c r="AK7" s="771"/>
      <c r="AL7" s="771"/>
      <c r="AM7" s="771"/>
      <c r="AN7" s="771"/>
    </row>
    <row r="8" spans="1:40" s="75" customFormat="1" ht="6" customHeight="1">
      <c r="A8" s="501"/>
      <c r="B8" s="501"/>
      <c r="C8" s="502"/>
      <c r="D8" s="503"/>
      <c r="E8" s="504"/>
      <c r="F8" s="504"/>
      <c r="G8" s="504"/>
      <c r="H8" s="504"/>
      <c r="I8" s="1410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1410"/>
      <c r="AB8" s="504"/>
      <c r="AC8" s="504"/>
      <c r="AD8" s="504"/>
      <c r="AE8" s="504"/>
      <c r="AF8" s="504"/>
      <c r="AG8" s="504"/>
      <c r="AH8" s="504"/>
      <c r="AI8" s="504"/>
      <c r="AJ8" s="504"/>
      <c r="AK8" s="504"/>
      <c r="AL8" s="504"/>
      <c r="AM8" s="504"/>
      <c r="AN8" s="504"/>
    </row>
    <row r="9" spans="1:40">
      <c r="I9" s="49"/>
      <c r="AA9" s="49"/>
      <c r="AI9" s="774"/>
      <c r="AJ9" s="774"/>
      <c r="AK9" s="774"/>
      <c r="AL9" s="774"/>
      <c r="AM9" s="774"/>
      <c r="AN9" s="774"/>
    </row>
    <row r="10" spans="1:40" ht="30.75" customHeight="1">
      <c r="A10" s="602">
        <v>396210</v>
      </c>
      <c r="B10" s="803" t="s">
        <v>1020</v>
      </c>
      <c r="C10" s="782">
        <f>'2-1-12 MFP Funded by site'!G43</f>
        <v>326</v>
      </c>
      <c r="D10" s="467">
        <f>'Table 3 Levels 1&amp;2'!$AL$24</f>
        <v>3395.7244841073689</v>
      </c>
      <c r="E10" s="442">
        <f t="shared" ref="E10:E17" si="32">ROUND(C10*D10,0)</f>
        <v>1107006</v>
      </c>
      <c r="F10" s="442">
        <f>F7</f>
        <v>801.47762416806802</v>
      </c>
      <c r="G10" s="442">
        <f t="shared" ref="G10:G17" si="33">F10*C10</f>
        <v>261281.70547879019</v>
      </c>
      <c r="H10" s="767">
        <f t="shared" ref="H10:H17" si="34">E10+G10</f>
        <v>1368287.7054787902</v>
      </c>
      <c r="I10" s="767">
        <f>'[1]Midyear Adjustment Summary'!C126</f>
        <v>-671552.33732406993</v>
      </c>
      <c r="J10" s="767">
        <f>'[1]Midyear Adjustment Summary'!D126</f>
        <v>-2098.6010541377186</v>
      </c>
      <c r="K10" s="767">
        <f t="shared" ref="K10:K17" si="35">I10+J10</f>
        <v>-673650.93837820762</v>
      </c>
      <c r="L10" s="767">
        <f t="shared" ref="L10:L17" si="36">H10+K10</f>
        <v>694636.7671005826</v>
      </c>
      <c r="M10" s="767" t="s">
        <v>659</v>
      </c>
      <c r="N10" s="767" t="s">
        <v>659</v>
      </c>
      <c r="O10" s="767">
        <v>0</v>
      </c>
      <c r="P10" s="767">
        <f>L10+O10</f>
        <v>694636.7671005826</v>
      </c>
      <c r="Q10" s="767">
        <v>0</v>
      </c>
      <c r="R10" s="569">
        <f>SUM(P10:Q10)</f>
        <v>694636.7671005826</v>
      </c>
      <c r="S10" s="569">
        <f>'[3]RSD-LA'!CU12</f>
        <v>689980</v>
      </c>
      <c r="T10" s="569">
        <f>R10-S10</f>
        <v>4656.7671005825978</v>
      </c>
      <c r="U10" s="1695">
        <f>T10/2</f>
        <v>2328.3835502912989</v>
      </c>
      <c r="V10" s="767">
        <f>'[14]FY2012-13 Final'!$D$24</f>
        <v>5738</v>
      </c>
      <c r="W10" s="442">
        <f t="shared" ref="W10:W17" si="37">V10*C10</f>
        <v>1870588</v>
      </c>
      <c r="X10" s="1403">
        <f>'[19]October midyear adj'!$E$161</f>
        <v>-160</v>
      </c>
      <c r="Y10" s="442">
        <f>V10*X10</f>
        <v>-918080</v>
      </c>
      <c r="Z10" s="1403">
        <f>'[19]February midyear adj '!$E$127</f>
        <v>-1</v>
      </c>
      <c r="AA10" s="442">
        <f>Z10*(V10*0.5)</f>
        <v>-2869</v>
      </c>
      <c r="AB10" s="442">
        <f>Y10+AA10</f>
        <v>-920949</v>
      </c>
      <c r="AC10" s="442">
        <f>W10+AB10</f>
        <v>949639</v>
      </c>
      <c r="AD10" s="442" t="s">
        <v>659</v>
      </c>
      <c r="AE10" s="442" t="s">
        <v>659</v>
      </c>
      <c r="AF10" s="442">
        <v>0</v>
      </c>
      <c r="AG10" s="442">
        <f>AC10+AF10</f>
        <v>949639</v>
      </c>
      <c r="AH10" s="767">
        <f>'[2]Adjusted Amounts'!$K192+'[2]Adjusted Amounts'!$P192</f>
        <v>0</v>
      </c>
      <c r="AI10" s="772">
        <f>SUM(AG10:AH10)</f>
        <v>949639</v>
      </c>
      <c r="AJ10" s="772">
        <f>'[3]RSD-LA'!CV12</f>
        <v>934310</v>
      </c>
      <c r="AK10" s="772">
        <f>AI10-AJ10</f>
        <v>15329</v>
      </c>
      <c r="AL10" s="1694">
        <f>AK10/2</f>
        <v>7664.5</v>
      </c>
      <c r="AM10" s="772">
        <f>R10+AI10</f>
        <v>1644275.7671005826</v>
      </c>
      <c r="AN10" s="772">
        <f t="shared" ref="AN10:AN17" si="38">U10+AL10</f>
        <v>9992.8835502912989</v>
      </c>
    </row>
    <row r="11" spans="1:40" ht="30.75" customHeight="1">
      <c r="A11" s="602">
        <v>396205</v>
      </c>
      <c r="B11" s="803" t="s">
        <v>1018</v>
      </c>
      <c r="C11" s="782">
        <f>'2-1-12 MFP Funded by site'!G44</f>
        <v>271</v>
      </c>
      <c r="D11" s="467">
        <f>'Table 3 Levels 1&amp;2'!$AL$24</f>
        <v>3395.7244841073689</v>
      </c>
      <c r="E11" s="442">
        <f t="shared" si="32"/>
        <v>920241</v>
      </c>
      <c r="F11" s="1265">
        <f>F7</f>
        <v>801.47762416806802</v>
      </c>
      <c r="G11" s="442">
        <f t="shared" si="33"/>
        <v>217200.43614954644</v>
      </c>
      <c r="H11" s="767">
        <f t="shared" si="34"/>
        <v>1137441.4361495464</v>
      </c>
      <c r="I11" s="767">
        <f>'[1]Midyear Adjustment Summary'!C121</f>
        <v>-260226.53071307711</v>
      </c>
      <c r="J11" s="767">
        <f>'[1]Midyear Adjustment Summary'!D121</f>
        <v>-14690.207378964031</v>
      </c>
      <c r="K11" s="767">
        <f t="shared" si="35"/>
        <v>-274916.73809204117</v>
      </c>
      <c r="L11" s="767">
        <f t="shared" si="36"/>
        <v>862524.6980575053</v>
      </c>
      <c r="M11" s="767" t="s">
        <v>659</v>
      </c>
      <c r="N11" s="767" t="s">
        <v>659</v>
      </c>
      <c r="O11" s="767">
        <v>0</v>
      </c>
      <c r="P11" s="767">
        <f t="shared" ref="P11:P17" si="39">L11+O11</f>
        <v>862524.6980575053</v>
      </c>
      <c r="Q11" s="767">
        <v>0</v>
      </c>
      <c r="R11" s="569">
        <f t="shared" ref="R11:R16" si="40">SUM(P11:Q11)</f>
        <v>862524.6980575053</v>
      </c>
      <c r="S11" s="569">
        <f>'[3]RSD-LA'!CU13</f>
        <v>765366</v>
      </c>
      <c r="T11" s="569">
        <f t="shared" ref="T11:T17" si="41">R11-S11</f>
        <v>97158.698057505302</v>
      </c>
      <c r="U11" s="1695">
        <f t="shared" ref="U11:U17" si="42">T11/2</f>
        <v>48579.349028752651</v>
      </c>
      <c r="V11" s="767">
        <f>'[14]FY2012-13 Final'!$D$24</f>
        <v>5738</v>
      </c>
      <c r="W11" s="442">
        <f t="shared" si="37"/>
        <v>1554998</v>
      </c>
      <c r="X11" s="1403">
        <f>'[19]October midyear adj'!$E$156</f>
        <v>-62</v>
      </c>
      <c r="Y11" s="442">
        <f t="shared" ref="Y11:Y17" si="43">V11*X11</f>
        <v>-355756</v>
      </c>
      <c r="Z11" s="1403">
        <f>'[19]February midyear adj '!$E$122</f>
        <v>-7</v>
      </c>
      <c r="AA11" s="442">
        <f t="shared" ref="AA11:AA17" si="44">Z11*(V11*0.5)</f>
        <v>-20083</v>
      </c>
      <c r="AB11" s="442">
        <f t="shared" ref="AB11:AB17" si="45">Y11+AA11</f>
        <v>-375839</v>
      </c>
      <c r="AC11" s="442">
        <f t="shared" ref="AC11:AC17" si="46">W11+AB11</f>
        <v>1179159</v>
      </c>
      <c r="AD11" s="442" t="s">
        <v>659</v>
      </c>
      <c r="AE11" s="442" t="s">
        <v>659</v>
      </c>
      <c r="AF11" s="442">
        <v>0</v>
      </c>
      <c r="AG11" s="442">
        <f>AC11+AF11</f>
        <v>1179159</v>
      </c>
      <c r="AH11" s="767">
        <v>0</v>
      </c>
      <c r="AI11" s="772">
        <f t="shared" ref="AI11:AI17" si="47">SUM(AG11:AH11)</f>
        <v>1179159</v>
      </c>
      <c r="AJ11" s="772">
        <f>'[3]RSD-LA'!CV13</f>
        <v>1036762</v>
      </c>
      <c r="AK11" s="772">
        <f t="shared" ref="AK11:AK17" si="48">AI11-AJ11</f>
        <v>142397</v>
      </c>
      <c r="AL11" s="1694">
        <f t="shared" ref="AL11:AL17" si="49">AK11/2</f>
        <v>71198.5</v>
      </c>
      <c r="AM11" s="772">
        <f t="shared" ref="AM11:AM17" si="50">R11+AI11</f>
        <v>2041683.6980575053</v>
      </c>
      <c r="AN11" s="772">
        <f t="shared" si="38"/>
        <v>119777.84902875265</v>
      </c>
    </row>
    <row r="12" spans="1:40" ht="30.75" customHeight="1">
      <c r="A12" s="602">
        <v>396206</v>
      </c>
      <c r="B12" s="803" t="s">
        <v>1017</v>
      </c>
      <c r="C12" s="782">
        <f>'2-1-12 MFP Funded by site'!G45</f>
        <v>252</v>
      </c>
      <c r="D12" s="467">
        <f>'Table 3 Levels 1&amp;2'!$AL$24</f>
        <v>3395.7244841073689</v>
      </c>
      <c r="E12" s="442">
        <f t="shared" si="32"/>
        <v>855723</v>
      </c>
      <c r="F12" s="1265">
        <f>F7</f>
        <v>801.47762416806802</v>
      </c>
      <c r="G12" s="442">
        <f t="shared" si="33"/>
        <v>201972.36129035315</v>
      </c>
      <c r="H12" s="767">
        <f t="shared" si="34"/>
        <v>1057695.3612903531</v>
      </c>
      <c r="I12" s="767">
        <f>'[1]Midyear Adjustment Summary'!C122</f>
        <v>-29380.414757928062</v>
      </c>
      <c r="J12" s="767">
        <f>'[1]Midyear Adjustment Summary'!D122</f>
        <v>-75549.637948957869</v>
      </c>
      <c r="K12" s="767">
        <f t="shared" si="35"/>
        <v>-104930.05270688594</v>
      </c>
      <c r="L12" s="767">
        <f t="shared" si="36"/>
        <v>952765.30858346715</v>
      </c>
      <c r="M12" s="767" t="s">
        <v>659</v>
      </c>
      <c r="N12" s="767" t="s">
        <v>659</v>
      </c>
      <c r="O12" s="767">
        <v>0</v>
      </c>
      <c r="P12" s="767">
        <f t="shared" si="39"/>
        <v>952765.30858346715</v>
      </c>
      <c r="Q12" s="767">
        <v>0</v>
      </c>
      <c r="R12" s="569">
        <f t="shared" si="40"/>
        <v>952765.30858346715</v>
      </c>
      <c r="S12" s="569">
        <f>'[3]RSD-LA'!CU14</f>
        <v>822254</v>
      </c>
      <c r="T12" s="569">
        <f t="shared" si="41"/>
        <v>130511.30858346715</v>
      </c>
      <c r="U12" s="1695">
        <f t="shared" si="42"/>
        <v>65255.654291733576</v>
      </c>
      <c r="V12" s="767">
        <f>'[14]FY2012-13 Final'!$D$24</f>
        <v>5738</v>
      </c>
      <c r="W12" s="442">
        <f t="shared" si="37"/>
        <v>1445976</v>
      </c>
      <c r="X12" s="1403">
        <f>'[19]October midyear adj'!$E$157</f>
        <v>-7</v>
      </c>
      <c r="Y12" s="442">
        <f t="shared" si="43"/>
        <v>-40166</v>
      </c>
      <c r="Z12" s="1403">
        <f>'[19]February midyear adj '!$E$123</f>
        <v>-36</v>
      </c>
      <c r="AA12" s="442">
        <f t="shared" si="44"/>
        <v>-103284</v>
      </c>
      <c r="AB12" s="442">
        <f t="shared" si="45"/>
        <v>-143450</v>
      </c>
      <c r="AC12" s="442">
        <f t="shared" si="46"/>
        <v>1302526</v>
      </c>
      <c r="AD12" s="442" t="s">
        <v>659</v>
      </c>
      <c r="AE12" s="442" t="s">
        <v>659</v>
      </c>
      <c r="AF12" s="442">
        <v>0</v>
      </c>
      <c r="AG12" s="442">
        <f t="shared" ref="AG12:AG17" si="51">AC12+AF12</f>
        <v>1302526</v>
      </c>
      <c r="AH12" s="767">
        <v>0</v>
      </c>
      <c r="AI12" s="772">
        <f t="shared" si="47"/>
        <v>1302526</v>
      </c>
      <c r="AJ12" s="772">
        <f>'[3]RSD-LA'!CV14</f>
        <v>1113928</v>
      </c>
      <c r="AK12" s="772">
        <f t="shared" si="48"/>
        <v>188598</v>
      </c>
      <c r="AL12" s="1694">
        <f t="shared" si="49"/>
        <v>94299</v>
      </c>
      <c r="AM12" s="772">
        <f t="shared" si="50"/>
        <v>2255291.3085834673</v>
      </c>
      <c r="AN12" s="772">
        <f t="shared" si="38"/>
        <v>159554.65429173358</v>
      </c>
    </row>
    <row r="13" spans="1:40" ht="30.75" customHeight="1">
      <c r="A13" s="602">
        <v>396208</v>
      </c>
      <c r="B13" s="803" t="s">
        <v>1016</v>
      </c>
      <c r="C13" s="782">
        <f>'2-1-12 MFP Funded by site'!G46</f>
        <v>402</v>
      </c>
      <c r="D13" s="467">
        <f>'Table 3 Levels 1&amp;2'!$AL$24</f>
        <v>3395.7244841073689</v>
      </c>
      <c r="E13" s="442">
        <f t="shared" si="32"/>
        <v>1365081</v>
      </c>
      <c r="F13" s="1265">
        <f>F7</f>
        <v>801.47762416806802</v>
      </c>
      <c r="G13" s="442">
        <f t="shared" si="33"/>
        <v>322194.00491556333</v>
      </c>
      <c r="H13" s="767">
        <f t="shared" si="34"/>
        <v>1687275.0049155634</v>
      </c>
      <c r="I13" s="767">
        <f>'[1]Midyear Adjustment Summary'!C124</f>
        <v>-461692.23191029811</v>
      </c>
      <c r="J13" s="767">
        <f>'[1]Midyear Adjustment Summary'!D124</f>
        <v>-54563.627407580687</v>
      </c>
      <c r="K13" s="767">
        <f t="shared" si="35"/>
        <v>-516255.85931787879</v>
      </c>
      <c r="L13" s="767">
        <f t="shared" si="36"/>
        <v>1171019.1455976847</v>
      </c>
      <c r="M13" s="767" t="s">
        <v>659</v>
      </c>
      <c r="N13" s="767" t="s">
        <v>659</v>
      </c>
      <c r="O13" s="767">
        <v>0</v>
      </c>
      <c r="P13" s="767">
        <f t="shared" si="39"/>
        <v>1171019.1455976847</v>
      </c>
      <c r="Q13" s="767">
        <f>'[2]Adjusted Amounts'!$C195+'[2]Adjusted Amounts'!$H195</f>
        <v>0</v>
      </c>
      <c r="R13" s="569">
        <f t="shared" si="40"/>
        <v>1171019.1455976847</v>
      </c>
      <c r="S13" s="569">
        <f>'[3]RSD-LA'!CU15</f>
        <v>1068650</v>
      </c>
      <c r="T13" s="569">
        <f t="shared" si="41"/>
        <v>102369.14559768466</v>
      </c>
      <c r="U13" s="1695">
        <f t="shared" si="42"/>
        <v>51184.572798842331</v>
      </c>
      <c r="V13" s="767">
        <f>'[14]FY2012-13 Final'!$D$24</f>
        <v>5738</v>
      </c>
      <c r="W13" s="442">
        <f t="shared" si="37"/>
        <v>2306676</v>
      </c>
      <c r="X13" s="1403">
        <f>'[19]October midyear adj'!$E$159</f>
        <v>-110</v>
      </c>
      <c r="Y13" s="442">
        <f t="shared" si="43"/>
        <v>-631180</v>
      </c>
      <c r="Z13" s="1403">
        <f>'[19]February midyear adj '!$E$125</f>
        <v>-26</v>
      </c>
      <c r="AA13" s="442">
        <f t="shared" si="44"/>
        <v>-74594</v>
      </c>
      <c r="AB13" s="442">
        <f t="shared" si="45"/>
        <v>-705774</v>
      </c>
      <c r="AC13" s="442">
        <f t="shared" si="46"/>
        <v>1600902</v>
      </c>
      <c r="AD13" s="442" t="s">
        <v>659</v>
      </c>
      <c r="AE13" s="442" t="s">
        <v>659</v>
      </c>
      <c r="AF13" s="442">
        <v>0</v>
      </c>
      <c r="AG13" s="442">
        <f t="shared" si="51"/>
        <v>1600902</v>
      </c>
      <c r="AH13" s="767">
        <f>'[2]Adjusted Amounts'!$K195+'[2]Adjusted Amounts'!$P195</f>
        <v>0</v>
      </c>
      <c r="AI13" s="772">
        <f t="shared" si="47"/>
        <v>1600902</v>
      </c>
      <c r="AJ13" s="772">
        <f>'[3]RSD-LA'!CV15</f>
        <v>1447456</v>
      </c>
      <c r="AK13" s="772">
        <f t="shared" si="48"/>
        <v>153446</v>
      </c>
      <c r="AL13" s="1694">
        <f t="shared" si="49"/>
        <v>76723</v>
      </c>
      <c r="AM13" s="772">
        <f t="shared" si="50"/>
        <v>2771921.1455976847</v>
      </c>
      <c r="AN13" s="772">
        <f t="shared" si="38"/>
        <v>127907.57279884233</v>
      </c>
    </row>
    <row r="14" spans="1:40" ht="30.75" customHeight="1">
      <c r="A14" s="602">
        <v>396209</v>
      </c>
      <c r="B14" s="803" t="s">
        <v>1013</v>
      </c>
      <c r="C14" s="782">
        <f>'2-1-12 MFP Funded by site'!G47</f>
        <v>391</v>
      </c>
      <c r="D14" s="467">
        <f>'Table 3 Levels 1&amp;2'!$AL$24</f>
        <v>3395.7244841073689</v>
      </c>
      <c r="E14" s="442">
        <f t="shared" si="32"/>
        <v>1327728</v>
      </c>
      <c r="F14" s="1265">
        <f>F7</f>
        <v>801.47762416806802</v>
      </c>
      <c r="G14" s="442">
        <f t="shared" si="33"/>
        <v>313377.75104971457</v>
      </c>
      <c r="H14" s="767">
        <f t="shared" si="34"/>
        <v>1641105.7510497146</v>
      </c>
      <c r="I14" s="767">
        <f>'[1]Midyear Adjustment Summary'!C125</f>
        <v>-201465.701197221</v>
      </c>
      <c r="J14" s="767">
        <f>'[1]Midyear Adjustment Summary'!D125</f>
        <v>-10493.005270688593</v>
      </c>
      <c r="K14" s="767">
        <f t="shared" si="35"/>
        <v>-211958.70646790959</v>
      </c>
      <c r="L14" s="767">
        <f t="shared" si="36"/>
        <v>1429147.0445818051</v>
      </c>
      <c r="M14" s="767" t="s">
        <v>659</v>
      </c>
      <c r="N14" s="767" t="s">
        <v>659</v>
      </c>
      <c r="O14" s="767">
        <v>0</v>
      </c>
      <c r="P14" s="767">
        <f t="shared" si="39"/>
        <v>1429147.0445818051</v>
      </c>
      <c r="Q14" s="767">
        <v>0</v>
      </c>
      <c r="R14" s="569">
        <f t="shared" si="40"/>
        <v>1429147.0445818051</v>
      </c>
      <c r="S14" s="569">
        <f>'[3]RSD-LA'!CU16</f>
        <v>1225354</v>
      </c>
      <c r="T14" s="569">
        <f t="shared" si="41"/>
        <v>203793.04458180512</v>
      </c>
      <c r="U14" s="1695">
        <f t="shared" si="42"/>
        <v>101896.52229090256</v>
      </c>
      <c r="V14" s="767">
        <f>'[14]FY2012-13 Final'!$D$24</f>
        <v>5738</v>
      </c>
      <c r="W14" s="442">
        <f t="shared" si="37"/>
        <v>2243558</v>
      </c>
      <c r="X14" s="1403">
        <f>'[19]October midyear adj'!$E$160</f>
        <v>-48</v>
      </c>
      <c r="Y14" s="442">
        <f t="shared" si="43"/>
        <v>-275424</v>
      </c>
      <c r="Z14" s="1403">
        <f>'[19]February midyear adj '!$E$126</f>
        <v>-5</v>
      </c>
      <c r="AA14" s="442">
        <f t="shared" si="44"/>
        <v>-14345</v>
      </c>
      <c r="AB14" s="442">
        <f t="shared" si="45"/>
        <v>-289769</v>
      </c>
      <c r="AC14" s="442">
        <f t="shared" si="46"/>
        <v>1953789</v>
      </c>
      <c r="AD14" s="442" t="s">
        <v>659</v>
      </c>
      <c r="AE14" s="442" t="s">
        <v>659</v>
      </c>
      <c r="AF14" s="442">
        <v>0</v>
      </c>
      <c r="AG14" s="442">
        <f t="shared" si="51"/>
        <v>1953789</v>
      </c>
      <c r="AH14" s="767">
        <v>0</v>
      </c>
      <c r="AI14" s="772">
        <f t="shared" si="47"/>
        <v>1953789</v>
      </c>
      <c r="AJ14" s="772">
        <f>'[3]RSD-LA'!CV16</f>
        <v>1660054</v>
      </c>
      <c r="AK14" s="772">
        <f t="shared" si="48"/>
        <v>293735</v>
      </c>
      <c r="AL14" s="1694">
        <f t="shared" si="49"/>
        <v>146867.5</v>
      </c>
      <c r="AM14" s="772">
        <f t="shared" si="50"/>
        <v>3382936.0445818054</v>
      </c>
      <c r="AN14" s="772">
        <f t="shared" si="38"/>
        <v>248764.02229090256</v>
      </c>
    </row>
    <row r="15" spans="1:40" ht="32.25" customHeight="1">
      <c r="A15" s="602">
        <v>396204</v>
      </c>
      <c r="B15" s="803" t="s">
        <v>1014</v>
      </c>
      <c r="C15" s="466">
        <v>640</v>
      </c>
      <c r="D15" s="467">
        <f>'Table 3 Levels 1&amp;2'!$AL$24</f>
        <v>3395.7244841073689</v>
      </c>
      <c r="E15" s="442">
        <f t="shared" ref="E15" si="52">ROUND(C15*D15,0)</f>
        <v>2173264</v>
      </c>
      <c r="F15" s="1265">
        <f>F7</f>
        <v>801.47762416806802</v>
      </c>
      <c r="G15" s="442">
        <f t="shared" si="33"/>
        <v>512945.67946756352</v>
      </c>
      <c r="H15" s="767">
        <f t="shared" ref="H15" si="53">E15+G15</f>
        <v>2686209.6794675635</v>
      </c>
      <c r="I15" s="767">
        <f>'[1]Midyear Adjustment Summary'!C120</f>
        <v>-1070286.5376102366</v>
      </c>
      <c r="J15" s="767">
        <f>'[1]Midyear Adjustment Summary'!D120</f>
        <v>-111225.85586929909</v>
      </c>
      <c r="K15" s="767">
        <f t="shared" si="35"/>
        <v>-1181512.3934795356</v>
      </c>
      <c r="L15" s="767">
        <f t="shared" si="36"/>
        <v>1504697.2859880279</v>
      </c>
      <c r="M15" s="767" t="s">
        <v>659</v>
      </c>
      <c r="N15" s="767" t="s">
        <v>659</v>
      </c>
      <c r="O15" s="767">
        <v>0</v>
      </c>
      <c r="P15" s="767">
        <f t="shared" si="39"/>
        <v>1504697.2859880279</v>
      </c>
      <c r="Q15" s="767">
        <v>0</v>
      </c>
      <c r="R15" s="569">
        <f t="shared" ref="R15" si="54">SUM(P15:Q15)</f>
        <v>1504697.2859880279</v>
      </c>
      <c r="S15" s="569">
        <f>'[3]RSD-LA'!CU17</f>
        <v>1466166</v>
      </c>
      <c r="T15" s="569">
        <f t="shared" si="41"/>
        <v>38531.285988027928</v>
      </c>
      <c r="U15" s="1695">
        <f t="shared" si="42"/>
        <v>19265.642994013964</v>
      </c>
      <c r="V15" s="767">
        <f>'[14]FY2012-13 Final'!$D$24</f>
        <v>5738</v>
      </c>
      <c r="W15" s="442">
        <f t="shared" si="37"/>
        <v>3672320</v>
      </c>
      <c r="X15" s="1403">
        <f>'[19]October midyear adj'!$E$155</f>
        <v>-255</v>
      </c>
      <c r="Y15" s="442">
        <f t="shared" si="43"/>
        <v>-1463190</v>
      </c>
      <c r="Z15" s="1403">
        <f>'[19]February midyear adj '!$E$121</f>
        <v>-53</v>
      </c>
      <c r="AA15" s="442">
        <f t="shared" si="44"/>
        <v>-152057</v>
      </c>
      <c r="AB15" s="442">
        <f t="shared" si="45"/>
        <v>-1615247</v>
      </c>
      <c r="AC15" s="442">
        <f t="shared" si="46"/>
        <v>2057073</v>
      </c>
      <c r="AD15" s="442" t="s">
        <v>659</v>
      </c>
      <c r="AE15" s="442" t="s">
        <v>659</v>
      </c>
      <c r="AF15" s="442">
        <v>0</v>
      </c>
      <c r="AG15" s="442">
        <f t="shared" si="51"/>
        <v>2057073</v>
      </c>
      <c r="AH15" s="767">
        <f>'[2]Adjusted Amounts'!$K197+'[2]Adjusted Amounts'!$P197</f>
        <v>0</v>
      </c>
      <c r="AI15" s="772">
        <f t="shared" ref="AI15" si="55">SUM(AG15:AH15)</f>
        <v>2057073</v>
      </c>
      <c r="AJ15" s="772">
        <f>'[3]RSD-LA'!CV17</f>
        <v>1985466</v>
      </c>
      <c r="AK15" s="772">
        <f t="shared" si="48"/>
        <v>71607</v>
      </c>
      <c r="AL15" s="1694">
        <f t="shared" si="49"/>
        <v>35803.5</v>
      </c>
      <c r="AM15" s="772">
        <f t="shared" si="50"/>
        <v>3561770.2859880282</v>
      </c>
      <c r="AN15" s="772">
        <f t="shared" si="38"/>
        <v>55069.142994013964</v>
      </c>
    </row>
    <row r="16" spans="1:40" ht="35.25" customHeight="1">
      <c r="A16" s="602">
        <v>396202</v>
      </c>
      <c r="B16" s="803" t="s">
        <v>1015</v>
      </c>
      <c r="C16" s="466">
        <f>'2-1-12 MFP Funded by site'!G106</f>
        <v>253</v>
      </c>
      <c r="D16" s="467">
        <f>'Table 3 Levels 1&amp;2'!$AL$24</f>
        <v>3395.7244841073689</v>
      </c>
      <c r="E16" s="442">
        <f t="shared" si="32"/>
        <v>859118</v>
      </c>
      <c r="F16" s="1265">
        <f>F7</f>
        <v>801.47762416806802</v>
      </c>
      <c r="G16" s="442">
        <f t="shared" si="33"/>
        <v>202773.83891452121</v>
      </c>
      <c r="H16" s="767">
        <f t="shared" si="34"/>
        <v>1061891.8389145213</v>
      </c>
      <c r="I16" s="767">
        <f>'[1]Midyear Adjustment Summary'!C119</f>
        <v>62958.03162413156</v>
      </c>
      <c r="J16" s="767">
        <f>'[1]Midyear Adjustment Summary'!D119</f>
        <v>-60859.430569993841</v>
      </c>
      <c r="K16" s="767">
        <f t="shared" si="35"/>
        <v>2098.6010541377182</v>
      </c>
      <c r="L16" s="767">
        <f t="shared" si="36"/>
        <v>1063990.4399686591</v>
      </c>
      <c r="M16" s="767" t="s">
        <v>659</v>
      </c>
      <c r="N16" s="767" t="s">
        <v>659</v>
      </c>
      <c r="O16" s="767">
        <v>0</v>
      </c>
      <c r="P16" s="767">
        <f t="shared" si="39"/>
        <v>1063990.4399686591</v>
      </c>
      <c r="Q16" s="767">
        <v>0</v>
      </c>
      <c r="R16" s="569">
        <f t="shared" si="40"/>
        <v>1063990.4399686591</v>
      </c>
      <c r="S16" s="569">
        <f>'[3]RSD-LA'!CU18</f>
        <v>894498</v>
      </c>
      <c r="T16" s="569">
        <f t="shared" si="41"/>
        <v>169492.43996865908</v>
      </c>
      <c r="U16" s="1695">
        <f t="shared" si="42"/>
        <v>84746.219984329538</v>
      </c>
      <c r="V16" s="767">
        <f>'[14]FY2012-13 Final'!$D$24</f>
        <v>5738</v>
      </c>
      <c r="W16" s="442">
        <f t="shared" si="37"/>
        <v>1451714</v>
      </c>
      <c r="X16" s="1403">
        <f>'[19]October midyear adj'!$E$154</f>
        <v>15</v>
      </c>
      <c r="Y16" s="442">
        <f t="shared" si="43"/>
        <v>86070</v>
      </c>
      <c r="Z16" s="1403">
        <f>'[19]February midyear adj '!$E$120</f>
        <v>-29</v>
      </c>
      <c r="AA16" s="442">
        <f t="shared" si="44"/>
        <v>-83201</v>
      </c>
      <c r="AB16" s="442">
        <f t="shared" si="45"/>
        <v>2869</v>
      </c>
      <c r="AC16" s="442">
        <f t="shared" si="46"/>
        <v>1454583</v>
      </c>
      <c r="AD16" s="442" t="s">
        <v>659</v>
      </c>
      <c r="AE16" s="442" t="s">
        <v>659</v>
      </c>
      <c r="AF16" s="442">
        <v>0</v>
      </c>
      <c r="AG16" s="442">
        <f t="shared" si="51"/>
        <v>1454583</v>
      </c>
      <c r="AH16" s="442">
        <f>'[2]Adjusted Amounts'!$K$136+'[2]Adjusted Amounts'!$P$136</f>
        <v>0</v>
      </c>
      <c r="AI16" s="772">
        <f t="shared" si="47"/>
        <v>1454583</v>
      </c>
      <c r="AJ16" s="772">
        <f>'[3]RSD-LA'!CV18</f>
        <v>1211910</v>
      </c>
      <c r="AK16" s="772">
        <f t="shared" si="48"/>
        <v>242673</v>
      </c>
      <c r="AL16" s="1694">
        <f t="shared" si="49"/>
        <v>121336.5</v>
      </c>
      <c r="AM16" s="772">
        <f t="shared" si="50"/>
        <v>2518573.4399686591</v>
      </c>
      <c r="AN16" s="772">
        <f t="shared" si="38"/>
        <v>206082.71998432954</v>
      </c>
    </row>
    <row r="17" spans="1:40" ht="32.25" customHeight="1">
      <c r="A17" s="600">
        <v>389002</v>
      </c>
      <c r="B17" s="1223" t="s">
        <v>520</v>
      </c>
      <c r="C17" s="466">
        <f>'2-1-12 MFP Funded by site'!G48</f>
        <v>475</v>
      </c>
      <c r="D17" s="467">
        <f>'Table 3 Levels 1&amp;2'!$AL$24</f>
        <v>3395.7244841073689</v>
      </c>
      <c r="E17" s="442">
        <f t="shared" si="32"/>
        <v>1612969</v>
      </c>
      <c r="F17" s="1265">
        <f>F7</f>
        <v>801.47762416806802</v>
      </c>
      <c r="G17" s="442">
        <f t="shared" si="33"/>
        <v>380701.87147983233</v>
      </c>
      <c r="H17" s="767">
        <f t="shared" si="34"/>
        <v>1993670.8714798323</v>
      </c>
      <c r="I17" s="767">
        <f>'[1]Midyear Adjustment Summary'!C187</f>
        <v>193071.2969806701</v>
      </c>
      <c r="J17" s="767">
        <f>'[1]Midyear Adjustment Summary'!D187</f>
        <v>-50366.425299305251</v>
      </c>
      <c r="K17" s="767">
        <f t="shared" si="35"/>
        <v>142704.87168136484</v>
      </c>
      <c r="L17" s="767">
        <f t="shared" si="36"/>
        <v>2136375.7431611973</v>
      </c>
      <c r="M17" s="767">
        <f>-L17*$M$5</f>
        <v>-37386.575505320958</v>
      </c>
      <c r="N17" s="767">
        <f>-L17*$N$5</f>
        <v>-5340.9393579029929</v>
      </c>
      <c r="O17" s="767">
        <f t="shared" ref="O17" si="56">M17+N17</f>
        <v>-42727.514863223951</v>
      </c>
      <c r="P17" s="767">
        <f t="shared" si="39"/>
        <v>2093648.2282979733</v>
      </c>
      <c r="Q17" s="767">
        <f>'[2]Adjusted Amounts'!$C$197+'[2]Adjusted Amounts'!$H$197</f>
        <v>-2930.9181493559095</v>
      </c>
      <c r="R17" s="569">
        <f>SUM(P17:Q17)</f>
        <v>2090717.3101486175</v>
      </c>
      <c r="S17" s="569">
        <f>'[3]RSD-LA'!$CU$7</f>
        <v>1691944</v>
      </c>
      <c r="T17" s="569">
        <f t="shared" si="41"/>
        <v>398773.31014861749</v>
      </c>
      <c r="U17" s="1695">
        <f t="shared" si="42"/>
        <v>199386.65507430874</v>
      </c>
      <c r="V17" s="767">
        <f>'[14]FY2012-13 Final'!$D$24</f>
        <v>5738</v>
      </c>
      <c r="W17" s="442">
        <f t="shared" si="37"/>
        <v>2725550</v>
      </c>
      <c r="X17" s="1403">
        <f>'[19]October midyear adj'!$E$222</f>
        <v>46</v>
      </c>
      <c r="Y17" s="442">
        <f t="shared" si="43"/>
        <v>263948</v>
      </c>
      <c r="Z17" s="1403">
        <f>'[19]February midyear adj '!$E$188</f>
        <v>-24</v>
      </c>
      <c r="AA17" s="442">
        <f t="shared" si="44"/>
        <v>-68856</v>
      </c>
      <c r="AB17" s="442">
        <f t="shared" si="45"/>
        <v>195092</v>
      </c>
      <c r="AC17" s="442">
        <f t="shared" si="46"/>
        <v>2920642</v>
      </c>
      <c r="AD17" s="442">
        <f>-AC17*$AD$5</f>
        <v>-51111.235000000008</v>
      </c>
      <c r="AE17" s="442">
        <f>-AC17*$AE$5</f>
        <v>-7301.6050000000005</v>
      </c>
      <c r="AF17" s="442">
        <f t="shared" ref="AF17" si="57">AD17+AE17</f>
        <v>-58412.840000000011</v>
      </c>
      <c r="AG17" s="442">
        <f t="shared" si="51"/>
        <v>2862229.16</v>
      </c>
      <c r="AH17" s="442">
        <f>'[2]Adjusted Amounts'!$K$197+'[2]Adjusted Amounts'!$P$197</f>
        <v>0</v>
      </c>
      <c r="AI17" s="772">
        <f t="shared" si="47"/>
        <v>2862229.16</v>
      </c>
      <c r="AJ17" s="772">
        <f>'[3]RSD-LA'!$CV$7</f>
        <v>2295956</v>
      </c>
      <c r="AK17" s="772">
        <f t="shared" si="48"/>
        <v>566273.16000000015</v>
      </c>
      <c r="AL17" s="1694">
        <f t="shared" si="49"/>
        <v>283136.58000000007</v>
      </c>
      <c r="AM17" s="772">
        <f t="shared" si="50"/>
        <v>4952946.4701486174</v>
      </c>
      <c r="AN17" s="772">
        <f t="shared" si="38"/>
        <v>482523.23507430882</v>
      </c>
    </row>
    <row r="18" spans="1:40" s="8" customFormat="1" ht="32.25" customHeight="1">
      <c r="A18" s="438"/>
      <c r="B18" s="438" t="s">
        <v>286</v>
      </c>
      <c r="C18" s="505">
        <f>SUM(C10:C17)</f>
        <v>3010</v>
      </c>
      <c r="D18" s="506"/>
      <c r="E18" s="507">
        <f>SUM(E10:E17)</f>
        <v>10221130</v>
      </c>
      <c r="F18" s="507"/>
      <c r="G18" s="507">
        <f t="shared" ref="G18:U18" si="58">SUM(G10:G17)</f>
        <v>2412447.6487458851</v>
      </c>
      <c r="H18" s="720">
        <f t="shared" si="58"/>
        <v>12633577.648745883</v>
      </c>
      <c r="I18" s="720">
        <f>SUM(I10:I17)</f>
        <v>-2438574.4249080289</v>
      </c>
      <c r="J18" s="720">
        <f t="shared" ref="J18:L18" si="59">SUM(J10:J17)</f>
        <v>-379846.79079892708</v>
      </c>
      <c r="K18" s="720">
        <f t="shared" si="59"/>
        <v>-2818421.2157069561</v>
      </c>
      <c r="L18" s="720">
        <f t="shared" si="59"/>
        <v>9815156.4330389295</v>
      </c>
      <c r="M18" s="720">
        <f t="shared" si="58"/>
        <v>-37386.575505320958</v>
      </c>
      <c r="N18" s="720">
        <f t="shared" si="58"/>
        <v>-5340.9393579029929</v>
      </c>
      <c r="O18" s="720">
        <f t="shared" si="58"/>
        <v>-42727.514863223951</v>
      </c>
      <c r="P18" s="720">
        <f t="shared" si="58"/>
        <v>9772428.9181757048</v>
      </c>
      <c r="Q18" s="507">
        <f t="shared" si="58"/>
        <v>-2930.9181493559095</v>
      </c>
      <c r="R18" s="507">
        <f t="shared" si="58"/>
        <v>9769498.000026349</v>
      </c>
      <c r="S18" s="507">
        <f t="shared" si="58"/>
        <v>8624212</v>
      </c>
      <c r="T18" s="507">
        <f t="shared" si="58"/>
        <v>1145286.0000263494</v>
      </c>
      <c r="U18" s="507">
        <f t="shared" si="58"/>
        <v>572643.00001317472</v>
      </c>
      <c r="V18" s="507"/>
      <c r="W18" s="507">
        <f t="shared" ref="W18:AN18" si="60">SUM(W10:W17)</f>
        <v>17271380</v>
      </c>
      <c r="X18" s="1404"/>
      <c r="Y18" s="507"/>
      <c r="Z18" s="1404"/>
      <c r="AA18" s="507">
        <f t="shared" si="60"/>
        <v>-519289</v>
      </c>
      <c r="AB18" s="507">
        <f t="shared" si="60"/>
        <v>-3853067</v>
      </c>
      <c r="AC18" s="507">
        <f t="shared" si="60"/>
        <v>13418313</v>
      </c>
      <c r="AD18" s="507">
        <f t="shared" si="60"/>
        <v>-51111.235000000008</v>
      </c>
      <c r="AE18" s="507">
        <f t="shared" si="60"/>
        <v>-7301.6050000000005</v>
      </c>
      <c r="AF18" s="507">
        <f t="shared" si="60"/>
        <v>-58412.840000000011</v>
      </c>
      <c r="AG18" s="507">
        <f t="shared" si="60"/>
        <v>13359900.16</v>
      </c>
      <c r="AH18" s="507">
        <f t="shared" si="60"/>
        <v>0</v>
      </c>
      <c r="AI18" s="773">
        <f t="shared" si="60"/>
        <v>13359900.16</v>
      </c>
      <c r="AJ18" s="773">
        <f t="shared" si="60"/>
        <v>11685842</v>
      </c>
      <c r="AK18" s="773">
        <f t="shared" si="60"/>
        <v>1674058.1600000001</v>
      </c>
      <c r="AL18" s="773">
        <f t="shared" si="60"/>
        <v>837029.08000000007</v>
      </c>
      <c r="AM18" s="773">
        <f t="shared" si="60"/>
        <v>23129398.160026349</v>
      </c>
      <c r="AN18" s="773">
        <f t="shared" si="60"/>
        <v>1409672.0800131748</v>
      </c>
    </row>
    <row r="19" spans="1:40" s="8" customFormat="1" ht="36" customHeight="1">
      <c r="A19" s="797"/>
      <c r="B19" s="797" t="s">
        <v>299</v>
      </c>
      <c r="C19" s="798">
        <f>C18+C7</f>
        <v>43379</v>
      </c>
      <c r="D19" s="799"/>
      <c r="E19" s="799">
        <f>E18+E7</f>
        <v>147303132</v>
      </c>
      <c r="F19" s="799"/>
      <c r="G19" s="799">
        <f>G18+G7</f>
        <v>34767297.85878662</v>
      </c>
      <c r="H19" s="799">
        <f>H18+H7</f>
        <v>182070429.85878664</v>
      </c>
      <c r="I19" s="799"/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1402"/>
      <c r="Y19" s="799"/>
      <c r="Z19" s="1402"/>
      <c r="AA19" s="799"/>
      <c r="AB19" s="799"/>
      <c r="AC19" s="799"/>
      <c r="AD19" s="799"/>
      <c r="AE19" s="799"/>
      <c r="AF19" s="799"/>
      <c r="AG19" s="799"/>
      <c r="AH19" s="799"/>
      <c r="AI19" s="799"/>
      <c r="AJ19" s="799"/>
      <c r="AK19" s="799"/>
      <c r="AL19" s="799"/>
      <c r="AM19" s="799"/>
      <c r="AN19" s="799"/>
    </row>
    <row r="20" spans="1:40" ht="6.75" customHeight="1">
      <c r="A20" s="508"/>
      <c r="B20" s="508"/>
      <c r="C20" s="509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  <c r="S20" s="510"/>
      <c r="T20" s="510"/>
      <c r="U20" s="510"/>
      <c r="V20" s="510"/>
      <c r="W20" s="510"/>
      <c r="X20" s="572"/>
      <c r="Y20" s="510"/>
      <c r="Z20" s="572"/>
      <c r="AA20" s="510"/>
      <c r="AB20" s="510"/>
      <c r="AC20" s="510"/>
      <c r="AD20" s="510"/>
      <c r="AE20" s="510"/>
      <c r="AF20" s="510"/>
      <c r="AG20" s="510"/>
      <c r="AH20" s="510"/>
      <c r="AI20" s="510"/>
      <c r="AJ20" s="510"/>
      <c r="AK20" s="510"/>
      <c r="AL20" s="510"/>
      <c r="AM20" s="510"/>
      <c r="AN20" s="510"/>
    </row>
    <row r="21" spans="1:40" s="511" customFormat="1" ht="40.5" customHeight="1">
      <c r="A21" s="725"/>
      <c r="B21" s="725" t="s">
        <v>579</v>
      </c>
      <c r="C21" s="514">
        <f>'Table 8 2.1.12 MFP Funded'!G42</f>
        <v>2582</v>
      </c>
      <c r="D21" s="442">
        <f>'Table 3 Levels 1&amp;2'!$AL$46</f>
        <v>3692.59215316156</v>
      </c>
      <c r="E21" s="442">
        <f>ROUND(C21*D21,0)</f>
        <v>9534273</v>
      </c>
      <c r="F21" s="513">
        <v>779.65573042776441</v>
      </c>
      <c r="G21" s="513">
        <f>F21*C21</f>
        <v>2013071.0959644876</v>
      </c>
      <c r="H21" s="766">
        <f>E21+G21</f>
        <v>11547344.095964488</v>
      </c>
      <c r="I21" s="766"/>
      <c r="J21" s="766">
        <f>I21*D21</f>
        <v>0</v>
      </c>
      <c r="K21" s="766">
        <f t="shared" ref="K21" si="61">I21+J21</f>
        <v>0</v>
      </c>
      <c r="L21" s="766">
        <f t="shared" ref="L21:L23" si="62">H21+K21</f>
        <v>11547344.095964488</v>
      </c>
      <c r="M21" s="766"/>
      <c r="N21" s="766"/>
      <c r="O21" s="766"/>
      <c r="P21" s="766"/>
      <c r="Q21" s="512" t="s">
        <v>290</v>
      </c>
      <c r="R21" s="568" t="s">
        <v>290</v>
      </c>
      <c r="S21" s="568"/>
      <c r="T21" s="568"/>
      <c r="U21" s="568"/>
      <c r="V21" s="849"/>
      <c r="W21" s="512"/>
      <c r="X21" s="1405"/>
      <c r="Y21" s="512"/>
      <c r="Z21" s="1405"/>
      <c r="AA21" s="849"/>
      <c r="AB21" s="512"/>
      <c r="AC21" s="512"/>
      <c r="AD21" s="512"/>
      <c r="AE21" s="512"/>
      <c r="AF21" s="512"/>
      <c r="AG21" s="512"/>
      <c r="AH21" s="800" t="s">
        <v>659</v>
      </c>
      <c r="AI21" s="771"/>
      <c r="AJ21" s="771"/>
      <c r="AK21" s="771"/>
      <c r="AL21" s="771"/>
      <c r="AM21" s="771"/>
      <c r="AN21" s="771"/>
    </row>
    <row r="22" spans="1:40" s="75" customFormat="1" ht="6" customHeight="1">
      <c r="A22" s="501"/>
      <c r="B22" s="501"/>
      <c r="C22" s="502"/>
      <c r="D22" s="503"/>
      <c r="E22" s="504"/>
      <c r="F22" s="504"/>
      <c r="G22" s="504"/>
      <c r="H22" s="719"/>
      <c r="I22" s="1411"/>
      <c r="J22" s="719"/>
      <c r="K22" s="719"/>
      <c r="L22" s="719">
        <f t="shared" si="62"/>
        <v>0</v>
      </c>
      <c r="M22" s="719"/>
      <c r="N22" s="719"/>
      <c r="O22" s="719"/>
      <c r="P22" s="719"/>
      <c r="Q22" s="504"/>
      <c r="R22" s="571"/>
      <c r="S22" s="571"/>
      <c r="T22" s="571"/>
      <c r="U22" s="571"/>
      <c r="V22" s="504"/>
      <c r="W22" s="504"/>
      <c r="X22" s="1406"/>
      <c r="Y22" s="504"/>
      <c r="Z22" s="1406"/>
      <c r="AA22" s="1410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</row>
    <row r="23" spans="1:40" ht="38.25" customHeight="1">
      <c r="A23" s="1266">
        <v>396207</v>
      </c>
      <c r="B23" s="802" t="s">
        <v>1019</v>
      </c>
      <c r="C23" s="441">
        <f>'2-1-12 MFP Funded by site'!G50</f>
        <v>277</v>
      </c>
      <c r="D23" s="442">
        <f>'Table 3 Levels 1&amp;2'!$AL$46</f>
        <v>3692.59215316156</v>
      </c>
      <c r="E23" s="442">
        <f>ROUND(C23*D23,0)</f>
        <v>1022848</v>
      </c>
      <c r="F23" s="1265">
        <f>F21</f>
        <v>779.65573042776441</v>
      </c>
      <c r="G23" s="442">
        <f>F23*C23</f>
        <v>215964.63732849073</v>
      </c>
      <c r="H23" s="767">
        <f>E23+G23</f>
        <v>1238812.6373284906</v>
      </c>
      <c r="I23" s="767">
        <f>'[1]Midyear Adjustment Summary'!C123</f>
        <v>-165473.17169280502</v>
      </c>
      <c r="J23" s="767">
        <f>'[1]Midyear Adjustment Summary'!D123</f>
        <v>-20125.115476151961</v>
      </c>
      <c r="K23" s="767">
        <f t="shared" ref="K23" si="63">I23+J23</f>
        <v>-185598.28716895697</v>
      </c>
      <c r="L23" s="767">
        <f t="shared" si="62"/>
        <v>1053214.3501595336</v>
      </c>
      <c r="M23" s="767" t="s">
        <v>659</v>
      </c>
      <c r="N23" s="767" t="s">
        <v>659</v>
      </c>
      <c r="O23" s="767">
        <v>0</v>
      </c>
      <c r="P23" s="767">
        <f t="shared" ref="P23" si="64">L23+O23</f>
        <v>1053214.3501595336</v>
      </c>
      <c r="Q23" s="767">
        <v>0</v>
      </c>
      <c r="R23" s="569">
        <f>SUM(P23:Q23)</f>
        <v>1053214.3501595336</v>
      </c>
      <c r="S23" s="569">
        <f>'[3]RSD-LA'!$CU$19</f>
        <v>910662</v>
      </c>
      <c r="T23" s="569">
        <f t="shared" ref="T23" si="65">R23-S23</f>
        <v>142552.35015953355</v>
      </c>
      <c r="U23" s="569">
        <f t="shared" ref="U23" si="66">T23/2</f>
        <v>71276.175079766777</v>
      </c>
      <c r="V23" s="767">
        <f>'[14]FY2012-13 Final'!$D$46</f>
        <v>4185</v>
      </c>
      <c r="W23" s="442">
        <f>V23*C23</f>
        <v>1159245</v>
      </c>
      <c r="X23" s="1403">
        <f>'[19]October midyear adj'!$E$158</f>
        <v>-37</v>
      </c>
      <c r="Y23" s="442">
        <f>V23*X23</f>
        <v>-154845</v>
      </c>
      <c r="Z23" s="1403">
        <f>'[19]February midyear adj '!$E$124</f>
        <v>-9</v>
      </c>
      <c r="AA23" s="442">
        <f>Z23*(V23*0.5)</f>
        <v>-18832.5</v>
      </c>
      <c r="AB23" s="442">
        <f t="shared" ref="AB23" si="67">Y23+AA23</f>
        <v>-173677.5</v>
      </c>
      <c r="AC23" s="442">
        <f t="shared" ref="AC23" si="68">W23+AB23</f>
        <v>985567.5</v>
      </c>
      <c r="AD23" s="442" t="s">
        <v>659</v>
      </c>
      <c r="AE23" s="442" t="s">
        <v>659</v>
      </c>
      <c r="AF23" s="442">
        <v>0</v>
      </c>
      <c r="AG23" s="442">
        <f t="shared" ref="AG23" si="69">AC23+AF23</f>
        <v>985567.5</v>
      </c>
      <c r="AH23" s="442">
        <v>0</v>
      </c>
      <c r="AI23" s="772">
        <f>SUM(AG23:AH23)</f>
        <v>985567.5</v>
      </c>
      <c r="AJ23" s="772">
        <f>'[3]RSD-LA'!$CV$19</f>
        <v>837910</v>
      </c>
      <c r="AK23" s="772">
        <f t="shared" ref="AK23" si="70">AI23-AJ23</f>
        <v>147657.5</v>
      </c>
      <c r="AL23" s="1694">
        <f>AK23/2</f>
        <v>73828.75</v>
      </c>
      <c r="AM23" s="772">
        <f>R23+AI23</f>
        <v>2038781.8501595336</v>
      </c>
      <c r="AN23" s="772">
        <f>U23+AL23</f>
        <v>145104.92507976678</v>
      </c>
    </row>
    <row r="24" spans="1:40" s="8" customFormat="1" ht="39.75" customHeight="1">
      <c r="A24" s="793"/>
      <c r="B24" s="793" t="s">
        <v>583</v>
      </c>
      <c r="C24" s="794">
        <f>SUM(C21:C23)</f>
        <v>2859</v>
      </c>
      <c r="D24" s="795"/>
      <c r="E24" s="795">
        <f>SUM(E21:E23)</f>
        <v>10557121</v>
      </c>
      <c r="F24" s="795"/>
      <c r="G24" s="795">
        <f>SUM(G21:G23)</f>
        <v>2229035.7332929783</v>
      </c>
      <c r="H24" s="795">
        <f>SUM(H21:H23)</f>
        <v>12786156.733292978</v>
      </c>
      <c r="I24" s="795"/>
      <c r="J24" s="795"/>
      <c r="K24" s="795"/>
      <c r="L24" s="795"/>
      <c r="M24" s="795"/>
      <c r="N24" s="795"/>
      <c r="O24" s="795"/>
      <c r="P24" s="795"/>
      <c r="Q24" s="795"/>
      <c r="R24" s="795"/>
      <c r="S24" s="795"/>
      <c r="T24" s="795"/>
      <c r="U24" s="795"/>
      <c r="V24" s="795"/>
      <c r="W24" s="795"/>
      <c r="X24" s="796"/>
      <c r="Y24" s="795"/>
      <c r="Z24" s="796"/>
      <c r="AA24" s="795"/>
      <c r="AB24" s="795"/>
      <c r="AC24" s="795"/>
      <c r="AD24" s="795"/>
      <c r="AE24" s="795"/>
      <c r="AF24" s="795"/>
      <c r="AG24" s="795"/>
      <c r="AH24" s="795"/>
      <c r="AI24" s="795"/>
      <c r="AJ24" s="795"/>
      <c r="AK24" s="795"/>
      <c r="AL24" s="795"/>
      <c r="AM24" s="795"/>
      <c r="AN24" s="795"/>
    </row>
    <row r="25" spans="1:40" ht="6.75" customHeight="1">
      <c r="A25" s="508"/>
      <c r="B25" s="508"/>
      <c r="C25" s="509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72"/>
      <c r="Y25" s="510"/>
      <c r="Z25" s="572"/>
      <c r="AA25" s="510"/>
      <c r="AB25" s="510"/>
      <c r="AC25" s="510"/>
      <c r="AD25" s="510"/>
      <c r="AE25" s="510"/>
      <c r="AF25" s="510"/>
      <c r="AG25" s="510"/>
      <c r="AH25" s="510"/>
      <c r="AI25" s="510"/>
      <c r="AJ25" s="510"/>
      <c r="AK25" s="510"/>
      <c r="AL25" s="510"/>
      <c r="AM25" s="510"/>
      <c r="AN25" s="510"/>
    </row>
    <row r="26" spans="1:40" s="109" customFormat="1" ht="30">
      <c r="A26" s="602"/>
      <c r="B26" s="602" t="s">
        <v>580</v>
      </c>
      <c r="C26" s="514">
        <f>'Table 8 2.1.12 MFP Funded'!G12</f>
        <v>40653</v>
      </c>
      <c r="D26" s="467">
        <f>'Table 3 Levels 1&amp;2'!$AL$16</f>
        <v>4287.1210280148016</v>
      </c>
      <c r="E26" s="442">
        <f>ROUND(C26*D26,0)</f>
        <v>174284331</v>
      </c>
      <c r="F26" s="718">
        <v>744.76</v>
      </c>
      <c r="G26" s="442">
        <f>F26*C26</f>
        <v>30276728.280000001</v>
      </c>
      <c r="H26" s="767">
        <f>E26+G26</f>
        <v>204561059.28</v>
      </c>
      <c r="I26" s="767"/>
      <c r="J26" s="767">
        <f>I26*D26</f>
        <v>0</v>
      </c>
      <c r="K26" s="767">
        <f t="shared" ref="K26" si="71">I26+J26</f>
        <v>0</v>
      </c>
      <c r="L26" s="767">
        <f t="shared" ref="L26:L29" si="72">H26+K26</f>
        <v>204561059.28</v>
      </c>
      <c r="M26" s="767"/>
      <c r="N26" s="767"/>
      <c r="O26" s="767"/>
      <c r="P26" s="767"/>
      <c r="Q26" s="512" t="s">
        <v>290</v>
      </c>
      <c r="R26" s="569" t="s">
        <v>290</v>
      </c>
      <c r="S26" s="569"/>
      <c r="T26" s="569"/>
      <c r="U26" s="569"/>
      <c r="V26" s="512"/>
      <c r="W26" s="512"/>
      <c r="X26" s="1405"/>
      <c r="Y26" s="512"/>
      <c r="Z26" s="1405"/>
      <c r="AA26" s="849"/>
      <c r="AB26" s="512"/>
      <c r="AC26" s="512"/>
      <c r="AD26" s="512"/>
      <c r="AE26" s="512"/>
      <c r="AF26" s="512"/>
      <c r="AG26" s="512"/>
      <c r="AH26" s="512"/>
      <c r="AI26" s="771"/>
      <c r="AJ26" s="771"/>
      <c r="AK26" s="771"/>
      <c r="AL26" s="771"/>
      <c r="AM26" s="771"/>
      <c r="AN26" s="771"/>
    </row>
    <row r="27" spans="1:40" s="75" customFormat="1" ht="6" customHeight="1">
      <c r="A27" s="501"/>
      <c r="B27" s="501"/>
      <c r="C27" s="502"/>
      <c r="D27" s="503"/>
      <c r="E27" s="504"/>
      <c r="F27" s="719"/>
      <c r="G27" s="504"/>
      <c r="H27" s="719"/>
      <c r="I27" s="1411"/>
      <c r="J27" s="719"/>
      <c r="K27" s="719"/>
      <c r="L27" s="719">
        <f t="shared" si="72"/>
        <v>0</v>
      </c>
      <c r="M27" s="719"/>
      <c r="N27" s="719"/>
      <c r="O27" s="719"/>
      <c r="P27" s="719"/>
      <c r="Q27" s="504"/>
      <c r="R27" s="571"/>
      <c r="S27" s="571"/>
      <c r="T27" s="571"/>
      <c r="U27" s="571"/>
      <c r="V27" s="504"/>
      <c r="W27" s="504"/>
      <c r="X27" s="1406"/>
      <c r="Y27" s="504"/>
      <c r="Z27" s="1406"/>
      <c r="AA27" s="1410"/>
      <c r="AB27" s="504"/>
      <c r="AC27" s="504"/>
      <c r="AD27" s="504"/>
      <c r="AE27" s="504"/>
      <c r="AF27" s="504"/>
      <c r="AG27" s="504"/>
      <c r="AH27" s="504"/>
      <c r="AI27" s="504"/>
      <c r="AJ27" s="504"/>
      <c r="AK27" s="504"/>
      <c r="AL27" s="504"/>
      <c r="AM27" s="504"/>
      <c r="AN27" s="504"/>
    </row>
    <row r="28" spans="1:40" ht="32.25" customHeight="1">
      <c r="A28" s="600">
        <v>396201</v>
      </c>
      <c r="B28" s="803" t="s">
        <v>606</v>
      </c>
      <c r="C28" s="466">
        <f>'2-1-12 MFP Funded by site'!G105</f>
        <v>166</v>
      </c>
      <c r="D28" s="467">
        <f>'Table 3 Levels 1&amp;2'!$AL$16</f>
        <v>4287.1210280148016</v>
      </c>
      <c r="E28" s="442">
        <f>ROUND(C28*D28,0)</f>
        <v>711662</v>
      </c>
      <c r="F28" s="718">
        <f>F26</f>
        <v>744.76</v>
      </c>
      <c r="G28" s="442">
        <f>F28*C28</f>
        <v>123630.16</v>
      </c>
      <c r="H28" s="767">
        <f>E28+G28</f>
        <v>835292.16000000003</v>
      </c>
      <c r="I28" s="767">
        <f>'[1]Midyear Adjustment Summary'!C118</f>
        <v>-60382.572336177618</v>
      </c>
      <c r="J28" s="767">
        <f>'[1]Midyear Adjustment Summary'!D118</f>
        <v>-17611.583598051806</v>
      </c>
      <c r="K28" s="767">
        <f t="shared" ref="K28:K29" si="73">I28+J28</f>
        <v>-77994.15593422942</v>
      </c>
      <c r="L28" s="767">
        <f t="shared" si="72"/>
        <v>757298.00406577066</v>
      </c>
      <c r="M28" s="767" t="s">
        <v>659</v>
      </c>
      <c r="N28" s="767" t="s">
        <v>659</v>
      </c>
      <c r="O28" s="767">
        <v>0</v>
      </c>
      <c r="P28" s="767">
        <f t="shared" ref="P28:P29" si="74">L28+O28</f>
        <v>757298.00406577066</v>
      </c>
      <c r="Q28" s="767">
        <f>'[2]Adjusted Amounts'!$C$134+'[2]Adjusted Amounts'!$H$134</f>
        <v>-16324.608789958555</v>
      </c>
      <c r="R28" s="569">
        <f>SUM(P28:Q28)</f>
        <v>740973.39527581213</v>
      </c>
      <c r="S28" s="569">
        <f>'[3]RSD-LA'!$CU$20+8454</f>
        <v>639448</v>
      </c>
      <c r="T28" s="569">
        <f t="shared" ref="T28:T29" si="75">R28-S28</f>
        <v>101525.39527581213</v>
      </c>
      <c r="U28" s="569">
        <f t="shared" ref="U28:U29" si="76">T28/2</f>
        <v>50762.697637906065</v>
      </c>
      <c r="V28" s="767">
        <f>'[14]FY2012-13 Final'!$D$16</f>
        <v>3942</v>
      </c>
      <c r="W28" s="442">
        <f>V28*C28</f>
        <v>654372</v>
      </c>
      <c r="X28" s="1403">
        <f>'[19]October midyear adj'!$E$153</f>
        <v>-12</v>
      </c>
      <c r="Y28" s="442">
        <f t="shared" ref="Y28:Y29" si="77">V28*X28</f>
        <v>-47304</v>
      </c>
      <c r="Z28" s="1403">
        <f>'[19]February midyear adj '!$E$119</f>
        <v>-7</v>
      </c>
      <c r="AA28" s="442">
        <f t="shared" ref="AA28:AA29" si="78">Z28*(V28*0.5)</f>
        <v>-13797</v>
      </c>
      <c r="AB28" s="442">
        <f t="shared" ref="AB28:AB29" si="79">Y28+AA28</f>
        <v>-61101</v>
      </c>
      <c r="AC28" s="442">
        <f t="shared" ref="AC28:AC29" si="80">W28+AB28</f>
        <v>593271</v>
      </c>
      <c r="AD28" s="442" t="s">
        <v>659</v>
      </c>
      <c r="AE28" s="442" t="s">
        <v>659</v>
      </c>
      <c r="AF28" s="442">
        <v>0</v>
      </c>
      <c r="AG28" s="442">
        <f t="shared" ref="AG28:AG29" si="81">AC28+AF28</f>
        <v>593271</v>
      </c>
      <c r="AH28" s="442">
        <f>'[2]Adjusted Amounts'!$K$134+'[2]Adjusted Amounts'!$P$134</f>
        <v>-9469</v>
      </c>
      <c r="AI28" s="772">
        <f>SUM(AG28:AH28)</f>
        <v>583802</v>
      </c>
      <c r="AJ28" s="772">
        <f>'[3]RSD-LA'!$CV$20</f>
        <v>494254</v>
      </c>
      <c r="AK28" s="772">
        <f t="shared" ref="AK28:AK29" si="82">AI28-AJ28</f>
        <v>89548</v>
      </c>
      <c r="AL28" s="772">
        <f t="shared" ref="AL28:AL29" si="83">AK28/2</f>
        <v>44774</v>
      </c>
      <c r="AM28" s="772">
        <f t="shared" ref="AM28:AM29" si="84">R28+AI28</f>
        <v>1324775.3952758121</v>
      </c>
      <c r="AN28" s="772">
        <f>U28+AL28</f>
        <v>95536.697637906065</v>
      </c>
    </row>
    <row r="29" spans="1:40" ht="33.75" customHeight="1">
      <c r="A29" s="600">
        <v>371001</v>
      </c>
      <c r="B29" s="1223" t="s">
        <v>521</v>
      </c>
      <c r="C29" s="466">
        <f>'2-1-12 MFP Funded by site'!G41</f>
        <v>478</v>
      </c>
      <c r="D29" s="467">
        <f>'Table 3 Levels 1&amp;2'!$AL$16</f>
        <v>4287.1210280148016</v>
      </c>
      <c r="E29" s="442">
        <f>ROUND(C29*D29,0)</f>
        <v>2049244</v>
      </c>
      <c r="F29" s="718">
        <f>F26</f>
        <v>744.76</v>
      </c>
      <c r="G29" s="442">
        <f>F29*C29</f>
        <v>355995.27999999997</v>
      </c>
      <c r="H29" s="767">
        <f>E29+G29</f>
        <v>2405239.2799999998</v>
      </c>
      <c r="I29" s="767">
        <f>'[1]Midyear Adjustment Summary'!C190</f>
        <v>231466.5272886809</v>
      </c>
      <c r="J29" s="767">
        <f>'[1]Midyear Adjustment Summary'!D190</f>
        <v>-40255.048224118415</v>
      </c>
      <c r="K29" s="767">
        <f t="shared" si="73"/>
        <v>191211.47906456247</v>
      </c>
      <c r="L29" s="767">
        <f t="shared" si="72"/>
        <v>2596450.7590645622</v>
      </c>
      <c r="M29" s="767">
        <f>-L29*$M$5</f>
        <v>-45437.888283629843</v>
      </c>
      <c r="N29" s="767">
        <f>-L29*$N$5</f>
        <v>-6491.1268976614056</v>
      </c>
      <c r="O29" s="767">
        <f>M29+N29</f>
        <v>-51929.015181291252</v>
      </c>
      <c r="P29" s="767">
        <f t="shared" si="74"/>
        <v>2544521.7438832708</v>
      </c>
      <c r="Q29" s="767">
        <f>'[2]Adjusted Amounts'!$C$202+'[2]Adjusted Amounts'!$H$202</f>
        <v>-15389.013847659691</v>
      </c>
      <c r="R29" s="569">
        <f>SUM(P29:Q29)</f>
        <v>2529132.730035611</v>
      </c>
      <c r="S29" s="569">
        <f>'[3]RSD-LA'!$CU$10+8454</f>
        <v>2045914</v>
      </c>
      <c r="T29" s="569">
        <f t="shared" si="75"/>
        <v>483218.73003561096</v>
      </c>
      <c r="U29" s="569">
        <f t="shared" si="76"/>
        <v>241609.36501780548</v>
      </c>
      <c r="V29" s="767">
        <f>'[14]FY2012-13 Final'!$D$16</f>
        <v>3942</v>
      </c>
      <c r="W29" s="442">
        <f>V29*C29</f>
        <v>1884276</v>
      </c>
      <c r="X29" s="1403">
        <f>'[19]October midyear adj'!$E$225</f>
        <v>46</v>
      </c>
      <c r="Y29" s="442">
        <f t="shared" si="77"/>
        <v>181332</v>
      </c>
      <c r="Z29" s="1403">
        <f>'[19]February midyear adj '!$E$191</f>
        <v>-16</v>
      </c>
      <c r="AA29" s="442">
        <f t="shared" si="78"/>
        <v>-31536</v>
      </c>
      <c r="AB29" s="442">
        <f t="shared" si="79"/>
        <v>149796</v>
      </c>
      <c r="AC29" s="442">
        <f t="shared" si="80"/>
        <v>2034072</v>
      </c>
      <c r="AD29" s="442">
        <f>-AC29*$AD$5</f>
        <v>-35596.26</v>
      </c>
      <c r="AE29" s="442">
        <f>-AC29*$AE$5</f>
        <v>-5085.18</v>
      </c>
      <c r="AF29" s="442">
        <f>AD29+AE29</f>
        <v>-40681.440000000002</v>
      </c>
      <c r="AG29" s="442">
        <f t="shared" si="81"/>
        <v>1993390.56</v>
      </c>
      <c r="AH29" s="442">
        <f>'[2]Adjusted Amounts'!$K$202+'[2]Adjusted Amounts'!$P$202</f>
        <v>-11721</v>
      </c>
      <c r="AI29" s="772">
        <f>SUM(AG29:AH29)</f>
        <v>1981669.56</v>
      </c>
      <c r="AJ29" s="772">
        <f>'[3]RSD-LA'!$CV$10</f>
        <v>1588316</v>
      </c>
      <c r="AK29" s="772">
        <f t="shared" si="82"/>
        <v>393353.56000000006</v>
      </c>
      <c r="AL29" s="772">
        <f t="shared" si="83"/>
        <v>196676.78000000003</v>
      </c>
      <c r="AM29" s="772">
        <f t="shared" si="84"/>
        <v>4510802.290035611</v>
      </c>
      <c r="AN29" s="772">
        <f>U29+AL29</f>
        <v>438286.14501780551</v>
      </c>
    </row>
    <row r="30" spans="1:40" s="8" customFormat="1" ht="32.25" customHeight="1">
      <c r="A30" s="438"/>
      <c r="B30" s="438" t="s">
        <v>287</v>
      </c>
      <c r="C30" s="505">
        <f>SUM(C28:C29)</f>
        <v>644</v>
      </c>
      <c r="D30" s="506"/>
      <c r="E30" s="507">
        <f>SUM(E28:E29)</f>
        <v>2760906</v>
      </c>
      <c r="F30" s="720"/>
      <c r="G30" s="507">
        <f t="shared" ref="G30:U30" si="85">SUM(G28:G29)</f>
        <v>479625.43999999994</v>
      </c>
      <c r="H30" s="720">
        <f t="shared" si="85"/>
        <v>3240531.44</v>
      </c>
      <c r="I30" s="720">
        <f>SUM(I28:I29)</f>
        <v>171083.95495250326</v>
      </c>
      <c r="J30" s="720">
        <f>SUM(J28:J29)</f>
        <v>-57866.631822170224</v>
      </c>
      <c r="K30" s="720">
        <f>SUM(K28:K29)</f>
        <v>113217.32313033305</v>
      </c>
      <c r="L30" s="720">
        <f>SUM(L28:L29)</f>
        <v>3353748.7631303328</v>
      </c>
      <c r="M30" s="720">
        <f t="shared" si="85"/>
        <v>-45437.888283629843</v>
      </c>
      <c r="N30" s="720">
        <f t="shared" si="85"/>
        <v>-6491.1268976614056</v>
      </c>
      <c r="O30" s="720">
        <f t="shared" si="85"/>
        <v>-51929.015181291252</v>
      </c>
      <c r="P30" s="720">
        <f t="shared" si="85"/>
        <v>3301819.7479490414</v>
      </c>
      <c r="Q30" s="507">
        <f t="shared" si="85"/>
        <v>-31713.622637618246</v>
      </c>
      <c r="R30" s="570">
        <f t="shared" si="85"/>
        <v>3270106.1253114231</v>
      </c>
      <c r="S30" s="570">
        <f t="shared" si="85"/>
        <v>2685362</v>
      </c>
      <c r="T30" s="570">
        <f t="shared" si="85"/>
        <v>584744.12531142309</v>
      </c>
      <c r="U30" s="570">
        <f t="shared" si="85"/>
        <v>292372.06265571155</v>
      </c>
      <c r="V30" s="507"/>
      <c r="W30" s="507">
        <f>SUM(W28:W29)</f>
        <v>2538648</v>
      </c>
      <c r="X30" s="1404"/>
      <c r="Y30" s="507"/>
      <c r="Z30" s="1404"/>
      <c r="AA30" s="507"/>
      <c r="AB30" s="507"/>
      <c r="AC30" s="507">
        <f>SUM(AC28:AC29)</f>
        <v>2627343</v>
      </c>
      <c r="AD30" s="507">
        <f t="shared" ref="AD30:AN30" si="86">SUM(AD28:AD29)</f>
        <v>-35596.26</v>
      </c>
      <c r="AE30" s="507">
        <f t="shared" si="86"/>
        <v>-5085.18</v>
      </c>
      <c r="AF30" s="507">
        <f t="shared" si="86"/>
        <v>-40681.440000000002</v>
      </c>
      <c r="AG30" s="507">
        <f t="shared" si="86"/>
        <v>2586661.56</v>
      </c>
      <c r="AH30" s="507">
        <f t="shared" si="86"/>
        <v>-21190</v>
      </c>
      <c r="AI30" s="773">
        <f t="shared" si="86"/>
        <v>2565471.56</v>
      </c>
      <c r="AJ30" s="773">
        <f>SUM(AJ28:AJ29)</f>
        <v>2082570</v>
      </c>
      <c r="AK30" s="773">
        <f>SUM(AK28:AK29)</f>
        <v>482901.56000000006</v>
      </c>
      <c r="AL30" s="773">
        <f t="shared" si="86"/>
        <v>241450.78000000003</v>
      </c>
      <c r="AM30" s="773">
        <f t="shared" si="86"/>
        <v>5835577.6853114236</v>
      </c>
      <c r="AN30" s="773">
        <f t="shared" si="86"/>
        <v>533822.84265571157</v>
      </c>
    </row>
    <row r="31" spans="1:40" s="8" customFormat="1" ht="33.75" customHeight="1">
      <c r="A31" s="793"/>
      <c r="B31" s="793" t="s">
        <v>584</v>
      </c>
      <c r="C31" s="794">
        <f>C30+C26</f>
        <v>41297</v>
      </c>
      <c r="D31" s="796"/>
      <c r="E31" s="795">
        <f>E30+E26</f>
        <v>177045237</v>
      </c>
      <c r="F31" s="795"/>
      <c r="G31" s="795">
        <f>G30+G26</f>
        <v>30756353.720000003</v>
      </c>
      <c r="H31" s="795">
        <f>H30+H26</f>
        <v>207801590.72</v>
      </c>
      <c r="I31" s="795"/>
      <c r="J31" s="795"/>
      <c r="K31" s="795"/>
      <c r="L31" s="795"/>
      <c r="M31" s="795"/>
      <c r="N31" s="795"/>
      <c r="O31" s="795"/>
      <c r="P31" s="795"/>
      <c r="Q31" s="795"/>
      <c r="R31" s="795"/>
      <c r="S31" s="795"/>
      <c r="T31" s="795"/>
      <c r="U31" s="795"/>
      <c r="V31" s="795"/>
      <c r="W31" s="795"/>
      <c r="X31" s="796"/>
      <c r="Y31" s="795"/>
      <c r="Z31" s="796"/>
      <c r="AA31" s="795"/>
      <c r="AB31" s="795"/>
      <c r="AC31" s="795"/>
      <c r="AD31" s="795"/>
      <c r="AE31" s="795"/>
      <c r="AF31" s="795"/>
      <c r="AG31" s="795"/>
      <c r="AH31" s="795"/>
      <c r="AI31" s="795"/>
      <c r="AJ31" s="795"/>
      <c r="AK31" s="795"/>
      <c r="AL31" s="795"/>
      <c r="AM31" s="795"/>
      <c r="AN31" s="795"/>
    </row>
    <row r="32" spans="1:40" s="715" customFormat="1" ht="6.75" customHeight="1">
      <c r="A32" s="721"/>
      <c r="B32" s="721"/>
      <c r="C32" s="722"/>
      <c r="D32" s="723"/>
      <c r="E32" s="724"/>
      <c r="F32" s="724"/>
      <c r="G32" s="724"/>
      <c r="H32" s="770"/>
      <c r="I32" s="770"/>
      <c r="J32" s="770"/>
      <c r="K32" s="770"/>
      <c r="L32" s="770"/>
      <c r="M32" s="770"/>
      <c r="N32" s="770"/>
      <c r="O32" s="770"/>
      <c r="P32" s="770"/>
      <c r="Q32" s="724"/>
      <c r="R32" s="724"/>
      <c r="S32" s="724"/>
      <c r="T32" s="724"/>
      <c r="U32" s="724"/>
      <c r="V32" s="724"/>
      <c r="W32" s="724"/>
      <c r="X32" s="723"/>
      <c r="Y32" s="724"/>
      <c r="Z32" s="723"/>
      <c r="AA32" s="724"/>
      <c r="AB32" s="724"/>
      <c r="AC32" s="724"/>
      <c r="AD32" s="724"/>
      <c r="AE32" s="724"/>
      <c r="AF32" s="724"/>
      <c r="AG32" s="724"/>
      <c r="AH32" s="724"/>
      <c r="AI32" s="724"/>
      <c r="AJ32" s="724"/>
      <c r="AK32" s="724"/>
      <c r="AL32" s="724"/>
      <c r="AM32" s="724"/>
      <c r="AN32" s="724"/>
    </row>
    <row r="33" spans="1:40" s="715" customFormat="1" ht="30.75" customHeight="1">
      <c r="A33" s="602"/>
      <c r="B33" s="602" t="s">
        <v>582</v>
      </c>
      <c r="C33" s="514">
        <f>'Table 8 2.1.12 MFP Funded'!G49</f>
        <v>760</v>
      </c>
      <c r="D33" s="442">
        <f>'Table 3 Levels 1&amp;2'!$AL$53</f>
        <v>5783.612845780598</v>
      </c>
      <c r="E33" s="442">
        <f>ROUND(C33*D33,0)</f>
        <v>4395546</v>
      </c>
      <c r="F33" s="513">
        <v>728.06</v>
      </c>
      <c r="G33" s="513">
        <f>F33*C33</f>
        <v>553325.6</v>
      </c>
      <c r="H33" s="766">
        <f>E33+G33</f>
        <v>4948871.5999999996</v>
      </c>
      <c r="I33" s="766"/>
      <c r="J33" s="766">
        <f>I33*D33</f>
        <v>0</v>
      </c>
      <c r="K33" s="766">
        <f t="shared" ref="K33:K35" si="87">I33+J33</f>
        <v>0</v>
      </c>
      <c r="L33" s="766">
        <f t="shared" ref="L33:L35" si="88">H33+K33</f>
        <v>4948871.5999999996</v>
      </c>
      <c r="M33" s="766"/>
      <c r="N33" s="766"/>
      <c r="O33" s="767"/>
      <c r="P33" s="766"/>
      <c r="Q33" s="512" t="s">
        <v>290</v>
      </c>
      <c r="R33" s="568" t="s">
        <v>290</v>
      </c>
      <c r="S33" s="568"/>
      <c r="T33" s="568"/>
      <c r="U33" s="568"/>
      <c r="V33" s="512"/>
      <c r="W33" s="512"/>
      <c r="X33" s="1405"/>
      <c r="Y33" s="512"/>
      <c r="Z33" s="1405"/>
      <c r="AA33" s="849"/>
      <c r="AB33" s="512"/>
      <c r="AC33" s="512"/>
      <c r="AD33" s="512"/>
      <c r="AE33" s="512"/>
      <c r="AF33" s="512"/>
      <c r="AG33" s="512"/>
      <c r="AH33" s="512"/>
      <c r="AI33" s="771"/>
      <c r="AJ33" s="771"/>
      <c r="AK33" s="771"/>
      <c r="AL33" s="771"/>
      <c r="AM33" s="771"/>
      <c r="AN33" s="771"/>
    </row>
    <row r="34" spans="1:40" s="715" customFormat="1" ht="6.75" customHeight="1">
      <c r="A34" s="501"/>
      <c r="B34" s="501"/>
      <c r="C34" s="502"/>
      <c r="D34" s="503"/>
      <c r="E34" s="504"/>
      <c r="F34" s="504"/>
      <c r="G34" s="504"/>
      <c r="H34" s="719"/>
      <c r="I34" s="1411"/>
      <c r="J34" s="719"/>
      <c r="K34" s="719">
        <f t="shared" si="87"/>
        <v>0</v>
      </c>
      <c r="L34" s="719">
        <f t="shared" si="88"/>
        <v>0</v>
      </c>
      <c r="M34" s="719"/>
      <c r="N34" s="719"/>
      <c r="O34" s="719"/>
      <c r="P34" s="719"/>
      <c r="Q34" s="504"/>
      <c r="R34" s="571"/>
      <c r="S34" s="571"/>
      <c r="T34" s="571"/>
      <c r="U34" s="571"/>
      <c r="V34" s="504"/>
      <c r="W34" s="504"/>
      <c r="X34" s="1406"/>
      <c r="Y34" s="504"/>
      <c r="Z34" s="1406"/>
      <c r="AA34" s="1410"/>
      <c r="AB34" s="504"/>
      <c r="AC34" s="504"/>
      <c r="AD34" s="504"/>
      <c r="AE34" s="504"/>
      <c r="AF34" s="504"/>
      <c r="AG34" s="504"/>
      <c r="AH34" s="504"/>
      <c r="AI34" s="504"/>
      <c r="AJ34" s="504"/>
      <c r="AK34" s="504"/>
      <c r="AL34" s="504"/>
      <c r="AM34" s="504"/>
      <c r="AN34" s="504"/>
    </row>
    <row r="35" spans="1:40" s="715" customFormat="1" ht="34.5" customHeight="1">
      <c r="A35" s="601">
        <v>396200</v>
      </c>
      <c r="B35" s="802" t="s">
        <v>586</v>
      </c>
      <c r="C35" s="441">
        <f>'2-1-12 MFP Funded by site'!G107</f>
        <v>336</v>
      </c>
      <c r="D35" s="442">
        <f>'Table 3 Levels 1&amp;2'!$AL$53</f>
        <v>5783.612845780598</v>
      </c>
      <c r="E35" s="442">
        <f>ROUND(C35*D35,0)</f>
        <v>1943294</v>
      </c>
      <c r="F35" s="442">
        <v>728.06</v>
      </c>
      <c r="G35" s="442">
        <f>F35*C35</f>
        <v>244628.15999999997</v>
      </c>
      <c r="H35" s="767">
        <f>E35+G35</f>
        <v>2187922.16</v>
      </c>
      <c r="I35" s="767">
        <f>'[1]Midyear Adjustment Summary'!C117</f>
        <v>-169303.49399029557</v>
      </c>
      <c r="J35" s="767">
        <f>'[1]Midyear Adjustment Summary'!D117</f>
        <v>19535.018537341795</v>
      </c>
      <c r="K35" s="767">
        <f t="shared" si="87"/>
        <v>-149768.47545295377</v>
      </c>
      <c r="L35" s="767">
        <f t="shared" si="88"/>
        <v>2038153.6845470464</v>
      </c>
      <c r="M35" s="767" t="s">
        <v>659</v>
      </c>
      <c r="N35" s="767" t="s">
        <v>659</v>
      </c>
      <c r="O35" s="767">
        <v>0</v>
      </c>
      <c r="P35" s="767">
        <f t="shared" ref="P35" si="89">L35+O35</f>
        <v>2038153.6845470464</v>
      </c>
      <c r="Q35" s="767">
        <f>'[2]Adjusted Amounts'!$C$135+'[2]Adjusted Amounts'!$H$135</f>
        <v>-23487.036266460858</v>
      </c>
      <c r="R35" s="569">
        <f>SUM(P35:Q35)</f>
        <v>2014666.6482805857</v>
      </c>
      <c r="S35" s="569">
        <f>'[3]RSD-LA'!$CU$21+8454</f>
        <v>1704140</v>
      </c>
      <c r="T35" s="569">
        <f t="shared" ref="T35" si="90">R35-S35</f>
        <v>310526.64828058565</v>
      </c>
      <c r="U35" s="569">
        <f t="shared" ref="U35" si="91">T35/2</f>
        <v>155263.32414029283</v>
      </c>
      <c r="V35" s="767">
        <f>'[14]FY2012-13 Final'!$D$53</f>
        <v>1106</v>
      </c>
      <c r="W35" s="442">
        <f>V35*C35</f>
        <v>371616</v>
      </c>
      <c r="X35" s="1403">
        <f>'[20]October midyear adj'!$E$152</f>
        <v>-26</v>
      </c>
      <c r="Y35" s="442">
        <f>V35*X35</f>
        <v>-28756</v>
      </c>
      <c r="Z35" s="1403">
        <f>'[19]February midyear adj '!$E$118</f>
        <v>6</v>
      </c>
      <c r="AA35" s="442">
        <f>Z35*(V35*0.5)</f>
        <v>3318</v>
      </c>
      <c r="AB35" s="442">
        <f t="shared" ref="AB35" si="92">Y35+AA35</f>
        <v>-25438</v>
      </c>
      <c r="AC35" s="442">
        <f t="shared" ref="AC35" si="93">W35+AB35</f>
        <v>346178</v>
      </c>
      <c r="AD35" s="442" t="s">
        <v>659</v>
      </c>
      <c r="AE35" s="442" t="s">
        <v>659</v>
      </c>
      <c r="AF35" s="442">
        <v>0</v>
      </c>
      <c r="AG35" s="442">
        <f t="shared" ref="AG35" si="94">AC35+AF35</f>
        <v>346178</v>
      </c>
      <c r="AH35" s="442">
        <f>'[2]Adjusted Amounts'!$K$135+'[2]Adjusted Amounts'!$P$135</f>
        <v>-2907</v>
      </c>
      <c r="AI35" s="772">
        <f>SUM(AG35:AH35)</f>
        <v>343271</v>
      </c>
      <c r="AJ35" s="772">
        <f>'[3]RSD-LA'!$CV$21</f>
        <v>274174</v>
      </c>
      <c r="AK35" s="772">
        <f t="shared" ref="AK35" si="95">AI35-AJ35</f>
        <v>69097</v>
      </c>
      <c r="AL35" s="772">
        <f>AK35/2</f>
        <v>34548.5</v>
      </c>
      <c r="AM35" s="772">
        <f>R35+AI35</f>
        <v>2357937.6482805857</v>
      </c>
      <c r="AN35" s="772">
        <f>U35+AL35</f>
        <v>189811.82414029283</v>
      </c>
    </row>
    <row r="36" spans="1:40" s="715" customFormat="1" ht="40.5" customHeight="1">
      <c r="A36" s="793"/>
      <c r="B36" s="793" t="s">
        <v>585</v>
      </c>
      <c r="C36" s="794">
        <f>SUM(C33:C35)</f>
        <v>1096</v>
      </c>
      <c r="D36" s="795"/>
      <c r="E36" s="795">
        <f>SUM(E33:E35)</f>
        <v>6338840</v>
      </c>
      <c r="F36" s="795"/>
      <c r="G36" s="795">
        <f>SUM(G33:G35)</f>
        <v>797953.76</v>
      </c>
      <c r="H36" s="795">
        <f>SUM(H33:H35)</f>
        <v>7136793.7599999998</v>
      </c>
      <c r="I36" s="795"/>
      <c r="J36" s="795"/>
      <c r="K36" s="795"/>
      <c r="L36" s="795"/>
      <c r="M36" s="795"/>
      <c r="N36" s="795"/>
      <c r="O36" s="795"/>
      <c r="P36" s="795"/>
      <c r="Q36" s="795"/>
      <c r="R36" s="795"/>
      <c r="S36" s="795"/>
      <c r="T36" s="795"/>
      <c r="U36" s="795"/>
      <c r="V36" s="795"/>
      <c r="W36" s="795"/>
      <c r="X36" s="796"/>
      <c r="Y36" s="795"/>
      <c r="Z36" s="796"/>
      <c r="AA36" s="795"/>
      <c r="AB36" s="795"/>
      <c r="AC36" s="795"/>
      <c r="AD36" s="795"/>
      <c r="AE36" s="795"/>
      <c r="AF36" s="795"/>
      <c r="AG36" s="795"/>
      <c r="AH36" s="795"/>
      <c r="AI36" s="795"/>
      <c r="AJ36" s="795"/>
      <c r="AK36" s="795"/>
      <c r="AL36" s="795"/>
      <c r="AM36" s="795"/>
      <c r="AN36" s="795"/>
    </row>
    <row r="37" spans="1:40" s="715" customFormat="1" ht="5.25" customHeight="1">
      <c r="A37" s="721"/>
      <c r="B37" s="721"/>
      <c r="C37" s="722"/>
      <c r="D37" s="723"/>
      <c r="E37" s="724"/>
      <c r="F37" s="724"/>
      <c r="G37" s="724"/>
      <c r="H37" s="724"/>
      <c r="I37" s="724"/>
      <c r="J37" s="724"/>
      <c r="K37" s="724"/>
      <c r="L37" s="724"/>
      <c r="M37" s="724"/>
      <c r="N37" s="724"/>
      <c r="O37" s="724"/>
      <c r="P37" s="724"/>
      <c r="Q37" s="724"/>
      <c r="R37" s="724"/>
      <c r="S37" s="724"/>
      <c r="T37" s="724"/>
      <c r="U37" s="724"/>
      <c r="V37" s="724"/>
      <c r="W37" s="724"/>
      <c r="X37" s="723"/>
      <c r="Y37" s="724"/>
      <c r="Z37" s="723"/>
      <c r="AA37" s="724"/>
      <c r="AB37" s="724"/>
      <c r="AC37" s="724"/>
      <c r="AD37" s="724"/>
      <c r="AE37" s="724"/>
      <c r="AF37" s="724"/>
      <c r="AG37" s="724"/>
      <c r="AH37" s="724"/>
      <c r="AI37" s="724"/>
      <c r="AJ37" s="724"/>
      <c r="AK37" s="724"/>
      <c r="AL37" s="724"/>
      <c r="AM37" s="724"/>
      <c r="AN37" s="724"/>
    </row>
    <row r="38" spans="1:40" s="8" customFormat="1" ht="33.75" customHeight="1">
      <c r="A38" s="438"/>
      <c r="B38" s="438" t="s">
        <v>288</v>
      </c>
      <c r="C38" s="516">
        <f>C18+C23+C30+C35</f>
        <v>4267</v>
      </c>
      <c r="D38" s="573"/>
      <c r="E38" s="574">
        <f>E18+E23+E30+E35</f>
        <v>15948178</v>
      </c>
      <c r="F38" s="574"/>
      <c r="G38" s="574">
        <f t="shared" ref="G38:T38" si="96">G18+G23+G30+G35</f>
        <v>3352665.8860743758</v>
      </c>
      <c r="H38" s="768">
        <f>H18+H23+H30+H35</f>
        <v>19300843.886074375</v>
      </c>
      <c r="I38" s="768">
        <f>I18+I23+I30+I35</f>
        <v>-2602267.1356386263</v>
      </c>
      <c r="J38" s="768">
        <f>J18+J23+J30+J35</f>
        <v>-438303.51955990749</v>
      </c>
      <c r="K38" s="768">
        <f>K18+K23+K30+K35</f>
        <v>-3040570.655198534</v>
      </c>
      <c r="L38" s="768">
        <f>L18+L23+L30+L35</f>
        <v>16260273.230875842</v>
      </c>
      <c r="M38" s="768">
        <f>M18+M30</f>
        <v>-82824.463788950801</v>
      </c>
      <c r="N38" s="768">
        <f>N18+N30</f>
        <v>-11832.066255564398</v>
      </c>
      <c r="O38" s="768">
        <f t="shared" si="96"/>
        <v>-94656.53004451521</v>
      </c>
      <c r="P38" s="768">
        <f t="shared" si="96"/>
        <v>16165616.700831326</v>
      </c>
      <c r="Q38" s="507">
        <f t="shared" si="96"/>
        <v>-58131.577053435016</v>
      </c>
      <c r="R38" s="575">
        <f t="shared" si="96"/>
        <v>16107485.123777891</v>
      </c>
      <c r="S38" s="575">
        <f t="shared" si="96"/>
        <v>13924376</v>
      </c>
      <c r="T38" s="575">
        <f t="shared" si="96"/>
        <v>2183109.1237778915</v>
      </c>
      <c r="U38" s="575">
        <f>U18+U23+U30+U35</f>
        <v>1091554.5618889458</v>
      </c>
      <c r="V38" s="574"/>
      <c r="W38" s="574">
        <f t="shared" ref="W38:AN38" si="97">W18+W23+W30+W35</f>
        <v>21340889</v>
      </c>
      <c r="X38" s="1413"/>
      <c r="Y38" s="1412"/>
      <c r="Z38" s="1413"/>
      <c r="AA38" s="574"/>
      <c r="AB38" s="574"/>
      <c r="AC38" s="574">
        <f t="shared" si="97"/>
        <v>17377401.5</v>
      </c>
      <c r="AD38" s="574">
        <f>AD18+AD30</f>
        <v>-86707.49500000001</v>
      </c>
      <c r="AE38" s="574">
        <f>AE18+AE30</f>
        <v>-12386.785</v>
      </c>
      <c r="AF38" s="574">
        <f t="shared" si="97"/>
        <v>-99094.280000000013</v>
      </c>
      <c r="AG38" s="574">
        <f t="shared" si="97"/>
        <v>17278307.219999999</v>
      </c>
      <c r="AH38" s="574">
        <f t="shared" si="97"/>
        <v>-24097</v>
      </c>
      <c r="AI38" s="775">
        <f>AI18+AI23+AI30+AI35</f>
        <v>17254210.219999999</v>
      </c>
      <c r="AJ38" s="775">
        <f>AJ18+AJ23+AJ30+AJ35</f>
        <v>14880496</v>
      </c>
      <c r="AK38" s="775">
        <f t="shared" ref="AK38" si="98">AK18+AK23+AK30+AK35</f>
        <v>2373714.2200000002</v>
      </c>
      <c r="AL38" s="775">
        <f>AL18+AL23+AL30+AL35</f>
        <v>1186857.1100000001</v>
      </c>
      <c r="AM38" s="775">
        <f>AM18+AM23+AM30+AM35</f>
        <v>33361695.343777891</v>
      </c>
      <c r="AN38" s="775">
        <f t="shared" si="97"/>
        <v>2278411.6718889461</v>
      </c>
    </row>
    <row r="39" spans="1:40" s="75" customFormat="1" ht="8.25" customHeight="1">
      <c r="A39" s="508"/>
      <c r="B39" s="508"/>
      <c r="C39" s="509"/>
      <c r="D39" s="572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  <c r="S39" s="510"/>
      <c r="T39" s="510"/>
      <c r="U39" s="510"/>
      <c r="V39" s="510"/>
      <c r="W39" s="510"/>
      <c r="X39" s="572"/>
      <c r="Y39" s="510"/>
      <c r="Z39" s="572"/>
      <c r="AA39" s="510"/>
      <c r="AB39" s="510"/>
      <c r="AC39" s="510"/>
      <c r="AD39" s="510"/>
      <c r="AE39" s="510"/>
      <c r="AF39" s="510"/>
      <c r="AG39" s="510"/>
      <c r="AH39" s="510"/>
      <c r="AI39" s="510"/>
      <c r="AJ39" s="510"/>
      <c r="AK39" s="510"/>
      <c r="AL39" s="510"/>
      <c r="AM39" s="510"/>
      <c r="AN39" s="510"/>
    </row>
    <row r="40" spans="1:40" s="8" customFormat="1" ht="38.25" customHeight="1">
      <c r="A40" s="438"/>
      <c r="B40" s="438" t="s">
        <v>656</v>
      </c>
      <c r="C40" s="516"/>
      <c r="D40" s="573"/>
      <c r="E40" s="574"/>
      <c r="F40" s="574"/>
      <c r="G40" s="574"/>
      <c r="H40" s="768"/>
      <c r="I40" s="720"/>
      <c r="J40" s="720"/>
      <c r="K40" s="720"/>
      <c r="L40" s="720"/>
      <c r="M40" s="720"/>
      <c r="N40" s="720">
        <f>-N38</f>
        <v>11832.066255564398</v>
      </c>
      <c r="O40" s="720">
        <f>SUM(M40:N40)</f>
        <v>11832.066255564398</v>
      </c>
      <c r="P40" s="720"/>
      <c r="Q40" s="507"/>
      <c r="R40" s="570"/>
      <c r="S40" s="570">
        <f>K50+O50</f>
        <v>11796.169835035795</v>
      </c>
      <c r="T40" s="570">
        <f>O40-S40</f>
        <v>35.896420528602903</v>
      </c>
      <c r="U40" s="570"/>
      <c r="V40" s="574"/>
      <c r="W40" s="574"/>
      <c r="X40" s="1413"/>
      <c r="Y40" s="1412"/>
      <c r="Z40" s="1413"/>
      <c r="AA40" s="574"/>
      <c r="AB40" s="574"/>
      <c r="AC40" s="574"/>
      <c r="AD40" s="574"/>
      <c r="AE40" s="574">
        <f>-AE38</f>
        <v>12386.785</v>
      </c>
      <c r="AF40" s="574">
        <f>SUM(AD40:AE40)</f>
        <v>12386.785</v>
      </c>
      <c r="AG40" s="574"/>
      <c r="AH40" s="574"/>
      <c r="AI40" s="574"/>
      <c r="AJ40" s="574">
        <v>12312</v>
      </c>
      <c r="AK40" s="574">
        <f>AF40-AJ40</f>
        <v>74.784999999999854</v>
      </c>
      <c r="AL40" s="574"/>
      <c r="AM40" s="574"/>
      <c r="AN40" s="574"/>
    </row>
    <row r="41" spans="1:40" s="75" customFormat="1" ht="8.25" customHeight="1">
      <c r="A41" s="508"/>
      <c r="B41" s="508"/>
      <c r="C41" s="509"/>
      <c r="D41" s="572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72"/>
      <c r="Y41" s="510"/>
      <c r="Z41" s="572"/>
      <c r="AA41" s="510"/>
      <c r="AB41" s="510"/>
      <c r="AC41" s="510"/>
      <c r="AD41" s="510"/>
      <c r="AE41" s="510"/>
      <c r="AF41" s="510"/>
      <c r="AG41" s="510"/>
      <c r="AH41" s="510"/>
      <c r="AI41" s="510"/>
      <c r="AJ41" s="510"/>
      <c r="AK41" s="510"/>
      <c r="AL41" s="510"/>
      <c r="AM41" s="510"/>
      <c r="AN41" s="510"/>
    </row>
    <row r="42" spans="1:40" s="8" customFormat="1" ht="38.25" customHeight="1">
      <c r="A42" s="438"/>
      <c r="B42" s="438" t="s">
        <v>657</v>
      </c>
      <c r="C42" s="516"/>
      <c r="D42" s="573"/>
      <c r="E42" s="574"/>
      <c r="F42" s="574"/>
      <c r="G42" s="574"/>
      <c r="H42" s="768"/>
      <c r="I42" s="720"/>
      <c r="J42" s="720"/>
      <c r="K42" s="720"/>
      <c r="L42" s="720"/>
      <c r="M42" s="720">
        <f>-M38</f>
        <v>82824.463788950801</v>
      </c>
      <c r="N42" s="720"/>
      <c r="O42" s="720">
        <f>SUM(M42:N42)</f>
        <v>82824.463788950801</v>
      </c>
      <c r="P42" s="720"/>
      <c r="Q42" s="507"/>
      <c r="R42" s="570"/>
      <c r="S42" s="570">
        <v>82574</v>
      </c>
      <c r="T42" s="570">
        <f>O42-S42</f>
        <v>250.46378895080124</v>
      </c>
      <c r="U42" s="570"/>
      <c r="V42" s="574"/>
      <c r="W42" s="574"/>
      <c r="X42" s="1413"/>
      <c r="Y42" s="1412"/>
      <c r="Z42" s="1413"/>
      <c r="AA42" s="574"/>
      <c r="AB42" s="574"/>
      <c r="AC42" s="574"/>
      <c r="AD42" s="574">
        <f>-AD38</f>
        <v>86707.49500000001</v>
      </c>
      <c r="AE42" s="574"/>
      <c r="AF42" s="574">
        <f>SUM(AD42:AE42)</f>
        <v>86707.49500000001</v>
      </c>
      <c r="AG42" s="574"/>
      <c r="AH42" s="574"/>
      <c r="AI42" s="574"/>
      <c r="AJ42" s="574">
        <v>86180</v>
      </c>
      <c r="AK42" s="574">
        <f>AF42-AJ42</f>
        <v>527.4950000000099</v>
      </c>
      <c r="AL42" s="574"/>
      <c r="AM42" s="574"/>
      <c r="AN42" s="574"/>
    </row>
    <row r="43" spans="1:40" s="75" customFormat="1" ht="8.25" customHeight="1">
      <c r="A43" s="508"/>
      <c r="B43" s="508"/>
      <c r="C43" s="509"/>
      <c r="D43" s="572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72"/>
      <c r="Y43" s="510"/>
      <c r="Z43" s="572"/>
      <c r="AA43" s="510"/>
      <c r="AB43" s="510"/>
      <c r="AC43" s="510"/>
      <c r="AD43" s="510">
        <f>-AD38</f>
        <v>86707.49500000001</v>
      </c>
      <c r="AE43" s="510"/>
      <c r="AF43" s="510"/>
      <c r="AG43" s="510"/>
      <c r="AH43" s="510"/>
      <c r="AI43" s="510"/>
      <c r="AJ43" s="510"/>
      <c r="AK43" s="510"/>
      <c r="AL43" s="510"/>
      <c r="AM43" s="510"/>
      <c r="AN43" s="510"/>
    </row>
    <row r="44" spans="1:40" s="8" customFormat="1" ht="25.5" customHeight="1">
      <c r="A44" s="438"/>
      <c r="B44" s="438" t="s">
        <v>193</v>
      </c>
      <c r="C44" s="516"/>
      <c r="D44" s="573"/>
      <c r="E44" s="574"/>
      <c r="F44" s="574"/>
      <c r="G44" s="574"/>
      <c r="H44" s="768"/>
      <c r="I44" s="720"/>
      <c r="J44" s="720"/>
      <c r="K44" s="720"/>
      <c r="L44" s="720"/>
      <c r="M44" s="720">
        <f>SUM(M38:M42)</f>
        <v>0</v>
      </c>
      <c r="N44" s="720">
        <f>SUM(N38:N42)</f>
        <v>0</v>
      </c>
      <c r="O44" s="720">
        <f>SUM(O38:O42)</f>
        <v>0</v>
      </c>
      <c r="P44" s="720"/>
      <c r="Q44" s="507"/>
      <c r="R44" s="570"/>
      <c r="S44" s="570">
        <f>SUM(S38:S42)</f>
        <v>14018746.169835037</v>
      </c>
      <c r="T44" s="570">
        <f>SUM(T38:T42)</f>
        <v>2183395.483987371</v>
      </c>
      <c r="U44" s="570"/>
      <c r="V44" s="574"/>
      <c r="W44" s="574"/>
      <c r="X44" s="1413"/>
      <c r="Y44" s="1412"/>
      <c r="Z44" s="1413"/>
      <c r="AA44" s="574"/>
      <c r="AB44" s="574"/>
      <c r="AC44" s="574"/>
      <c r="AD44" s="574">
        <f>SUM(AD38:AD42)</f>
        <v>0</v>
      </c>
      <c r="AE44" s="574">
        <f>SUM(AE38:AE42)</f>
        <v>0</v>
      </c>
      <c r="AF44" s="574">
        <f>SUM(AF38:AF42)</f>
        <v>0</v>
      </c>
      <c r="AG44" s="574"/>
      <c r="AH44" s="574"/>
      <c r="AI44" s="574"/>
      <c r="AJ44" s="574">
        <f>SUM(AJ38:AJ42)</f>
        <v>14978988</v>
      </c>
      <c r="AK44" s="574">
        <f>SUM(AK38:AK42)</f>
        <v>2374316.5000000005</v>
      </c>
      <c r="AL44" s="574"/>
      <c r="AM44" s="574"/>
      <c r="AN44" s="574"/>
    </row>
    <row r="45" spans="1:40" s="804" customFormat="1" ht="24" hidden="1" customHeight="1">
      <c r="E45" s="1100"/>
      <c r="F45" s="801"/>
      <c r="G45" s="801"/>
      <c r="H45" s="801"/>
      <c r="I45" s="801"/>
      <c r="J45" s="801"/>
      <c r="K45" s="801"/>
      <c r="L45" s="801"/>
      <c r="M45" s="801"/>
      <c r="N45" s="801"/>
      <c r="O45" s="801"/>
      <c r="P45" s="801"/>
      <c r="Q45" s="801"/>
      <c r="R45" s="801"/>
      <c r="S45" s="801"/>
      <c r="T45" s="801"/>
      <c r="U45" s="801"/>
      <c r="V45" s="801"/>
      <c r="W45" s="801"/>
      <c r="X45" s="801"/>
      <c r="Y45" s="801"/>
      <c r="Z45" s="801"/>
      <c r="AA45" s="801"/>
      <c r="AB45" s="801"/>
      <c r="AC45" s="801"/>
      <c r="AD45" s="801"/>
      <c r="AE45" s="801"/>
      <c r="AF45" s="801"/>
      <c r="AG45" s="801"/>
      <c r="AH45" s="801"/>
      <c r="AI45" s="801"/>
      <c r="AJ45" s="801"/>
      <c r="AK45" s="801"/>
      <c r="AL45" s="801"/>
    </row>
    <row r="46" spans="1:40" s="804" customFormat="1" ht="15.75" hidden="1" customHeight="1">
      <c r="B46" s="1989"/>
      <c r="C46" s="1989"/>
      <c r="D46" s="1989"/>
      <c r="E46" s="1989"/>
      <c r="F46" s="1989"/>
      <c r="G46" s="1989"/>
      <c r="H46" s="1989"/>
      <c r="I46" s="1701" t="s">
        <v>1412</v>
      </c>
      <c r="J46" s="1995" t="s">
        <v>1252</v>
      </c>
      <c r="K46" s="1995"/>
      <c r="L46" s="1975" t="s">
        <v>140</v>
      </c>
      <c r="M46" s="1975"/>
      <c r="N46" s="1972" t="s">
        <v>110</v>
      </c>
      <c r="O46" s="1972"/>
      <c r="P46" s="1533"/>
      <c r="Q46" s="1534"/>
      <c r="R46" s="1533"/>
      <c r="S46" s="1533"/>
      <c r="T46" s="1533"/>
      <c r="U46" s="1534"/>
      <c r="V46" s="1534"/>
      <c r="W46" s="1534"/>
      <c r="X46" s="804" t="s">
        <v>1412</v>
      </c>
      <c r="Y46" s="1995" t="s">
        <v>1252</v>
      </c>
      <c r="Z46" s="1995"/>
      <c r="AA46" s="1975" t="s">
        <v>140</v>
      </c>
      <c r="AB46" s="1975"/>
      <c r="AC46" s="1972" t="s">
        <v>110</v>
      </c>
      <c r="AD46" s="1972"/>
      <c r="AE46" s="1534"/>
      <c r="AF46" s="1534"/>
      <c r="AG46" s="1534"/>
      <c r="AH46" s="1534"/>
      <c r="AI46" s="1534"/>
      <c r="AJ46" s="1534"/>
      <c r="AK46" s="1534"/>
      <c r="AL46" s="1534"/>
    </row>
    <row r="47" spans="1:40" s="804" customFormat="1" ht="12.75" hidden="1" customHeight="1">
      <c r="A47" s="1535"/>
      <c r="B47" s="1535"/>
      <c r="C47" s="1537"/>
      <c r="D47" s="1537"/>
      <c r="E47" s="1537"/>
      <c r="F47" s="1537"/>
      <c r="G47" s="1537"/>
      <c r="H47" s="1537"/>
      <c r="I47" s="1537"/>
      <c r="J47" s="1539" t="s">
        <v>1253</v>
      </c>
      <c r="K47" s="804" t="s">
        <v>1254</v>
      </c>
      <c r="L47" s="1539" t="s">
        <v>1253</v>
      </c>
      <c r="M47" s="804" t="s">
        <v>1254</v>
      </c>
      <c r="N47" s="1539" t="s">
        <v>1253</v>
      </c>
      <c r="O47" s="804" t="s">
        <v>1254</v>
      </c>
      <c r="P47" s="1537"/>
      <c r="Q47" s="1537"/>
      <c r="R47" s="1537"/>
      <c r="S47" s="1536"/>
      <c r="T47" s="1536"/>
      <c r="U47" s="1531"/>
      <c r="V47" s="1531"/>
      <c r="W47" s="1532"/>
      <c r="X47" s="1537"/>
      <c r="Y47" s="1539" t="s">
        <v>1253</v>
      </c>
      <c r="Z47" s="804" t="s">
        <v>1254</v>
      </c>
      <c r="AA47" s="1539" t="s">
        <v>1253</v>
      </c>
      <c r="AB47" s="804" t="s">
        <v>1254</v>
      </c>
      <c r="AC47" s="1539" t="s">
        <v>1253</v>
      </c>
      <c r="AD47" s="804" t="s">
        <v>1254</v>
      </c>
    </row>
    <row r="48" spans="1:40" s="804" customFormat="1" ht="19.5" hidden="1" customHeight="1">
      <c r="J48" s="1100">
        <f>-M18</f>
        <v>37386.575505320958</v>
      </c>
      <c r="K48" s="1100">
        <f>-N18</f>
        <v>5340.9393579029929</v>
      </c>
      <c r="L48" s="804" t="s">
        <v>659</v>
      </c>
      <c r="M48" s="804" t="s">
        <v>659</v>
      </c>
      <c r="N48" s="1100">
        <f>-M30</f>
        <v>45437.888283629843</v>
      </c>
      <c r="O48" s="1100">
        <f>-N29</f>
        <v>6491.1268976614056</v>
      </c>
      <c r="Y48" s="1100">
        <f>-AD18</f>
        <v>51111.235000000008</v>
      </c>
      <c r="Z48" s="1100">
        <f>-AE17</f>
        <v>7301.6050000000005</v>
      </c>
      <c r="AA48" s="804" t="s">
        <v>659</v>
      </c>
      <c r="AB48" s="804" t="s">
        <v>1257</v>
      </c>
      <c r="AC48" s="1100">
        <f>-AD30</f>
        <v>35596.26</v>
      </c>
      <c r="AD48" s="1100">
        <f>-AE30</f>
        <v>5085.18</v>
      </c>
    </row>
    <row r="49" spans="1:110" s="804" customFormat="1" ht="6.75" hidden="1" customHeight="1">
      <c r="J49" s="1100"/>
      <c r="K49" s="1100"/>
      <c r="N49" s="1100"/>
      <c r="O49" s="1100"/>
      <c r="Y49" s="1100"/>
      <c r="Z49" s="1100"/>
      <c r="AC49" s="1100"/>
      <c r="AD49" s="1100"/>
    </row>
    <row r="50" spans="1:110" s="804" customFormat="1" ht="19.5" hidden="1" customHeight="1">
      <c r="I50" s="1538" t="s">
        <v>1250</v>
      </c>
      <c r="J50" s="1541">
        <v>37305.057096669021</v>
      </c>
      <c r="K50" s="1541">
        <v>5329.293870952717</v>
      </c>
      <c r="L50" s="1540" t="s">
        <v>659</v>
      </c>
      <c r="M50" s="1540" t="s">
        <v>659</v>
      </c>
      <c r="N50" s="1541">
        <v>45268.131748581538</v>
      </c>
      <c r="O50" s="1541">
        <v>6466.8759640830767</v>
      </c>
      <c r="X50" s="1538" t="s">
        <v>1250</v>
      </c>
      <c r="Y50" s="1541">
        <v>50665.860000000008</v>
      </c>
      <c r="Z50" s="1541">
        <v>7237.9800000000005</v>
      </c>
      <c r="AA50" s="1540" t="s">
        <v>659</v>
      </c>
      <c r="AB50" s="1540" t="s">
        <v>1257</v>
      </c>
      <c r="AC50" s="1541">
        <v>35514.990000000005</v>
      </c>
      <c r="AD50" s="1541">
        <v>5073.57</v>
      </c>
    </row>
    <row r="51" spans="1:110" s="804" customFormat="1" ht="7.5" hidden="1" customHeight="1"/>
    <row r="52" spans="1:110" s="804" customFormat="1" ht="18" hidden="1" customHeight="1">
      <c r="F52" s="1530"/>
      <c r="I52" s="804" t="s">
        <v>1251</v>
      </c>
      <c r="J52" s="1541">
        <f>-'[21]Table 5B2_RSD_LA'!$I$17</f>
        <v>34813.167750897068</v>
      </c>
      <c r="K52" s="1541">
        <f>-'[21]Table 5B2_RSD_LA'!$J$17</f>
        <v>4973.3096786995811</v>
      </c>
      <c r="L52" s="1540" t="s">
        <v>659</v>
      </c>
      <c r="M52" s="1540" t="s">
        <v>659</v>
      </c>
      <c r="N52" s="1541">
        <f>-'[21]Table 5B2_RSD_LA'!$I$29</f>
        <v>41934.432399999998</v>
      </c>
      <c r="O52" s="1541">
        <f>-'[21]Table 5B2_RSD_LA'!$J$29</f>
        <v>5990.6331999999993</v>
      </c>
      <c r="X52" s="804" t="s">
        <v>1251</v>
      </c>
      <c r="Y52" s="1541">
        <f>-'[21]Table 5B2_RSD_LA'!$R$18</f>
        <v>46998.875000000007</v>
      </c>
      <c r="Z52" s="1541">
        <f>-'[21]Table 5B2_RSD_LA'!$S$17</f>
        <v>6714.125</v>
      </c>
      <c r="AA52" s="1540"/>
      <c r="AB52" s="1540"/>
      <c r="AC52" s="1541">
        <f>-'[21]Table 5B2_RSD_LA'!$R$30</f>
        <v>32339.090000000004</v>
      </c>
      <c r="AD52" s="1541">
        <f>-'[21]Table 5B2_RSD_LA'!$S$30</f>
        <v>4619.87</v>
      </c>
    </row>
    <row r="53" spans="1:110" s="804" customFormat="1" ht="21" hidden="1" customHeight="1">
      <c r="J53" s="1100">
        <f>J48-J50</f>
        <v>81.518408651936625</v>
      </c>
      <c r="K53" s="1100">
        <f>K48-K50</f>
        <v>11.645486950275881</v>
      </c>
      <c r="L53" s="804" t="s">
        <v>659</v>
      </c>
      <c r="M53" s="804" t="s">
        <v>659</v>
      </c>
      <c r="N53" s="1100">
        <f t="shared" ref="N53:O53" si="99">N48-N50</f>
        <v>169.75653504830552</v>
      </c>
      <c r="O53" s="1100">
        <f t="shared" si="99"/>
        <v>24.250933578328841</v>
      </c>
      <c r="Y53" s="1100">
        <f>Y48-Y50</f>
        <v>445.375</v>
      </c>
      <c r="Z53" s="1100">
        <f>Z48-Z50</f>
        <v>63.625</v>
      </c>
      <c r="AA53" s="1100" t="s">
        <v>659</v>
      </c>
      <c r="AB53" s="1100" t="s">
        <v>659</v>
      </c>
      <c r="AC53" s="1100">
        <f t="shared" ref="AC53:AD53" si="100">AC48-AC50</f>
        <v>81.269999999996799</v>
      </c>
      <c r="AD53" s="1100">
        <f t="shared" si="100"/>
        <v>11.610000000000582</v>
      </c>
    </row>
    <row r="54" spans="1:110" s="804" customFormat="1" hidden="1"/>
    <row r="55" spans="1:110" s="804" customFormat="1" ht="19.5" hidden="1" customHeight="1">
      <c r="I55" s="804" t="s">
        <v>1255</v>
      </c>
      <c r="J55" s="1100">
        <f>J53+N53</f>
        <v>251.27494370024215</v>
      </c>
      <c r="X55" s="804" t="s">
        <v>1255</v>
      </c>
      <c r="Y55" s="1100">
        <f>Y53+AC53</f>
        <v>526.6449999999968</v>
      </c>
    </row>
    <row r="56" spans="1:110" s="804" customFormat="1" ht="20.25" hidden="1" customHeight="1">
      <c r="I56" s="804" t="s">
        <v>1256</v>
      </c>
      <c r="J56" s="1100">
        <f>K53+O53</f>
        <v>35.896420528604722</v>
      </c>
      <c r="X56" s="804" t="s">
        <v>1256</v>
      </c>
      <c r="Y56" s="1100">
        <f>Z53+AD53</f>
        <v>75.235000000000582</v>
      </c>
    </row>
    <row r="57" spans="1:110" s="804" customFormat="1" hidden="1"/>
    <row r="58" spans="1:110" s="804" customFormat="1"/>
    <row r="59" spans="1:110" s="804" customFormat="1"/>
    <row r="60" spans="1:110" s="804" customFormat="1"/>
    <row r="61" spans="1:110" s="804" customFormat="1"/>
    <row r="62" spans="1:110">
      <c r="A62" s="804"/>
      <c r="B62" s="804"/>
      <c r="C62" s="804"/>
      <c r="D62" s="804"/>
      <c r="E62" s="804"/>
      <c r="F62" s="804"/>
      <c r="G62" s="804"/>
      <c r="H62" s="804"/>
      <c r="I62" s="804"/>
      <c r="J62" s="804"/>
      <c r="K62" s="804"/>
      <c r="L62" s="804"/>
      <c r="M62" s="804"/>
      <c r="N62" s="804"/>
      <c r="O62" s="804"/>
      <c r="P62" s="804"/>
      <c r="Q62" s="804"/>
      <c r="R62" s="804"/>
      <c r="S62" s="804"/>
      <c r="T62" s="804"/>
      <c r="U62" s="804"/>
      <c r="V62" s="804"/>
      <c r="W62" s="804"/>
      <c r="X62" s="804"/>
      <c r="Y62" s="804"/>
      <c r="Z62" s="804"/>
      <c r="AA62" s="804"/>
      <c r="AB62" s="804"/>
      <c r="AC62" s="804"/>
      <c r="AD62" s="804"/>
      <c r="AE62" s="804"/>
      <c r="AF62" s="804"/>
      <c r="AG62" s="804"/>
      <c r="AH62" s="804"/>
      <c r="AI62" s="804"/>
      <c r="AJ62" s="804"/>
      <c r="AK62" s="804"/>
      <c r="AL62" s="804"/>
      <c r="AM62" s="804"/>
      <c r="AN62" s="804"/>
      <c r="AO62" s="804"/>
      <c r="AP62" s="804"/>
      <c r="AQ62" s="804"/>
      <c r="AR62" s="804"/>
      <c r="AS62" s="804"/>
      <c r="AT62" s="804"/>
      <c r="AU62" s="804"/>
      <c r="AV62" s="804"/>
      <c r="AW62" s="804"/>
      <c r="AX62" s="804"/>
      <c r="AY62" s="804"/>
      <c r="AZ62" s="804"/>
      <c r="BA62" s="804"/>
      <c r="BB62" s="804"/>
      <c r="BC62" s="804"/>
      <c r="BD62" s="804"/>
      <c r="BE62" s="804"/>
      <c r="BF62" s="804"/>
      <c r="BG62" s="804"/>
      <c r="BH62" s="804"/>
      <c r="BI62" s="804"/>
      <c r="BJ62" s="804"/>
      <c r="BK62" s="804"/>
      <c r="BL62" s="804"/>
      <c r="BM62" s="804"/>
      <c r="BN62" s="804"/>
      <c r="BO62" s="804"/>
      <c r="BP62" s="804"/>
      <c r="BQ62" s="804"/>
      <c r="BR62" s="804"/>
      <c r="BS62" s="804"/>
      <c r="BT62" s="804"/>
      <c r="BU62" s="804"/>
      <c r="BV62" s="804"/>
      <c r="BW62" s="804"/>
      <c r="BX62" s="804"/>
      <c r="BY62" s="804"/>
      <c r="BZ62" s="804"/>
      <c r="CA62" s="804"/>
      <c r="CB62" s="804"/>
      <c r="CC62" s="804"/>
      <c r="CD62" s="804"/>
      <c r="CE62" s="804"/>
      <c r="CF62" s="804"/>
      <c r="CG62" s="804"/>
      <c r="CH62" s="804"/>
      <c r="CI62" s="804"/>
      <c r="CJ62" s="804"/>
      <c r="CK62" s="804"/>
      <c r="CL62" s="804"/>
      <c r="CM62" s="804"/>
      <c r="CN62" s="804"/>
      <c r="CO62" s="804"/>
      <c r="CP62" s="804"/>
      <c r="CQ62" s="804"/>
      <c r="CR62" s="804"/>
      <c r="CS62" s="804"/>
      <c r="CT62" s="804"/>
      <c r="CU62" s="804"/>
      <c r="CV62" s="804"/>
      <c r="CW62" s="804"/>
      <c r="CX62" s="804"/>
      <c r="CY62" s="804"/>
      <c r="CZ62" s="804"/>
      <c r="DA62" s="804"/>
      <c r="DB62" s="804"/>
      <c r="DC62" s="804"/>
      <c r="DD62" s="804"/>
      <c r="DE62" s="804"/>
      <c r="DF62" s="804"/>
    </row>
    <row r="63" spans="1:110">
      <c r="A63" s="804"/>
      <c r="B63" s="804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4"/>
      <c r="N63" s="804"/>
      <c r="O63" s="804"/>
      <c r="P63" s="804"/>
      <c r="Q63" s="804"/>
      <c r="R63" s="804"/>
      <c r="S63" s="804"/>
      <c r="T63" s="804"/>
      <c r="U63" s="804"/>
      <c r="V63" s="804"/>
      <c r="W63" s="804"/>
      <c r="X63" s="804"/>
      <c r="Y63" s="804"/>
      <c r="Z63" s="804"/>
      <c r="AA63" s="804"/>
      <c r="AB63" s="804"/>
      <c r="AC63" s="804"/>
      <c r="AD63" s="804"/>
      <c r="AE63" s="804"/>
      <c r="AF63" s="804"/>
      <c r="AG63" s="804"/>
      <c r="AH63" s="804"/>
      <c r="AI63" s="804"/>
      <c r="AJ63" s="804"/>
      <c r="AK63" s="804"/>
      <c r="AL63" s="804"/>
      <c r="AM63" s="804"/>
      <c r="AN63" s="804"/>
      <c r="AO63" s="804"/>
      <c r="AP63" s="804"/>
      <c r="AQ63" s="804"/>
      <c r="AR63" s="804"/>
      <c r="AS63" s="804"/>
      <c r="AT63" s="804"/>
      <c r="AU63" s="804"/>
      <c r="AV63" s="804"/>
      <c r="AW63" s="804"/>
      <c r="AX63" s="804"/>
      <c r="AY63" s="804"/>
      <c r="AZ63" s="804"/>
      <c r="BA63" s="804"/>
      <c r="BB63" s="804"/>
      <c r="BC63" s="804"/>
      <c r="BD63" s="804"/>
      <c r="BE63" s="804"/>
      <c r="BF63" s="804"/>
      <c r="BG63" s="804"/>
      <c r="BH63" s="804"/>
      <c r="BI63" s="804"/>
      <c r="BJ63" s="804"/>
      <c r="BK63" s="804"/>
      <c r="BL63" s="804"/>
      <c r="BM63" s="804"/>
      <c r="BN63" s="804"/>
      <c r="BO63" s="804"/>
      <c r="BP63" s="804"/>
      <c r="BQ63" s="804"/>
      <c r="BR63" s="804"/>
      <c r="BS63" s="804"/>
      <c r="BT63" s="804"/>
      <c r="BU63" s="804"/>
      <c r="BV63" s="804"/>
      <c r="BW63" s="804"/>
      <c r="BX63" s="804"/>
      <c r="BY63" s="804"/>
      <c r="BZ63" s="804"/>
      <c r="CA63" s="804"/>
      <c r="CB63" s="804"/>
      <c r="CC63" s="804"/>
      <c r="CD63" s="804"/>
      <c r="CE63" s="804"/>
      <c r="CF63" s="804"/>
      <c r="CG63" s="804"/>
      <c r="CH63" s="804"/>
      <c r="CI63" s="804"/>
      <c r="CJ63" s="804"/>
      <c r="CK63" s="804"/>
      <c r="CL63" s="804"/>
      <c r="CM63" s="804"/>
      <c r="CN63" s="804"/>
      <c r="CO63" s="804"/>
      <c r="CP63" s="804"/>
      <c r="CQ63" s="804"/>
      <c r="CR63" s="804"/>
      <c r="CS63" s="804"/>
      <c r="CT63" s="804"/>
      <c r="CU63" s="804"/>
      <c r="CV63" s="804"/>
      <c r="CW63" s="804"/>
      <c r="CX63" s="804"/>
      <c r="CY63" s="804"/>
      <c r="CZ63" s="804"/>
      <c r="DA63" s="804"/>
      <c r="DB63" s="804"/>
      <c r="DC63" s="804"/>
      <c r="DD63" s="804"/>
      <c r="DE63" s="804"/>
      <c r="DF63" s="804"/>
    </row>
    <row r="64" spans="1:110">
      <c r="A64" s="804"/>
      <c r="B64" s="804"/>
      <c r="C64" s="804"/>
      <c r="D64" s="804"/>
      <c r="E64" s="804"/>
      <c r="F64" s="804"/>
      <c r="G64" s="804"/>
      <c r="H64" s="804"/>
      <c r="I64" s="804"/>
      <c r="J64" s="804"/>
      <c r="K64" s="804"/>
      <c r="L64" s="804"/>
      <c r="M64" s="804"/>
      <c r="N64" s="804"/>
      <c r="O64" s="804"/>
      <c r="P64" s="804"/>
      <c r="Q64" s="804"/>
      <c r="R64" s="804"/>
      <c r="S64" s="804"/>
      <c r="T64" s="804"/>
      <c r="U64" s="804"/>
      <c r="V64" s="804"/>
      <c r="W64" s="804"/>
      <c r="X64" s="804"/>
      <c r="Y64" s="804"/>
      <c r="Z64" s="804"/>
      <c r="AA64" s="804"/>
      <c r="AB64" s="804"/>
      <c r="AC64" s="804"/>
      <c r="AD64" s="804"/>
      <c r="AE64" s="804"/>
      <c r="AF64" s="804"/>
      <c r="AG64" s="804"/>
      <c r="AH64" s="804"/>
      <c r="AI64" s="804"/>
      <c r="AJ64" s="804"/>
      <c r="AK64" s="804"/>
      <c r="AL64" s="804"/>
      <c r="AM64" s="804"/>
      <c r="AN64" s="804"/>
      <c r="AO64" s="804"/>
      <c r="AP64" s="804"/>
      <c r="AQ64" s="804"/>
      <c r="AR64" s="804"/>
      <c r="AS64" s="804"/>
      <c r="AT64" s="804"/>
      <c r="AU64" s="804"/>
      <c r="AV64" s="804"/>
      <c r="AW64" s="804"/>
      <c r="AX64" s="804"/>
      <c r="AY64" s="804"/>
      <c r="AZ64" s="804"/>
      <c r="BA64" s="804"/>
      <c r="BB64" s="804"/>
      <c r="BC64" s="804"/>
      <c r="BD64" s="804"/>
      <c r="BE64" s="804"/>
      <c r="BF64" s="804"/>
      <c r="BG64" s="804"/>
      <c r="BH64" s="804"/>
      <c r="BI64" s="804"/>
      <c r="BJ64" s="804"/>
      <c r="BK64" s="804"/>
      <c r="BL64" s="804"/>
      <c r="BM64" s="804"/>
      <c r="BN64" s="804"/>
      <c r="BO64" s="804"/>
      <c r="BP64" s="804"/>
      <c r="BQ64" s="804"/>
      <c r="BR64" s="804"/>
      <c r="BS64" s="804"/>
      <c r="BT64" s="804"/>
      <c r="BU64" s="804"/>
      <c r="BV64" s="804"/>
      <c r="BW64" s="804"/>
      <c r="BX64" s="804"/>
      <c r="BY64" s="804"/>
      <c r="BZ64" s="804"/>
      <c r="CA64" s="804"/>
      <c r="CB64" s="804"/>
      <c r="CC64" s="804"/>
      <c r="CD64" s="804"/>
      <c r="CE64" s="804"/>
      <c r="CF64" s="804"/>
      <c r="CG64" s="804"/>
      <c r="CH64" s="804"/>
      <c r="CI64" s="804"/>
      <c r="CJ64" s="804"/>
      <c r="CK64" s="804"/>
      <c r="CL64" s="804"/>
      <c r="CM64" s="804"/>
      <c r="CN64" s="804"/>
      <c r="CO64" s="804"/>
      <c r="CP64" s="804"/>
      <c r="CQ64" s="804"/>
      <c r="CR64" s="804"/>
      <c r="CS64" s="804"/>
      <c r="CT64" s="804"/>
      <c r="CU64" s="804"/>
      <c r="CV64" s="804"/>
      <c r="CW64" s="804"/>
      <c r="CX64" s="804"/>
      <c r="CY64" s="804"/>
      <c r="CZ64" s="804"/>
      <c r="DA64" s="804"/>
      <c r="DB64" s="804"/>
      <c r="DC64" s="804"/>
      <c r="DD64" s="804"/>
      <c r="DE64" s="804"/>
      <c r="DF64" s="804"/>
    </row>
    <row r="65" spans="1:110">
      <c r="A65" s="804"/>
      <c r="B65" s="804"/>
      <c r="C65" s="804"/>
      <c r="D65" s="804"/>
      <c r="E65" s="804"/>
      <c r="F65" s="804"/>
      <c r="G65" s="804"/>
      <c r="H65" s="804"/>
      <c r="I65" s="804"/>
      <c r="J65" s="804"/>
      <c r="K65" s="804"/>
      <c r="L65" s="804"/>
      <c r="M65" s="804"/>
      <c r="N65" s="804"/>
      <c r="O65" s="804"/>
      <c r="P65" s="804"/>
      <c r="Q65" s="804"/>
      <c r="R65" s="804"/>
      <c r="S65" s="804"/>
      <c r="T65" s="804"/>
      <c r="U65" s="804"/>
      <c r="V65" s="804"/>
      <c r="W65" s="804"/>
      <c r="X65" s="804"/>
      <c r="Y65" s="804"/>
      <c r="Z65" s="804"/>
      <c r="AA65" s="804"/>
      <c r="AB65" s="804"/>
      <c r="AC65" s="804"/>
      <c r="AD65" s="804"/>
      <c r="AE65" s="804"/>
      <c r="AF65" s="804"/>
      <c r="AG65" s="804"/>
      <c r="AH65" s="804"/>
      <c r="AI65" s="804"/>
      <c r="AJ65" s="804"/>
      <c r="AK65" s="804"/>
      <c r="AL65" s="804"/>
      <c r="AM65" s="804"/>
      <c r="AN65" s="804"/>
      <c r="AO65" s="804"/>
      <c r="AP65" s="804"/>
      <c r="AQ65" s="804"/>
      <c r="AR65" s="804"/>
      <c r="AS65" s="804"/>
      <c r="AT65" s="804"/>
      <c r="AU65" s="804"/>
      <c r="AV65" s="804"/>
      <c r="AW65" s="804"/>
      <c r="AX65" s="804"/>
      <c r="AY65" s="804"/>
      <c r="AZ65" s="804"/>
      <c r="BA65" s="804"/>
      <c r="BB65" s="804"/>
      <c r="BC65" s="804"/>
      <c r="BD65" s="804"/>
      <c r="BE65" s="804"/>
      <c r="BF65" s="804"/>
      <c r="BG65" s="804"/>
      <c r="BH65" s="804"/>
      <c r="BI65" s="804"/>
      <c r="BJ65" s="804"/>
      <c r="BK65" s="804"/>
      <c r="BL65" s="804"/>
      <c r="BM65" s="804"/>
      <c r="BN65" s="804"/>
      <c r="BO65" s="804"/>
      <c r="BP65" s="804"/>
      <c r="BQ65" s="804"/>
      <c r="BR65" s="804"/>
      <c r="BS65" s="804"/>
      <c r="BT65" s="804"/>
      <c r="BU65" s="804"/>
      <c r="BV65" s="804"/>
      <c r="BW65" s="804"/>
      <c r="BX65" s="804"/>
      <c r="BY65" s="804"/>
      <c r="BZ65" s="804"/>
      <c r="CA65" s="804"/>
      <c r="CB65" s="804"/>
      <c r="CC65" s="804"/>
      <c r="CD65" s="804"/>
      <c r="CE65" s="804"/>
      <c r="CF65" s="804"/>
      <c r="CG65" s="804"/>
      <c r="CH65" s="804"/>
      <c r="CI65" s="804"/>
      <c r="CJ65" s="804"/>
      <c r="CK65" s="804"/>
      <c r="CL65" s="804"/>
      <c r="CM65" s="804"/>
      <c r="CN65" s="804"/>
      <c r="CO65" s="804"/>
      <c r="CP65" s="804"/>
      <c r="CQ65" s="804"/>
      <c r="CR65" s="804"/>
      <c r="CS65" s="804"/>
      <c r="CT65" s="804"/>
      <c r="CU65" s="804"/>
      <c r="CV65" s="804"/>
      <c r="CW65" s="804"/>
      <c r="CX65" s="804"/>
      <c r="CY65" s="804"/>
      <c r="CZ65" s="804"/>
      <c r="DA65" s="804"/>
      <c r="DB65" s="804"/>
      <c r="DC65" s="804"/>
      <c r="DD65" s="804"/>
      <c r="DE65" s="804"/>
      <c r="DF65" s="804"/>
    </row>
    <row r="66" spans="1:110">
      <c r="A66" s="804"/>
      <c r="B66" s="804"/>
      <c r="C66" s="804"/>
      <c r="D66" s="804"/>
      <c r="E66" s="804"/>
      <c r="F66" s="804"/>
      <c r="G66" s="804"/>
      <c r="H66" s="804"/>
      <c r="I66" s="804"/>
      <c r="J66" s="804"/>
      <c r="K66" s="804"/>
      <c r="L66" s="804"/>
      <c r="M66" s="804"/>
      <c r="N66" s="804"/>
      <c r="O66" s="804"/>
      <c r="P66" s="804"/>
      <c r="Q66" s="804"/>
      <c r="R66" s="804"/>
      <c r="S66" s="804"/>
      <c r="T66" s="804"/>
      <c r="U66" s="804"/>
      <c r="V66" s="804"/>
      <c r="W66" s="804"/>
      <c r="X66" s="804"/>
      <c r="Y66" s="804"/>
      <c r="Z66" s="804"/>
      <c r="AA66" s="804"/>
      <c r="AB66" s="804"/>
      <c r="AC66" s="804"/>
      <c r="AD66" s="804"/>
      <c r="AE66" s="804"/>
      <c r="AF66" s="804"/>
      <c r="AG66" s="804"/>
      <c r="AH66" s="804"/>
      <c r="AI66" s="804"/>
      <c r="AJ66" s="804"/>
      <c r="AK66" s="804"/>
      <c r="AL66" s="804"/>
      <c r="AM66" s="804"/>
      <c r="AN66" s="804"/>
      <c r="AO66" s="804"/>
      <c r="AP66" s="804"/>
      <c r="AQ66" s="804"/>
      <c r="AR66" s="804"/>
      <c r="AS66" s="804"/>
      <c r="AT66" s="804"/>
      <c r="AU66" s="804"/>
      <c r="AV66" s="804"/>
      <c r="AW66" s="804"/>
      <c r="AX66" s="804"/>
      <c r="AY66" s="804"/>
      <c r="AZ66" s="804"/>
      <c r="BA66" s="804"/>
      <c r="BB66" s="804"/>
      <c r="BC66" s="804"/>
      <c r="BD66" s="804"/>
      <c r="BE66" s="804"/>
      <c r="BF66" s="804"/>
      <c r="BG66" s="804"/>
      <c r="BH66" s="804"/>
      <c r="BI66" s="804"/>
      <c r="BJ66" s="804"/>
      <c r="BK66" s="804"/>
      <c r="BL66" s="804"/>
      <c r="BM66" s="804"/>
      <c r="BN66" s="804"/>
      <c r="BO66" s="804"/>
      <c r="BP66" s="804"/>
      <c r="BQ66" s="804"/>
      <c r="BR66" s="804"/>
      <c r="BS66" s="804"/>
      <c r="BT66" s="804"/>
      <c r="BU66" s="804"/>
      <c r="BV66" s="804"/>
      <c r="BW66" s="804"/>
      <c r="BX66" s="804"/>
      <c r="BY66" s="804"/>
      <c r="BZ66" s="804"/>
      <c r="CA66" s="804"/>
      <c r="CB66" s="804"/>
      <c r="CC66" s="804"/>
      <c r="CD66" s="804"/>
      <c r="CE66" s="804"/>
      <c r="CF66" s="804"/>
      <c r="CG66" s="804"/>
      <c r="CH66" s="804"/>
      <c r="CI66" s="804"/>
      <c r="CJ66" s="804"/>
      <c r="CK66" s="804"/>
      <c r="CL66" s="804"/>
      <c r="CM66" s="804"/>
      <c r="CN66" s="804"/>
      <c r="CO66" s="804"/>
      <c r="CP66" s="804"/>
      <c r="CQ66" s="804"/>
      <c r="CR66" s="804"/>
      <c r="CS66" s="804"/>
      <c r="CT66" s="804"/>
      <c r="CU66" s="804"/>
      <c r="CV66" s="804"/>
      <c r="CW66" s="804"/>
      <c r="CX66" s="804"/>
      <c r="CY66" s="804"/>
      <c r="CZ66" s="804"/>
      <c r="DA66" s="804"/>
      <c r="DB66" s="804"/>
      <c r="DC66" s="804"/>
      <c r="DD66" s="804"/>
      <c r="DE66" s="804"/>
      <c r="DF66" s="804"/>
    </row>
    <row r="67" spans="1:110">
      <c r="A67" s="804"/>
      <c r="B67" s="804"/>
      <c r="C67" s="804"/>
      <c r="D67" s="804"/>
      <c r="E67" s="804"/>
      <c r="F67" s="804"/>
      <c r="G67" s="804"/>
      <c r="H67" s="804"/>
      <c r="I67" s="804"/>
      <c r="J67" s="804"/>
      <c r="K67" s="804"/>
      <c r="L67" s="804"/>
      <c r="M67" s="804"/>
      <c r="N67" s="804"/>
      <c r="O67" s="804"/>
      <c r="P67" s="804"/>
      <c r="Q67" s="804"/>
      <c r="R67" s="804"/>
      <c r="S67" s="804"/>
      <c r="T67" s="804"/>
      <c r="U67" s="804"/>
      <c r="V67" s="804"/>
      <c r="W67" s="804"/>
      <c r="X67" s="804"/>
      <c r="Y67" s="804"/>
      <c r="Z67" s="804"/>
      <c r="AA67" s="804"/>
      <c r="AB67" s="804"/>
      <c r="AC67" s="804"/>
      <c r="AD67" s="804"/>
      <c r="AE67" s="804"/>
      <c r="AF67" s="804"/>
      <c r="AG67" s="804"/>
      <c r="AH67" s="804"/>
      <c r="AI67" s="804"/>
      <c r="AJ67" s="804"/>
      <c r="AK67" s="804"/>
      <c r="AL67" s="804"/>
      <c r="AM67" s="804"/>
      <c r="AN67" s="804"/>
      <c r="AO67" s="804"/>
      <c r="AP67" s="804"/>
      <c r="AQ67" s="804"/>
      <c r="AR67" s="804"/>
      <c r="AS67" s="804"/>
      <c r="AT67" s="804"/>
      <c r="AU67" s="804"/>
      <c r="AV67" s="804"/>
      <c r="AW67" s="804"/>
      <c r="AX67" s="804"/>
      <c r="AY67" s="804"/>
      <c r="AZ67" s="804"/>
      <c r="BA67" s="804"/>
      <c r="BB67" s="804"/>
      <c r="BC67" s="804"/>
      <c r="BD67" s="804"/>
      <c r="BE67" s="804"/>
      <c r="BF67" s="804"/>
      <c r="BG67" s="804"/>
      <c r="BH67" s="804"/>
      <c r="BI67" s="804"/>
      <c r="BJ67" s="804"/>
      <c r="BK67" s="804"/>
      <c r="BL67" s="804"/>
      <c r="BM67" s="804"/>
      <c r="BN67" s="804"/>
      <c r="BO67" s="804"/>
      <c r="BP67" s="804"/>
      <c r="BQ67" s="804"/>
      <c r="BR67" s="804"/>
      <c r="BS67" s="804"/>
      <c r="BT67" s="804"/>
      <c r="BU67" s="804"/>
      <c r="BV67" s="804"/>
      <c r="BW67" s="804"/>
      <c r="BX67" s="804"/>
      <c r="BY67" s="804"/>
      <c r="BZ67" s="804"/>
      <c r="CA67" s="804"/>
      <c r="CB67" s="804"/>
      <c r="CC67" s="804"/>
      <c r="CD67" s="804"/>
      <c r="CE67" s="804"/>
      <c r="CF67" s="804"/>
      <c r="CG67" s="804"/>
      <c r="CH67" s="804"/>
      <c r="CI67" s="804"/>
      <c r="CJ67" s="804"/>
      <c r="CK67" s="804"/>
      <c r="CL67" s="804"/>
      <c r="CM67" s="804"/>
      <c r="CN67" s="804"/>
      <c r="CO67" s="804"/>
      <c r="CP67" s="804"/>
      <c r="CQ67" s="804"/>
      <c r="CR67" s="804"/>
      <c r="CS67" s="804"/>
      <c r="CT67" s="804"/>
      <c r="CU67" s="804"/>
      <c r="CV67" s="804"/>
      <c r="CW67" s="804"/>
      <c r="CX67" s="804"/>
      <c r="CY67" s="804"/>
      <c r="CZ67" s="804"/>
      <c r="DA67" s="804"/>
      <c r="DB67" s="804"/>
      <c r="DC67" s="804"/>
      <c r="DD67" s="804"/>
      <c r="DE67" s="804"/>
      <c r="DF67" s="804"/>
    </row>
    <row r="68" spans="1:110">
      <c r="A68" s="804"/>
      <c r="B68" s="804"/>
      <c r="C68" s="804"/>
      <c r="D68" s="804"/>
      <c r="E68" s="804"/>
      <c r="F68" s="804"/>
      <c r="G68" s="804"/>
      <c r="H68" s="804"/>
      <c r="I68" s="804"/>
      <c r="J68" s="804"/>
      <c r="K68" s="804"/>
      <c r="L68" s="804"/>
      <c r="M68" s="804"/>
      <c r="N68" s="804"/>
      <c r="O68" s="804"/>
      <c r="P68" s="804"/>
      <c r="Q68" s="804"/>
      <c r="R68" s="804"/>
      <c r="S68" s="804"/>
      <c r="T68" s="804"/>
      <c r="U68" s="804"/>
      <c r="V68" s="804"/>
      <c r="W68" s="804"/>
      <c r="X68" s="804"/>
      <c r="Y68" s="804"/>
      <c r="Z68" s="804"/>
      <c r="AA68" s="804"/>
      <c r="AB68" s="804"/>
      <c r="AC68" s="804"/>
      <c r="AD68" s="804"/>
      <c r="AE68" s="804"/>
      <c r="AF68" s="804"/>
      <c r="AG68" s="804"/>
      <c r="AH68" s="804"/>
      <c r="AI68" s="804"/>
      <c r="AJ68" s="804"/>
      <c r="AK68" s="804"/>
      <c r="AL68" s="804"/>
      <c r="AM68" s="804"/>
      <c r="AN68" s="804"/>
      <c r="AO68" s="804"/>
      <c r="AP68" s="804"/>
      <c r="AQ68" s="804"/>
      <c r="AR68" s="804"/>
      <c r="AS68" s="804"/>
      <c r="AT68" s="804"/>
      <c r="AU68" s="804"/>
      <c r="AV68" s="804"/>
      <c r="AW68" s="804"/>
      <c r="AX68" s="804"/>
      <c r="AY68" s="804"/>
      <c r="AZ68" s="804"/>
      <c r="BA68" s="804"/>
      <c r="BB68" s="804"/>
      <c r="BC68" s="804"/>
      <c r="BD68" s="804"/>
      <c r="BE68" s="804"/>
      <c r="BF68" s="804"/>
      <c r="BG68" s="804"/>
      <c r="BH68" s="804"/>
      <c r="BI68" s="804"/>
      <c r="BJ68" s="804"/>
      <c r="BK68" s="804"/>
      <c r="BL68" s="804"/>
      <c r="BM68" s="804"/>
      <c r="BN68" s="804"/>
      <c r="BO68" s="804"/>
      <c r="BP68" s="804"/>
      <c r="BQ68" s="804"/>
      <c r="BR68" s="804"/>
      <c r="BS68" s="804"/>
      <c r="BT68" s="804"/>
      <c r="BU68" s="804"/>
      <c r="BV68" s="804"/>
      <c r="BW68" s="804"/>
      <c r="BX68" s="804"/>
      <c r="BY68" s="804"/>
      <c r="BZ68" s="804"/>
      <c r="CA68" s="804"/>
      <c r="CB68" s="804"/>
      <c r="CC68" s="804"/>
      <c r="CD68" s="804"/>
      <c r="CE68" s="804"/>
      <c r="CF68" s="804"/>
      <c r="CG68" s="804"/>
      <c r="CH68" s="804"/>
      <c r="CI68" s="804"/>
      <c r="CJ68" s="804"/>
      <c r="CK68" s="804"/>
      <c r="CL68" s="804"/>
      <c r="CM68" s="804"/>
      <c r="CN68" s="804"/>
      <c r="CO68" s="804"/>
      <c r="CP68" s="804"/>
      <c r="CQ68" s="804"/>
      <c r="CR68" s="804"/>
      <c r="CS68" s="804"/>
      <c r="CT68" s="804"/>
      <c r="CU68" s="804"/>
      <c r="CV68" s="804"/>
      <c r="CW68" s="804"/>
      <c r="CX68" s="804"/>
      <c r="CY68" s="804"/>
      <c r="CZ68" s="804"/>
      <c r="DA68" s="804"/>
      <c r="DB68" s="804"/>
      <c r="DC68" s="804"/>
      <c r="DD68" s="804"/>
      <c r="DE68" s="804"/>
      <c r="DF68" s="804"/>
    </row>
    <row r="69" spans="1:110">
      <c r="A69" s="804"/>
      <c r="B69" s="804"/>
      <c r="C69" s="804"/>
      <c r="D69" s="804"/>
      <c r="E69" s="804"/>
      <c r="F69" s="804"/>
      <c r="G69" s="804"/>
      <c r="H69" s="804"/>
      <c r="I69" s="804"/>
      <c r="J69" s="804"/>
      <c r="K69" s="804"/>
      <c r="L69" s="804"/>
      <c r="M69" s="804"/>
      <c r="N69" s="804"/>
      <c r="O69" s="804"/>
      <c r="P69" s="804"/>
      <c r="Q69" s="804"/>
      <c r="R69" s="804"/>
      <c r="S69" s="804"/>
      <c r="T69" s="804"/>
      <c r="U69" s="804"/>
      <c r="V69" s="804"/>
      <c r="W69" s="804"/>
      <c r="X69" s="804"/>
      <c r="Y69" s="804"/>
      <c r="Z69" s="804"/>
      <c r="AA69" s="804"/>
      <c r="AB69" s="804"/>
      <c r="AC69" s="804"/>
      <c r="AD69" s="804"/>
      <c r="AE69" s="804"/>
      <c r="AF69" s="804"/>
      <c r="AG69" s="804"/>
      <c r="AH69" s="804"/>
      <c r="AI69" s="804"/>
      <c r="AJ69" s="804"/>
      <c r="AK69" s="804"/>
      <c r="AL69" s="804"/>
      <c r="AM69" s="804"/>
      <c r="AN69" s="804"/>
      <c r="AO69" s="804"/>
      <c r="AP69" s="804"/>
      <c r="AQ69" s="804"/>
      <c r="AR69" s="804"/>
      <c r="AS69" s="804"/>
      <c r="AT69" s="804"/>
      <c r="AU69" s="804"/>
      <c r="AV69" s="804"/>
      <c r="AW69" s="804"/>
      <c r="AX69" s="804"/>
      <c r="AY69" s="804"/>
      <c r="AZ69" s="804"/>
      <c r="BA69" s="804"/>
      <c r="BB69" s="804"/>
      <c r="BC69" s="804"/>
      <c r="BD69" s="804"/>
      <c r="BE69" s="804"/>
      <c r="BF69" s="804"/>
      <c r="BG69" s="804"/>
      <c r="BH69" s="804"/>
      <c r="BI69" s="804"/>
      <c r="BJ69" s="804"/>
      <c r="BK69" s="804"/>
      <c r="BL69" s="804"/>
      <c r="BM69" s="804"/>
      <c r="BN69" s="804"/>
      <c r="BO69" s="804"/>
      <c r="BP69" s="804"/>
      <c r="BQ69" s="804"/>
      <c r="BR69" s="804"/>
      <c r="BS69" s="804"/>
      <c r="BT69" s="804"/>
      <c r="BU69" s="804"/>
      <c r="BV69" s="804"/>
      <c r="BW69" s="804"/>
      <c r="BX69" s="804"/>
      <c r="BY69" s="804"/>
      <c r="BZ69" s="804"/>
      <c r="CA69" s="804"/>
      <c r="CB69" s="804"/>
      <c r="CC69" s="804"/>
      <c r="CD69" s="804"/>
      <c r="CE69" s="804"/>
      <c r="CF69" s="804"/>
      <c r="CG69" s="804"/>
      <c r="CH69" s="804"/>
      <c r="CI69" s="804"/>
      <c r="CJ69" s="804"/>
      <c r="CK69" s="804"/>
      <c r="CL69" s="804"/>
      <c r="CM69" s="804"/>
      <c r="CN69" s="804"/>
      <c r="CO69" s="804"/>
      <c r="CP69" s="804"/>
      <c r="CQ69" s="804"/>
      <c r="CR69" s="804"/>
      <c r="CS69" s="804"/>
      <c r="CT69" s="804"/>
      <c r="CU69" s="804"/>
      <c r="CV69" s="804"/>
      <c r="CW69" s="804"/>
      <c r="CX69" s="804"/>
      <c r="CY69" s="804"/>
      <c r="CZ69" s="804"/>
      <c r="DA69" s="804"/>
      <c r="DB69" s="804"/>
      <c r="DC69" s="804"/>
      <c r="DD69" s="804"/>
      <c r="DE69" s="804"/>
      <c r="DF69" s="804"/>
    </row>
    <row r="70" spans="1:110">
      <c r="A70" s="804"/>
      <c r="B70" s="804"/>
      <c r="C70" s="804"/>
      <c r="D70" s="804"/>
      <c r="E70" s="804"/>
      <c r="F70" s="804"/>
      <c r="G70" s="804"/>
      <c r="H70" s="804"/>
      <c r="I70" s="804"/>
      <c r="J70" s="804"/>
      <c r="K70" s="804"/>
      <c r="L70" s="804"/>
      <c r="M70" s="804"/>
      <c r="N70" s="804"/>
      <c r="O70" s="804"/>
      <c r="P70" s="804"/>
      <c r="Q70" s="804"/>
      <c r="R70" s="804"/>
      <c r="S70" s="804"/>
      <c r="T70" s="804"/>
      <c r="U70" s="804"/>
      <c r="V70" s="804"/>
      <c r="W70" s="804"/>
      <c r="X70" s="804"/>
      <c r="Y70" s="804"/>
      <c r="Z70" s="804"/>
      <c r="AA70" s="804"/>
      <c r="AB70" s="804"/>
      <c r="AC70" s="804"/>
      <c r="AD70" s="804"/>
      <c r="AE70" s="804"/>
      <c r="AF70" s="804"/>
      <c r="AG70" s="804"/>
      <c r="AH70" s="804"/>
      <c r="AI70" s="804"/>
      <c r="AJ70" s="804"/>
      <c r="AK70" s="804"/>
      <c r="AL70" s="804"/>
      <c r="AM70" s="804"/>
      <c r="AN70" s="804"/>
      <c r="AO70" s="804"/>
      <c r="AP70" s="804"/>
      <c r="AQ70" s="804"/>
      <c r="AR70" s="804"/>
      <c r="AS70" s="804"/>
      <c r="AT70" s="804"/>
      <c r="AU70" s="804"/>
      <c r="AV70" s="804"/>
      <c r="AW70" s="804"/>
      <c r="AX70" s="804"/>
      <c r="AY70" s="804"/>
      <c r="AZ70" s="804"/>
      <c r="BA70" s="804"/>
      <c r="BB70" s="804"/>
      <c r="BC70" s="804"/>
      <c r="BD70" s="804"/>
      <c r="BE70" s="804"/>
      <c r="BF70" s="804"/>
      <c r="BG70" s="804"/>
      <c r="BH70" s="804"/>
      <c r="BI70" s="804"/>
      <c r="BJ70" s="804"/>
      <c r="BK70" s="804"/>
      <c r="BL70" s="804"/>
      <c r="BM70" s="804"/>
      <c r="BN70" s="804"/>
      <c r="BO70" s="804"/>
      <c r="BP70" s="804"/>
      <c r="BQ70" s="804"/>
      <c r="BR70" s="804"/>
      <c r="BS70" s="804"/>
      <c r="BT70" s="804"/>
      <c r="BU70" s="804"/>
      <c r="BV70" s="804"/>
      <c r="BW70" s="804"/>
      <c r="BX70" s="804"/>
      <c r="BY70" s="804"/>
      <c r="BZ70" s="804"/>
      <c r="CA70" s="804"/>
      <c r="CB70" s="804"/>
      <c r="CC70" s="804"/>
      <c r="CD70" s="804"/>
      <c r="CE70" s="804"/>
      <c r="CF70" s="804"/>
      <c r="CG70" s="804"/>
      <c r="CH70" s="804"/>
      <c r="CI70" s="804"/>
      <c r="CJ70" s="804"/>
      <c r="CK70" s="804"/>
      <c r="CL70" s="804"/>
      <c r="CM70" s="804"/>
      <c r="CN70" s="804"/>
      <c r="CO70" s="804"/>
      <c r="CP70" s="804"/>
      <c r="CQ70" s="804"/>
      <c r="CR70" s="804"/>
      <c r="CS70" s="804"/>
      <c r="CT70" s="804"/>
      <c r="CU70" s="804"/>
      <c r="CV70" s="804"/>
      <c r="CW70" s="804"/>
      <c r="CX70" s="804"/>
      <c r="CY70" s="804"/>
      <c r="CZ70" s="804"/>
      <c r="DA70" s="804"/>
      <c r="DB70" s="804"/>
      <c r="DC70" s="804"/>
      <c r="DD70" s="804"/>
      <c r="DE70" s="804"/>
      <c r="DF70" s="804"/>
    </row>
    <row r="71" spans="1:110">
      <c r="A71" s="804"/>
      <c r="B71" s="804"/>
      <c r="C71" s="804"/>
      <c r="D71" s="804"/>
      <c r="E71" s="804"/>
      <c r="F71" s="804"/>
      <c r="G71" s="804"/>
      <c r="H71" s="804"/>
      <c r="I71" s="804"/>
      <c r="J71" s="804"/>
      <c r="K71" s="804"/>
      <c r="L71" s="804"/>
      <c r="M71" s="804"/>
      <c r="N71" s="804"/>
      <c r="O71" s="804"/>
      <c r="P71" s="804"/>
      <c r="Q71" s="804"/>
      <c r="R71" s="804"/>
      <c r="S71" s="804"/>
      <c r="T71" s="804"/>
      <c r="U71" s="804"/>
      <c r="V71" s="804"/>
      <c r="W71" s="804"/>
      <c r="X71" s="804"/>
      <c r="Y71" s="804"/>
      <c r="Z71" s="804"/>
      <c r="AA71" s="804"/>
      <c r="AB71" s="804"/>
      <c r="AC71" s="804"/>
      <c r="AD71" s="804"/>
      <c r="AE71" s="804"/>
      <c r="AF71" s="804"/>
      <c r="AG71" s="804"/>
      <c r="AH71" s="804"/>
      <c r="AI71" s="804"/>
      <c r="AJ71" s="804"/>
      <c r="AK71" s="804"/>
      <c r="AL71" s="804"/>
      <c r="AM71" s="804"/>
      <c r="AN71" s="804"/>
      <c r="AO71" s="804"/>
      <c r="AP71" s="804"/>
      <c r="AQ71" s="804"/>
      <c r="AR71" s="804"/>
      <c r="AS71" s="804"/>
      <c r="AT71" s="804"/>
      <c r="AU71" s="804"/>
      <c r="AV71" s="804"/>
      <c r="AW71" s="804"/>
      <c r="AX71" s="804"/>
      <c r="AY71" s="804"/>
      <c r="AZ71" s="804"/>
      <c r="BA71" s="804"/>
      <c r="BB71" s="804"/>
      <c r="BC71" s="804"/>
      <c r="BD71" s="804"/>
      <c r="BE71" s="804"/>
      <c r="BF71" s="804"/>
      <c r="BG71" s="804"/>
      <c r="BH71" s="804"/>
      <c r="BI71" s="804"/>
      <c r="BJ71" s="804"/>
      <c r="BK71" s="804"/>
      <c r="BL71" s="804"/>
      <c r="BM71" s="804"/>
      <c r="BN71" s="804"/>
      <c r="BO71" s="804"/>
      <c r="BP71" s="804"/>
      <c r="BQ71" s="804"/>
      <c r="BR71" s="804"/>
      <c r="BS71" s="804"/>
      <c r="BT71" s="804"/>
      <c r="BU71" s="804"/>
      <c r="BV71" s="804"/>
      <c r="BW71" s="804"/>
      <c r="BX71" s="804"/>
      <c r="BY71" s="804"/>
      <c r="BZ71" s="804"/>
      <c r="CA71" s="804"/>
      <c r="CB71" s="804"/>
      <c r="CC71" s="804"/>
      <c r="CD71" s="804"/>
      <c r="CE71" s="804"/>
      <c r="CF71" s="804"/>
      <c r="CG71" s="804"/>
      <c r="CH71" s="804"/>
      <c r="CI71" s="804"/>
      <c r="CJ71" s="804"/>
      <c r="CK71" s="804"/>
      <c r="CL71" s="804"/>
      <c r="CM71" s="804"/>
      <c r="CN71" s="804"/>
      <c r="CO71" s="804"/>
      <c r="CP71" s="804"/>
      <c r="CQ71" s="804"/>
      <c r="CR71" s="804"/>
      <c r="CS71" s="804"/>
      <c r="CT71" s="804"/>
      <c r="CU71" s="804"/>
      <c r="CV71" s="804"/>
      <c r="CW71" s="804"/>
      <c r="CX71" s="804"/>
      <c r="CY71" s="804"/>
      <c r="CZ71" s="804"/>
      <c r="DA71" s="804"/>
      <c r="DB71" s="804"/>
      <c r="DC71" s="804"/>
      <c r="DD71" s="804"/>
      <c r="DE71" s="804"/>
      <c r="DF71" s="804"/>
    </row>
    <row r="72" spans="1:110">
      <c r="A72" s="804"/>
      <c r="B72" s="804"/>
      <c r="C72" s="804"/>
      <c r="D72" s="804"/>
      <c r="E72" s="804"/>
      <c r="F72" s="804"/>
      <c r="G72" s="804"/>
      <c r="H72" s="804"/>
      <c r="I72" s="804"/>
      <c r="J72" s="804"/>
      <c r="K72" s="804"/>
      <c r="L72" s="804"/>
      <c r="M72" s="804"/>
      <c r="N72" s="804"/>
      <c r="O72" s="804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/>
      <c r="AC72" s="804"/>
      <c r="AD72" s="804"/>
      <c r="AE72" s="804"/>
      <c r="AF72" s="804"/>
      <c r="AG72" s="804"/>
      <c r="AH72" s="804"/>
      <c r="AI72" s="804"/>
      <c r="AJ72" s="804"/>
      <c r="AK72" s="804"/>
      <c r="AL72" s="804"/>
      <c r="AM72" s="804"/>
      <c r="AN72" s="804"/>
      <c r="AO72" s="804"/>
      <c r="AP72" s="804"/>
      <c r="AQ72" s="804"/>
      <c r="AR72" s="804"/>
      <c r="AS72" s="804"/>
      <c r="AT72" s="804"/>
      <c r="AU72" s="804"/>
      <c r="AV72" s="804"/>
      <c r="AW72" s="804"/>
      <c r="AX72" s="804"/>
      <c r="AY72" s="804"/>
      <c r="AZ72" s="804"/>
      <c r="BA72" s="804"/>
      <c r="BB72" s="804"/>
      <c r="BC72" s="804"/>
      <c r="BD72" s="804"/>
      <c r="BE72" s="804"/>
      <c r="BF72" s="804"/>
      <c r="BG72" s="804"/>
      <c r="BH72" s="804"/>
      <c r="BI72" s="804"/>
      <c r="BJ72" s="804"/>
      <c r="BK72" s="804"/>
      <c r="BL72" s="804"/>
      <c r="BM72" s="804"/>
      <c r="BN72" s="804"/>
      <c r="BO72" s="804"/>
      <c r="BP72" s="804"/>
      <c r="BQ72" s="804"/>
      <c r="BR72" s="804"/>
      <c r="BS72" s="804"/>
      <c r="BT72" s="804"/>
      <c r="BU72" s="804"/>
      <c r="BV72" s="804"/>
      <c r="BW72" s="804"/>
      <c r="BX72" s="804"/>
      <c r="BY72" s="804"/>
      <c r="BZ72" s="804"/>
      <c r="CA72" s="804"/>
      <c r="CB72" s="804"/>
      <c r="CC72" s="804"/>
      <c r="CD72" s="804"/>
      <c r="CE72" s="804"/>
      <c r="CF72" s="804"/>
      <c r="CG72" s="804"/>
      <c r="CH72" s="804"/>
      <c r="CI72" s="804"/>
      <c r="CJ72" s="804"/>
      <c r="CK72" s="804"/>
      <c r="CL72" s="804"/>
      <c r="CM72" s="804"/>
      <c r="CN72" s="804"/>
      <c r="CO72" s="804"/>
      <c r="CP72" s="804"/>
      <c r="CQ72" s="804"/>
      <c r="CR72" s="804"/>
      <c r="CS72" s="804"/>
      <c r="CT72" s="804"/>
      <c r="CU72" s="804"/>
      <c r="CV72" s="804"/>
      <c r="CW72" s="804"/>
      <c r="CX72" s="804"/>
      <c r="CY72" s="804"/>
      <c r="CZ72" s="804"/>
      <c r="DA72" s="804"/>
      <c r="DB72" s="804"/>
      <c r="DC72" s="804"/>
      <c r="DD72" s="804"/>
      <c r="DE72" s="804"/>
      <c r="DF72" s="804"/>
    </row>
    <row r="73" spans="1:110">
      <c r="A73" s="804"/>
      <c r="B73" s="804"/>
      <c r="C73" s="804"/>
      <c r="D73" s="804"/>
      <c r="E73" s="804"/>
      <c r="F73" s="804"/>
      <c r="G73" s="804"/>
      <c r="H73" s="804"/>
      <c r="I73" s="804"/>
      <c r="J73" s="804"/>
      <c r="K73" s="804"/>
      <c r="L73" s="804"/>
      <c r="M73" s="804"/>
      <c r="N73" s="804"/>
      <c r="O73" s="804"/>
      <c r="P73" s="804"/>
      <c r="Q73" s="804"/>
      <c r="R73" s="804"/>
      <c r="S73" s="804"/>
      <c r="T73" s="804"/>
      <c r="U73" s="804"/>
      <c r="V73" s="804"/>
      <c r="W73" s="804"/>
      <c r="X73" s="804"/>
      <c r="Y73" s="804"/>
      <c r="Z73" s="804"/>
      <c r="AA73" s="804"/>
      <c r="AB73" s="804"/>
      <c r="AC73" s="804"/>
      <c r="AD73" s="804"/>
      <c r="AE73" s="804"/>
      <c r="AF73" s="804"/>
      <c r="AG73" s="804"/>
      <c r="AH73" s="804"/>
      <c r="AI73" s="804"/>
      <c r="AJ73" s="804"/>
      <c r="AK73" s="804"/>
      <c r="AL73" s="804"/>
      <c r="AM73" s="804"/>
      <c r="AN73" s="804"/>
      <c r="AO73" s="804"/>
      <c r="AP73" s="804"/>
      <c r="AQ73" s="804"/>
      <c r="AR73" s="804"/>
      <c r="AS73" s="804"/>
      <c r="AT73" s="804"/>
      <c r="AU73" s="804"/>
      <c r="AV73" s="804"/>
      <c r="AW73" s="804"/>
      <c r="AX73" s="804"/>
      <c r="AY73" s="804"/>
      <c r="AZ73" s="804"/>
      <c r="BA73" s="804"/>
      <c r="BB73" s="804"/>
      <c r="BC73" s="804"/>
      <c r="BD73" s="804"/>
      <c r="BE73" s="804"/>
      <c r="BF73" s="804"/>
      <c r="BG73" s="804"/>
      <c r="BH73" s="804"/>
      <c r="BI73" s="804"/>
      <c r="BJ73" s="804"/>
      <c r="BK73" s="804"/>
      <c r="BL73" s="804"/>
      <c r="BM73" s="804"/>
      <c r="BN73" s="804"/>
      <c r="BO73" s="804"/>
      <c r="BP73" s="804"/>
      <c r="BQ73" s="804"/>
      <c r="BR73" s="804"/>
      <c r="BS73" s="804"/>
      <c r="BT73" s="804"/>
      <c r="BU73" s="804"/>
      <c r="BV73" s="804"/>
      <c r="BW73" s="804"/>
      <c r="BX73" s="804"/>
      <c r="BY73" s="804"/>
      <c r="BZ73" s="804"/>
      <c r="CA73" s="804"/>
      <c r="CB73" s="804"/>
      <c r="CC73" s="804"/>
      <c r="CD73" s="804"/>
      <c r="CE73" s="804"/>
      <c r="CF73" s="804"/>
      <c r="CG73" s="804"/>
      <c r="CH73" s="804"/>
      <c r="CI73" s="804"/>
      <c r="CJ73" s="804"/>
      <c r="CK73" s="804"/>
      <c r="CL73" s="804"/>
      <c r="CM73" s="804"/>
      <c r="CN73" s="804"/>
      <c r="CO73" s="804"/>
      <c r="CP73" s="804"/>
      <c r="CQ73" s="804"/>
      <c r="CR73" s="804"/>
      <c r="CS73" s="804"/>
      <c r="CT73" s="804"/>
      <c r="CU73" s="804"/>
      <c r="CV73" s="804"/>
      <c r="CW73" s="804"/>
      <c r="CX73" s="804"/>
      <c r="CY73" s="804"/>
      <c r="CZ73" s="804"/>
      <c r="DA73" s="804"/>
      <c r="DB73" s="804"/>
      <c r="DC73" s="804"/>
      <c r="DD73" s="804"/>
      <c r="DE73" s="804"/>
      <c r="DF73" s="804"/>
    </row>
    <row r="74" spans="1:110">
      <c r="A74" s="804"/>
      <c r="B74" s="804"/>
      <c r="C74" s="804"/>
      <c r="D74" s="804"/>
      <c r="E74" s="804"/>
      <c r="F74" s="804"/>
      <c r="G74" s="804"/>
      <c r="H74" s="804"/>
      <c r="I74" s="804"/>
      <c r="J74" s="804"/>
      <c r="K74" s="804"/>
      <c r="L74" s="804"/>
      <c r="M74" s="804"/>
      <c r="N74" s="804"/>
      <c r="O74" s="804"/>
      <c r="P74" s="804"/>
      <c r="Q74" s="804"/>
      <c r="R74" s="804"/>
      <c r="S74" s="804"/>
      <c r="T74" s="804"/>
      <c r="U74" s="804"/>
      <c r="V74" s="804"/>
      <c r="W74" s="804"/>
      <c r="X74" s="804"/>
      <c r="Y74" s="804"/>
      <c r="Z74" s="804"/>
      <c r="AA74" s="804"/>
      <c r="AB74" s="804"/>
      <c r="AC74" s="804"/>
      <c r="AD74" s="804"/>
      <c r="AE74" s="804"/>
      <c r="AF74" s="804"/>
      <c r="AG74" s="804"/>
      <c r="AH74" s="804"/>
      <c r="AI74" s="804"/>
      <c r="AJ74" s="804"/>
      <c r="AK74" s="804"/>
      <c r="AL74" s="804"/>
      <c r="AM74" s="804"/>
      <c r="AN74" s="804"/>
      <c r="AO74" s="804"/>
      <c r="AP74" s="804"/>
      <c r="AQ74" s="804"/>
      <c r="AR74" s="804"/>
      <c r="AS74" s="804"/>
      <c r="AT74" s="804"/>
      <c r="AU74" s="804"/>
      <c r="AV74" s="804"/>
      <c r="AW74" s="804"/>
      <c r="AX74" s="804"/>
      <c r="AY74" s="804"/>
      <c r="AZ74" s="804"/>
      <c r="BA74" s="804"/>
      <c r="BB74" s="804"/>
      <c r="BC74" s="804"/>
      <c r="BD74" s="804"/>
      <c r="BE74" s="804"/>
      <c r="BF74" s="804"/>
      <c r="BG74" s="804"/>
      <c r="BH74" s="804"/>
      <c r="BI74" s="804"/>
      <c r="BJ74" s="804"/>
      <c r="BK74" s="804"/>
      <c r="BL74" s="804"/>
      <c r="BM74" s="804"/>
      <c r="BN74" s="804"/>
      <c r="BO74" s="804"/>
      <c r="BP74" s="804"/>
      <c r="BQ74" s="804"/>
      <c r="BR74" s="804"/>
      <c r="BS74" s="804"/>
      <c r="BT74" s="804"/>
      <c r="BU74" s="804"/>
      <c r="BV74" s="804"/>
      <c r="BW74" s="804"/>
      <c r="BX74" s="804"/>
      <c r="BY74" s="804"/>
      <c r="BZ74" s="804"/>
      <c r="CA74" s="804"/>
      <c r="CB74" s="804"/>
      <c r="CC74" s="804"/>
      <c r="CD74" s="804"/>
      <c r="CE74" s="804"/>
      <c r="CF74" s="804"/>
      <c r="CG74" s="804"/>
      <c r="CH74" s="804"/>
      <c r="CI74" s="804"/>
      <c r="CJ74" s="804"/>
      <c r="CK74" s="804"/>
      <c r="CL74" s="804"/>
      <c r="CM74" s="804"/>
      <c r="CN74" s="804"/>
      <c r="CO74" s="804"/>
      <c r="CP74" s="804"/>
      <c r="CQ74" s="804"/>
      <c r="CR74" s="804"/>
      <c r="CS74" s="804"/>
      <c r="CT74" s="804"/>
      <c r="CU74" s="804"/>
      <c r="CV74" s="804"/>
      <c r="CW74" s="804"/>
      <c r="CX74" s="804"/>
      <c r="CY74" s="804"/>
      <c r="CZ74" s="804"/>
      <c r="DA74" s="804"/>
      <c r="DB74" s="804"/>
      <c r="DC74" s="804"/>
      <c r="DD74" s="804"/>
      <c r="DE74" s="804"/>
      <c r="DF74" s="804"/>
    </row>
    <row r="75" spans="1:110">
      <c r="A75" s="804"/>
      <c r="B75" s="804"/>
      <c r="C75" s="804"/>
      <c r="D75" s="804"/>
      <c r="E75" s="804"/>
      <c r="F75" s="804"/>
      <c r="G75" s="804"/>
      <c r="H75" s="804"/>
      <c r="I75" s="804"/>
      <c r="J75" s="804"/>
      <c r="K75" s="804"/>
      <c r="L75" s="804"/>
      <c r="M75" s="804"/>
      <c r="N75" s="804"/>
      <c r="O75" s="804"/>
      <c r="P75" s="804"/>
      <c r="Q75" s="804"/>
      <c r="R75" s="804"/>
      <c r="S75" s="804"/>
      <c r="T75" s="804"/>
      <c r="U75" s="804"/>
      <c r="V75" s="804"/>
      <c r="W75" s="804"/>
      <c r="X75" s="804"/>
      <c r="Y75" s="804"/>
      <c r="Z75" s="804"/>
      <c r="AA75" s="804"/>
      <c r="AB75" s="804"/>
      <c r="AC75" s="804"/>
      <c r="AD75" s="804"/>
      <c r="AE75" s="804"/>
      <c r="AF75" s="804"/>
      <c r="AG75" s="804"/>
      <c r="AH75" s="804"/>
      <c r="AI75" s="804"/>
      <c r="AJ75" s="804"/>
      <c r="AK75" s="804"/>
      <c r="AL75" s="804"/>
      <c r="AM75" s="804"/>
      <c r="AN75" s="804"/>
      <c r="AO75" s="804"/>
      <c r="AP75" s="804"/>
      <c r="AQ75" s="804"/>
      <c r="AR75" s="804"/>
      <c r="AS75" s="804"/>
      <c r="AT75" s="804"/>
      <c r="AU75" s="804"/>
      <c r="AV75" s="804"/>
      <c r="AW75" s="804"/>
      <c r="AX75" s="804"/>
      <c r="AY75" s="804"/>
      <c r="AZ75" s="804"/>
      <c r="BA75" s="804"/>
      <c r="BB75" s="804"/>
      <c r="BC75" s="804"/>
      <c r="BD75" s="804"/>
      <c r="BE75" s="804"/>
      <c r="BF75" s="804"/>
      <c r="BG75" s="804"/>
      <c r="BH75" s="804"/>
      <c r="BI75" s="804"/>
      <c r="BJ75" s="804"/>
      <c r="BK75" s="804"/>
      <c r="BL75" s="804"/>
      <c r="BM75" s="804"/>
      <c r="BN75" s="804"/>
      <c r="BO75" s="804"/>
      <c r="BP75" s="804"/>
      <c r="BQ75" s="804"/>
      <c r="BR75" s="804"/>
      <c r="BS75" s="804"/>
      <c r="BT75" s="804"/>
      <c r="BU75" s="804"/>
      <c r="BV75" s="804"/>
      <c r="BW75" s="804"/>
      <c r="BX75" s="804"/>
      <c r="BY75" s="804"/>
      <c r="BZ75" s="804"/>
      <c r="CA75" s="804"/>
      <c r="CB75" s="804"/>
      <c r="CC75" s="804"/>
      <c r="CD75" s="804"/>
      <c r="CE75" s="804"/>
      <c r="CF75" s="804"/>
      <c r="CG75" s="804"/>
      <c r="CH75" s="804"/>
      <c r="CI75" s="804"/>
      <c r="CJ75" s="804"/>
      <c r="CK75" s="804"/>
      <c r="CL75" s="804"/>
      <c r="CM75" s="804"/>
      <c r="CN75" s="804"/>
      <c r="CO75" s="804"/>
      <c r="CP75" s="804"/>
      <c r="CQ75" s="804"/>
      <c r="CR75" s="804"/>
      <c r="CS75" s="804"/>
      <c r="CT75" s="804"/>
      <c r="CU75" s="804"/>
      <c r="CV75" s="804"/>
      <c r="CW75" s="804"/>
      <c r="CX75" s="804"/>
      <c r="CY75" s="804"/>
      <c r="CZ75" s="804"/>
      <c r="DA75" s="804"/>
      <c r="DB75" s="804"/>
      <c r="DC75" s="804"/>
      <c r="DD75" s="804"/>
      <c r="DE75" s="804"/>
      <c r="DF75" s="804"/>
    </row>
    <row r="76" spans="1:110">
      <c r="A76" s="804"/>
      <c r="B76" s="804"/>
      <c r="C76" s="804"/>
      <c r="D76" s="804"/>
      <c r="E76" s="804"/>
      <c r="F76" s="804"/>
      <c r="G76" s="804"/>
      <c r="H76" s="804"/>
      <c r="I76" s="804"/>
      <c r="J76" s="804"/>
      <c r="K76" s="804"/>
      <c r="L76" s="804"/>
      <c r="M76" s="804"/>
      <c r="N76" s="804"/>
      <c r="O76" s="804"/>
      <c r="P76" s="804"/>
      <c r="Q76" s="804"/>
      <c r="R76" s="804"/>
      <c r="S76" s="804"/>
      <c r="T76" s="804"/>
      <c r="U76" s="804"/>
      <c r="V76" s="804"/>
      <c r="W76" s="804"/>
      <c r="X76" s="804"/>
      <c r="Y76" s="804"/>
      <c r="Z76" s="804"/>
      <c r="AA76" s="804"/>
      <c r="AB76" s="804"/>
      <c r="AC76" s="804"/>
      <c r="AD76" s="804"/>
      <c r="AE76" s="804"/>
      <c r="AF76" s="804"/>
      <c r="AG76" s="804"/>
      <c r="AH76" s="804"/>
      <c r="AI76" s="804"/>
      <c r="AJ76" s="804"/>
      <c r="AK76" s="804"/>
      <c r="AL76" s="804"/>
      <c r="AM76" s="804"/>
      <c r="AN76" s="804"/>
      <c r="AO76" s="804"/>
      <c r="AP76" s="804"/>
      <c r="AQ76" s="804"/>
      <c r="AR76" s="804"/>
      <c r="AS76" s="804"/>
      <c r="AT76" s="804"/>
      <c r="AU76" s="804"/>
      <c r="AV76" s="804"/>
      <c r="AW76" s="804"/>
      <c r="AX76" s="804"/>
      <c r="AY76" s="804"/>
      <c r="AZ76" s="804"/>
      <c r="BA76" s="804"/>
      <c r="BB76" s="804"/>
      <c r="BC76" s="804"/>
      <c r="BD76" s="804"/>
      <c r="BE76" s="804"/>
      <c r="BF76" s="804"/>
      <c r="BG76" s="804"/>
      <c r="BH76" s="804"/>
      <c r="BI76" s="804"/>
      <c r="BJ76" s="804"/>
      <c r="BK76" s="804"/>
      <c r="BL76" s="804"/>
      <c r="BM76" s="804"/>
      <c r="BN76" s="804"/>
      <c r="BO76" s="804"/>
      <c r="BP76" s="804"/>
      <c r="BQ76" s="804"/>
      <c r="BR76" s="804"/>
      <c r="BS76" s="804"/>
      <c r="BT76" s="804"/>
      <c r="BU76" s="804"/>
      <c r="BV76" s="804"/>
      <c r="BW76" s="804"/>
      <c r="BX76" s="804"/>
      <c r="BY76" s="804"/>
      <c r="BZ76" s="804"/>
      <c r="CA76" s="804"/>
      <c r="CB76" s="804"/>
      <c r="CC76" s="804"/>
      <c r="CD76" s="804"/>
      <c r="CE76" s="804"/>
      <c r="CF76" s="804"/>
      <c r="CG76" s="804"/>
      <c r="CH76" s="804"/>
      <c r="CI76" s="804"/>
      <c r="CJ76" s="804"/>
      <c r="CK76" s="804"/>
      <c r="CL76" s="804"/>
      <c r="CM76" s="804"/>
      <c r="CN76" s="804"/>
      <c r="CO76" s="804"/>
      <c r="CP76" s="804"/>
      <c r="CQ76" s="804"/>
      <c r="CR76" s="804"/>
      <c r="CS76" s="804"/>
      <c r="CT76" s="804"/>
      <c r="CU76" s="804"/>
      <c r="CV76" s="804"/>
      <c r="CW76" s="804"/>
      <c r="CX76" s="804"/>
      <c r="CY76" s="804"/>
      <c r="CZ76" s="804"/>
      <c r="DA76" s="804"/>
      <c r="DB76" s="804"/>
      <c r="DC76" s="804"/>
      <c r="DD76" s="804"/>
      <c r="DE76" s="804"/>
      <c r="DF76" s="804"/>
    </row>
    <row r="77" spans="1:110">
      <c r="A77" s="804"/>
      <c r="B77" s="804"/>
      <c r="C77" s="804"/>
      <c r="D77" s="804"/>
      <c r="E77" s="804"/>
      <c r="F77" s="804"/>
      <c r="G77" s="804"/>
      <c r="H77" s="804"/>
      <c r="I77" s="804"/>
      <c r="J77" s="804"/>
      <c r="K77" s="804"/>
      <c r="L77" s="804"/>
      <c r="M77" s="804"/>
      <c r="N77" s="804"/>
      <c r="O77" s="804"/>
      <c r="P77" s="804"/>
      <c r="Q77" s="804"/>
      <c r="R77" s="804"/>
      <c r="S77" s="804"/>
      <c r="T77" s="804"/>
      <c r="U77" s="804"/>
      <c r="V77" s="804"/>
      <c r="W77" s="804"/>
      <c r="X77" s="804"/>
      <c r="Y77" s="804"/>
      <c r="Z77" s="804"/>
      <c r="AA77" s="804"/>
      <c r="AB77" s="804"/>
      <c r="AC77" s="804"/>
      <c r="AD77" s="804"/>
      <c r="AE77" s="804"/>
      <c r="AF77" s="804"/>
      <c r="AG77" s="804"/>
      <c r="AH77" s="804"/>
      <c r="AI77" s="804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804"/>
      <c r="AU77" s="804"/>
      <c r="AV77" s="804"/>
      <c r="AW77" s="804"/>
      <c r="AX77" s="804"/>
      <c r="AY77" s="804"/>
      <c r="AZ77" s="804"/>
      <c r="BA77" s="804"/>
      <c r="BB77" s="804"/>
      <c r="BC77" s="804"/>
      <c r="BD77" s="804"/>
      <c r="BE77" s="804"/>
      <c r="BF77" s="804"/>
      <c r="BG77" s="804"/>
      <c r="BH77" s="804"/>
      <c r="BI77" s="804"/>
      <c r="BJ77" s="804"/>
      <c r="BK77" s="804"/>
      <c r="BL77" s="804"/>
      <c r="BM77" s="804"/>
      <c r="BN77" s="804"/>
      <c r="BO77" s="804"/>
      <c r="BP77" s="804"/>
      <c r="BQ77" s="804"/>
      <c r="BR77" s="804"/>
      <c r="BS77" s="804"/>
      <c r="BT77" s="804"/>
      <c r="BU77" s="804"/>
      <c r="BV77" s="804"/>
      <c r="BW77" s="804"/>
      <c r="BX77" s="804"/>
      <c r="BY77" s="804"/>
      <c r="BZ77" s="804"/>
      <c r="CA77" s="804"/>
      <c r="CB77" s="804"/>
      <c r="CC77" s="804"/>
      <c r="CD77" s="804"/>
      <c r="CE77" s="804"/>
      <c r="CF77" s="804"/>
      <c r="CG77" s="804"/>
      <c r="CH77" s="804"/>
      <c r="CI77" s="804"/>
      <c r="CJ77" s="804"/>
      <c r="CK77" s="804"/>
      <c r="CL77" s="804"/>
      <c r="CM77" s="804"/>
      <c r="CN77" s="804"/>
      <c r="CO77" s="804"/>
      <c r="CP77" s="804"/>
      <c r="CQ77" s="804"/>
      <c r="CR77" s="804"/>
      <c r="CS77" s="804"/>
      <c r="CT77" s="804"/>
      <c r="CU77" s="804"/>
      <c r="CV77" s="804"/>
      <c r="CW77" s="804"/>
      <c r="CX77" s="804"/>
      <c r="CY77" s="804"/>
      <c r="CZ77" s="804"/>
      <c r="DA77" s="804"/>
      <c r="DB77" s="804"/>
      <c r="DC77" s="804"/>
      <c r="DD77" s="804"/>
      <c r="DE77" s="804"/>
      <c r="DF77" s="804"/>
    </row>
    <row r="78" spans="1:110">
      <c r="A78" s="804"/>
      <c r="B78" s="804"/>
      <c r="C78" s="804"/>
      <c r="D78" s="804"/>
      <c r="E78" s="804"/>
      <c r="F78" s="804"/>
      <c r="G78" s="804"/>
      <c r="H78" s="804"/>
      <c r="I78" s="804"/>
      <c r="J78" s="804"/>
      <c r="K78" s="804"/>
      <c r="L78" s="804"/>
      <c r="M78" s="804"/>
      <c r="N78" s="804"/>
      <c r="O78" s="804"/>
      <c r="P78" s="804"/>
      <c r="Q78" s="804"/>
      <c r="R78" s="804"/>
      <c r="S78" s="804"/>
      <c r="T78" s="804"/>
      <c r="U78" s="804"/>
      <c r="V78" s="804"/>
      <c r="W78" s="804"/>
      <c r="X78" s="804"/>
      <c r="Y78" s="804"/>
      <c r="Z78" s="804"/>
      <c r="AA78" s="804"/>
      <c r="AB78" s="804"/>
      <c r="AC78" s="804"/>
      <c r="AD78" s="804"/>
      <c r="AE78" s="804"/>
      <c r="AF78" s="804"/>
      <c r="AG78" s="804"/>
      <c r="AH78" s="804"/>
      <c r="AI78" s="804"/>
      <c r="AJ78" s="804"/>
      <c r="AK78" s="804"/>
      <c r="AL78" s="804"/>
      <c r="AM78" s="804"/>
      <c r="AN78" s="804"/>
      <c r="AO78" s="804"/>
      <c r="AP78" s="804"/>
      <c r="AQ78" s="804"/>
      <c r="AR78" s="804"/>
      <c r="AS78" s="804"/>
      <c r="AT78" s="804"/>
      <c r="AU78" s="804"/>
      <c r="AV78" s="804"/>
      <c r="AW78" s="804"/>
      <c r="AX78" s="804"/>
      <c r="AY78" s="804"/>
      <c r="AZ78" s="804"/>
      <c r="BA78" s="804"/>
      <c r="BB78" s="804"/>
      <c r="BC78" s="804"/>
      <c r="BD78" s="804"/>
      <c r="BE78" s="804"/>
      <c r="BF78" s="804"/>
      <c r="BG78" s="804"/>
      <c r="BH78" s="804"/>
      <c r="BI78" s="804"/>
      <c r="BJ78" s="804"/>
      <c r="BK78" s="804"/>
      <c r="BL78" s="804"/>
      <c r="BM78" s="804"/>
      <c r="BN78" s="804"/>
      <c r="BO78" s="804"/>
      <c r="BP78" s="804"/>
      <c r="BQ78" s="804"/>
      <c r="BR78" s="804"/>
      <c r="BS78" s="804"/>
      <c r="BT78" s="804"/>
      <c r="BU78" s="804"/>
      <c r="BV78" s="804"/>
      <c r="BW78" s="804"/>
      <c r="BX78" s="804"/>
      <c r="BY78" s="804"/>
      <c r="BZ78" s="804"/>
      <c r="CA78" s="804"/>
      <c r="CB78" s="804"/>
      <c r="CC78" s="804"/>
      <c r="CD78" s="804"/>
      <c r="CE78" s="804"/>
      <c r="CF78" s="804"/>
      <c r="CG78" s="804"/>
      <c r="CH78" s="804"/>
      <c r="CI78" s="804"/>
      <c r="CJ78" s="804"/>
      <c r="CK78" s="804"/>
      <c r="CL78" s="804"/>
      <c r="CM78" s="804"/>
      <c r="CN78" s="804"/>
      <c r="CO78" s="804"/>
      <c r="CP78" s="804"/>
      <c r="CQ78" s="804"/>
      <c r="CR78" s="804"/>
      <c r="CS78" s="804"/>
      <c r="CT78" s="804"/>
      <c r="CU78" s="804"/>
      <c r="CV78" s="804"/>
      <c r="CW78" s="804"/>
      <c r="CX78" s="804"/>
      <c r="CY78" s="804"/>
      <c r="CZ78" s="804"/>
      <c r="DA78" s="804"/>
      <c r="DB78" s="804"/>
      <c r="DC78" s="804"/>
      <c r="DD78" s="804"/>
      <c r="DE78" s="804"/>
      <c r="DF78" s="804"/>
    </row>
    <row r="79" spans="1:110">
      <c r="A79" s="804"/>
      <c r="B79" s="804"/>
      <c r="C79" s="804"/>
      <c r="D79" s="804"/>
      <c r="E79" s="804"/>
      <c r="F79" s="804"/>
      <c r="G79" s="804"/>
      <c r="H79" s="804"/>
      <c r="I79" s="804"/>
      <c r="J79" s="804"/>
      <c r="K79" s="804"/>
      <c r="L79" s="804"/>
      <c r="M79" s="804"/>
      <c r="N79" s="804"/>
      <c r="O79" s="804"/>
      <c r="P79" s="804"/>
      <c r="Q79" s="804"/>
      <c r="R79" s="804"/>
      <c r="S79" s="804"/>
      <c r="T79" s="804"/>
      <c r="U79" s="804"/>
      <c r="V79" s="804"/>
      <c r="W79" s="804"/>
      <c r="X79" s="804"/>
      <c r="Y79" s="804"/>
      <c r="Z79" s="804"/>
      <c r="AA79" s="804"/>
      <c r="AB79" s="804"/>
      <c r="AC79" s="804"/>
      <c r="AD79" s="804"/>
      <c r="AE79" s="804"/>
      <c r="AF79" s="804"/>
      <c r="AG79" s="804"/>
      <c r="AH79" s="804"/>
      <c r="AI79" s="804"/>
      <c r="AJ79" s="804"/>
      <c r="AK79" s="804"/>
      <c r="AL79" s="804"/>
      <c r="AM79" s="804"/>
      <c r="AN79" s="804"/>
      <c r="AO79" s="804"/>
      <c r="AP79" s="804"/>
      <c r="AQ79" s="804"/>
      <c r="AR79" s="804"/>
      <c r="AS79" s="804"/>
      <c r="AT79" s="804"/>
      <c r="AU79" s="804"/>
      <c r="AV79" s="804"/>
      <c r="AW79" s="804"/>
      <c r="AX79" s="804"/>
      <c r="AY79" s="804"/>
      <c r="AZ79" s="804"/>
      <c r="BA79" s="804"/>
      <c r="BB79" s="804"/>
      <c r="BC79" s="804"/>
      <c r="BD79" s="804"/>
      <c r="BE79" s="804"/>
      <c r="BF79" s="804"/>
      <c r="BG79" s="804"/>
      <c r="BH79" s="804"/>
      <c r="BI79" s="804"/>
      <c r="BJ79" s="804"/>
      <c r="BK79" s="804"/>
      <c r="BL79" s="804"/>
      <c r="BM79" s="804"/>
      <c r="BN79" s="804"/>
      <c r="BO79" s="804"/>
      <c r="BP79" s="804"/>
      <c r="BQ79" s="804"/>
      <c r="BR79" s="804"/>
      <c r="BS79" s="804"/>
      <c r="BT79" s="804"/>
      <c r="BU79" s="804"/>
      <c r="BV79" s="804"/>
      <c r="BW79" s="804"/>
      <c r="BX79" s="804"/>
      <c r="BY79" s="804"/>
      <c r="BZ79" s="804"/>
      <c r="CA79" s="804"/>
      <c r="CB79" s="804"/>
      <c r="CC79" s="804"/>
      <c r="CD79" s="804"/>
      <c r="CE79" s="804"/>
      <c r="CF79" s="804"/>
      <c r="CG79" s="804"/>
      <c r="CH79" s="804"/>
      <c r="CI79" s="804"/>
      <c r="CJ79" s="804"/>
      <c r="CK79" s="804"/>
      <c r="CL79" s="804"/>
      <c r="CM79" s="804"/>
      <c r="CN79" s="804"/>
      <c r="CO79" s="804"/>
      <c r="CP79" s="804"/>
      <c r="CQ79" s="804"/>
      <c r="CR79" s="804"/>
      <c r="CS79" s="804"/>
      <c r="CT79" s="804"/>
      <c r="CU79" s="804"/>
      <c r="CV79" s="804"/>
      <c r="CW79" s="804"/>
      <c r="CX79" s="804"/>
      <c r="CY79" s="804"/>
      <c r="CZ79" s="804"/>
      <c r="DA79" s="804"/>
      <c r="DB79" s="804"/>
      <c r="DC79" s="804"/>
      <c r="DD79" s="804"/>
      <c r="DE79" s="804"/>
      <c r="DF79" s="804"/>
    </row>
    <row r="80" spans="1:110">
      <c r="A80" s="804"/>
      <c r="B80" s="804"/>
      <c r="C80" s="804"/>
      <c r="D80" s="804"/>
      <c r="E80" s="804"/>
      <c r="F80" s="804"/>
      <c r="G80" s="804"/>
      <c r="H80" s="804"/>
      <c r="I80" s="804"/>
      <c r="J80" s="804"/>
      <c r="K80" s="804"/>
      <c r="L80" s="804"/>
      <c r="M80" s="804"/>
      <c r="N80" s="804"/>
      <c r="O80" s="804"/>
      <c r="P80" s="804"/>
      <c r="Q80" s="804"/>
      <c r="R80" s="804"/>
      <c r="S80" s="804"/>
      <c r="T80" s="804"/>
      <c r="U80" s="804"/>
      <c r="V80" s="804"/>
      <c r="W80" s="804"/>
      <c r="X80" s="804"/>
      <c r="Y80" s="804"/>
      <c r="Z80" s="804"/>
      <c r="AA80" s="804"/>
      <c r="AB80" s="804"/>
      <c r="AC80" s="804"/>
      <c r="AD80" s="804"/>
      <c r="AE80" s="804"/>
      <c r="AF80" s="804"/>
      <c r="AG80" s="804"/>
      <c r="AH80" s="804"/>
      <c r="AI80" s="804"/>
      <c r="AJ80" s="804"/>
      <c r="AK80" s="804"/>
      <c r="AL80" s="804"/>
      <c r="AM80" s="804"/>
      <c r="AN80" s="804"/>
      <c r="AO80" s="804"/>
      <c r="AP80" s="804"/>
      <c r="AQ80" s="804"/>
      <c r="AR80" s="804"/>
      <c r="AS80" s="804"/>
      <c r="AT80" s="804"/>
      <c r="AU80" s="804"/>
      <c r="AV80" s="804"/>
      <c r="AW80" s="804"/>
      <c r="AX80" s="804"/>
      <c r="AY80" s="804"/>
      <c r="AZ80" s="804"/>
      <c r="BA80" s="804"/>
      <c r="BB80" s="804"/>
      <c r="BC80" s="804"/>
      <c r="BD80" s="804"/>
      <c r="BE80" s="804"/>
      <c r="BF80" s="804"/>
      <c r="BG80" s="804"/>
      <c r="BH80" s="804"/>
      <c r="BI80" s="804"/>
      <c r="BJ80" s="804"/>
      <c r="BK80" s="804"/>
      <c r="BL80" s="804"/>
      <c r="BM80" s="804"/>
      <c r="BN80" s="804"/>
      <c r="BO80" s="804"/>
      <c r="BP80" s="804"/>
      <c r="BQ80" s="804"/>
      <c r="BR80" s="804"/>
      <c r="BS80" s="804"/>
      <c r="BT80" s="804"/>
      <c r="BU80" s="804"/>
      <c r="BV80" s="804"/>
      <c r="BW80" s="804"/>
      <c r="BX80" s="804"/>
      <c r="BY80" s="804"/>
      <c r="BZ80" s="804"/>
      <c r="CA80" s="804"/>
      <c r="CB80" s="804"/>
      <c r="CC80" s="804"/>
      <c r="CD80" s="804"/>
      <c r="CE80" s="804"/>
      <c r="CF80" s="804"/>
      <c r="CG80" s="804"/>
      <c r="CH80" s="804"/>
      <c r="CI80" s="804"/>
      <c r="CJ80" s="804"/>
      <c r="CK80" s="804"/>
      <c r="CL80" s="804"/>
      <c r="CM80" s="804"/>
      <c r="CN80" s="804"/>
      <c r="CO80" s="804"/>
      <c r="CP80" s="804"/>
      <c r="CQ80" s="804"/>
      <c r="CR80" s="804"/>
      <c r="CS80" s="804"/>
      <c r="CT80" s="804"/>
      <c r="CU80" s="804"/>
      <c r="CV80" s="804"/>
      <c r="CW80" s="804"/>
      <c r="CX80" s="804"/>
      <c r="CY80" s="804"/>
      <c r="CZ80" s="804"/>
      <c r="DA80" s="804"/>
      <c r="DB80" s="804"/>
      <c r="DC80" s="804"/>
      <c r="DD80" s="804"/>
      <c r="DE80" s="804"/>
      <c r="DF80" s="804"/>
    </row>
    <row r="81" spans="1:110">
      <c r="A81" s="804"/>
      <c r="B81" s="804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4"/>
      <c r="N81" s="804"/>
      <c r="O81" s="804"/>
      <c r="P81" s="804"/>
      <c r="Q81" s="804"/>
      <c r="R81" s="804"/>
      <c r="S81" s="804"/>
      <c r="T81" s="804"/>
      <c r="U81" s="804"/>
      <c r="V81" s="804"/>
      <c r="W81" s="804"/>
      <c r="X81" s="804"/>
      <c r="Y81" s="804"/>
      <c r="Z81" s="804"/>
      <c r="AA81" s="804"/>
      <c r="AB81" s="804"/>
      <c r="AC81" s="804"/>
      <c r="AD81" s="804"/>
      <c r="AE81" s="804"/>
      <c r="AF81" s="804"/>
      <c r="AG81" s="804"/>
      <c r="AH81" s="804"/>
      <c r="AI81" s="804"/>
      <c r="AJ81" s="804"/>
      <c r="AK81" s="804"/>
      <c r="AL81" s="804"/>
      <c r="AM81" s="804"/>
      <c r="AN81" s="804"/>
      <c r="AO81" s="804"/>
      <c r="AP81" s="804"/>
      <c r="AQ81" s="804"/>
      <c r="AR81" s="804"/>
      <c r="AS81" s="804"/>
      <c r="AT81" s="804"/>
      <c r="AU81" s="804"/>
      <c r="AV81" s="804"/>
      <c r="AW81" s="804"/>
      <c r="AX81" s="804"/>
      <c r="AY81" s="804"/>
      <c r="AZ81" s="804"/>
      <c r="BA81" s="804"/>
      <c r="BB81" s="804"/>
      <c r="BC81" s="804"/>
      <c r="BD81" s="804"/>
      <c r="BE81" s="804"/>
      <c r="BF81" s="804"/>
      <c r="BG81" s="804"/>
      <c r="BH81" s="804"/>
      <c r="BI81" s="804"/>
      <c r="BJ81" s="804"/>
      <c r="BK81" s="804"/>
      <c r="BL81" s="804"/>
      <c r="BM81" s="804"/>
      <c r="BN81" s="804"/>
      <c r="BO81" s="804"/>
      <c r="BP81" s="804"/>
      <c r="BQ81" s="804"/>
      <c r="BR81" s="804"/>
      <c r="BS81" s="804"/>
      <c r="BT81" s="804"/>
      <c r="BU81" s="804"/>
      <c r="BV81" s="804"/>
      <c r="BW81" s="804"/>
      <c r="BX81" s="804"/>
      <c r="BY81" s="804"/>
      <c r="BZ81" s="804"/>
      <c r="CA81" s="804"/>
      <c r="CB81" s="804"/>
      <c r="CC81" s="804"/>
      <c r="CD81" s="804"/>
      <c r="CE81" s="804"/>
      <c r="CF81" s="804"/>
      <c r="CG81" s="804"/>
      <c r="CH81" s="804"/>
      <c r="CI81" s="804"/>
      <c r="CJ81" s="804"/>
      <c r="CK81" s="804"/>
      <c r="CL81" s="804"/>
      <c r="CM81" s="804"/>
      <c r="CN81" s="804"/>
      <c r="CO81" s="804"/>
      <c r="CP81" s="804"/>
      <c r="CQ81" s="804"/>
      <c r="CR81" s="804"/>
      <c r="CS81" s="804"/>
      <c r="CT81" s="804"/>
      <c r="CU81" s="804"/>
      <c r="CV81" s="804"/>
      <c r="CW81" s="804"/>
      <c r="CX81" s="804"/>
      <c r="CY81" s="804"/>
      <c r="CZ81" s="804"/>
      <c r="DA81" s="804"/>
      <c r="DB81" s="804"/>
      <c r="DC81" s="804"/>
      <c r="DD81" s="804"/>
      <c r="DE81" s="804"/>
      <c r="DF81" s="804"/>
    </row>
    <row r="82" spans="1:110">
      <c r="A82" s="804"/>
      <c r="B82" s="804"/>
      <c r="C82" s="804"/>
      <c r="D82" s="804"/>
      <c r="E82" s="804"/>
      <c r="F82" s="804"/>
      <c r="G82" s="804"/>
      <c r="H82" s="804"/>
      <c r="I82" s="804"/>
      <c r="J82" s="804"/>
      <c r="K82" s="804"/>
      <c r="L82" s="804"/>
      <c r="M82" s="804"/>
      <c r="N82" s="804"/>
      <c r="O82" s="804"/>
      <c r="P82" s="804"/>
      <c r="Q82" s="804"/>
      <c r="R82" s="804"/>
      <c r="S82" s="804"/>
      <c r="T82" s="804"/>
      <c r="U82" s="804"/>
      <c r="V82" s="804"/>
      <c r="W82" s="804"/>
      <c r="X82" s="804"/>
      <c r="Y82" s="804"/>
      <c r="Z82" s="804"/>
      <c r="AA82" s="804"/>
      <c r="AB82" s="804"/>
      <c r="AC82" s="804"/>
      <c r="AD82" s="804"/>
      <c r="AE82" s="804"/>
      <c r="AF82" s="804"/>
      <c r="AG82" s="804"/>
      <c r="AH82" s="804"/>
      <c r="AI82" s="804"/>
      <c r="AJ82" s="804"/>
      <c r="AK82" s="804"/>
      <c r="AL82" s="804"/>
      <c r="AM82" s="804"/>
      <c r="AN82" s="804"/>
      <c r="AO82" s="804"/>
      <c r="AP82" s="804"/>
      <c r="AQ82" s="804"/>
      <c r="AR82" s="804"/>
      <c r="AS82" s="804"/>
      <c r="AT82" s="804"/>
      <c r="AU82" s="804"/>
      <c r="AV82" s="804"/>
      <c r="AW82" s="804"/>
      <c r="AX82" s="804"/>
      <c r="AY82" s="804"/>
      <c r="AZ82" s="804"/>
      <c r="BA82" s="804"/>
      <c r="BB82" s="804"/>
      <c r="BC82" s="804"/>
      <c r="BD82" s="804"/>
      <c r="BE82" s="804"/>
      <c r="BF82" s="804"/>
      <c r="BG82" s="804"/>
      <c r="BH82" s="804"/>
      <c r="BI82" s="804"/>
      <c r="BJ82" s="804"/>
      <c r="BK82" s="804"/>
      <c r="BL82" s="804"/>
      <c r="BM82" s="804"/>
      <c r="BN82" s="804"/>
      <c r="BO82" s="804"/>
      <c r="BP82" s="804"/>
      <c r="BQ82" s="804"/>
      <c r="BR82" s="804"/>
      <c r="BS82" s="804"/>
      <c r="BT82" s="804"/>
      <c r="BU82" s="804"/>
      <c r="BV82" s="804"/>
      <c r="BW82" s="804"/>
      <c r="BX82" s="804"/>
      <c r="BY82" s="804"/>
      <c r="BZ82" s="804"/>
      <c r="CA82" s="804"/>
      <c r="CB82" s="804"/>
      <c r="CC82" s="804"/>
      <c r="CD82" s="804"/>
      <c r="CE82" s="804"/>
      <c r="CF82" s="804"/>
      <c r="CG82" s="804"/>
      <c r="CH82" s="804"/>
      <c r="CI82" s="804"/>
      <c r="CJ82" s="804"/>
      <c r="CK82" s="804"/>
      <c r="CL82" s="804"/>
      <c r="CM82" s="804"/>
      <c r="CN82" s="804"/>
      <c r="CO82" s="804"/>
      <c r="CP82" s="804"/>
      <c r="CQ82" s="804"/>
      <c r="CR82" s="804"/>
      <c r="CS82" s="804"/>
      <c r="CT82" s="804"/>
      <c r="CU82" s="804"/>
      <c r="CV82" s="804"/>
      <c r="CW82" s="804"/>
      <c r="CX82" s="804"/>
      <c r="CY82" s="804"/>
      <c r="CZ82" s="804"/>
      <c r="DA82" s="804"/>
      <c r="DB82" s="804"/>
      <c r="DC82" s="804"/>
      <c r="DD82" s="804"/>
      <c r="DE82" s="804"/>
      <c r="DF82" s="804"/>
    </row>
    <row r="83" spans="1:110">
      <c r="A83" s="804"/>
      <c r="B83" s="804"/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  <c r="N83" s="804"/>
      <c r="O83" s="804"/>
      <c r="P83" s="804"/>
      <c r="Q83" s="804"/>
      <c r="R83" s="804"/>
      <c r="S83" s="804"/>
      <c r="T83" s="804"/>
      <c r="U83" s="804"/>
      <c r="V83" s="804"/>
      <c r="W83" s="804"/>
      <c r="X83" s="804"/>
      <c r="Y83" s="804"/>
      <c r="Z83" s="804"/>
      <c r="AA83" s="804"/>
      <c r="AB83" s="804"/>
      <c r="AC83" s="804"/>
      <c r="AD83" s="804"/>
      <c r="AE83" s="804"/>
      <c r="AF83" s="804"/>
      <c r="AG83" s="804"/>
      <c r="AH83" s="804"/>
      <c r="AI83" s="804"/>
      <c r="AJ83" s="804"/>
      <c r="AK83" s="804"/>
      <c r="AL83" s="804"/>
      <c r="AM83" s="804"/>
      <c r="AN83" s="804"/>
      <c r="AO83" s="804"/>
      <c r="AP83" s="804"/>
      <c r="AQ83" s="804"/>
      <c r="AR83" s="804"/>
      <c r="AS83" s="804"/>
      <c r="AT83" s="804"/>
      <c r="AU83" s="804"/>
      <c r="AV83" s="804"/>
      <c r="AW83" s="804"/>
      <c r="AX83" s="804"/>
      <c r="AY83" s="804"/>
      <c r="AZ83" s="804"/>
      <c r="BA83" s="804"/>
      <c r="BB83" s="804"/>
      <c r="BC83" s="804"/>
      <c r="BD83" s="804"/>
      <c r="BE83" s="804"/>
      <c r="BF83" s="804"/>
      <c r="BG83" s="804"/>
      <c r="BH83" s="804"/>
      <c r="BI83" s="804"/>
      <c r="BJ83" s="804"/>
      <c r="BK83" s="804"/>
      <c r="BL83" s="804"/>
      <c r="BM83" s="804"/>
      <c r="BN83" s="804"/>
      <c r="BO83" s="804"/>
      <c r="BP83" s="804"/>
      <c r="BQ83" s="804"/>
      <c r="BR83" s="804"/>
      <c r="BS83" s="804"/>
      <c r="BT83" s="804"/>
      <c r="BU83" s="804"/>
      <c r="BV83" s="804"/>
      <c r="BW83" s="804"/>
      <c r="BX83" s="804"/>
      <c r="BY83" s="804"/>
      <c r="BZ83" s="804"/>
      <c r="CA83" s="804"/>
      <c r="CB83" s="804"/>
      <c r="CC83" s="804"/>
      <c r="CD83" s="804"/>
      <c r="CE83" s="804"/>
      <c r="CF83" s="804"/>
      <c r="CG83" s="804"/>
      <c r="CH83" s="804"/>
      <c r="CI83" s="804"/>
      <c r="CJ83" s="804"/>
      <c r="CK83" s="804"/>
      <c r="CL83" s="804"/>
      <c r="CM83" s="804"/>
      <c r="CN83" s="804"/>
      <c r="CO83" s="804"/>
      <c r="CP83" s="804"/>
      <c r="CQ83" s="804"/>
      <c r="CR83" s="804"/>
      <c r="CS83" s="804"/>
      <c r="CT83" s="804"/>
      <c r="CU83" s="804"/>
      <c r="CV83" s="804"/>
      <c r="CW83" s="804"/>
      <c r="CX83" s="804"/>
      <c r="CY83" s="804"/>
      <c r="CZ83" s="804"/>
      <c r="DA83" s="804"/>
      <c r="DB83" s="804"/>
      <c r="DC83" s="804"/>
      <c r="DD83" s="804"/>
      <c r="DE83" s="804"/>
      <c r="DF83" s="804"/>
    </row>
    <row r="84" spans="1:110">
      <c r="A84" s="804"/>
      <c r="B84" s="804"/>
      <c r="C84" s="804"/>
      <c r="D84" s="804"/>
      <c r="E84" s="804"/>
      <c r="F84" s="804"/>
      <c r="G84" s="804"/>
      <c r="H84" s="804"/>
      <c r="I84" s="804"/>
      <c r="J84" s="804"/>
      <c r="K84" s="804"/>
      <c r="L84" s="804"/>
      <c r="M84" s="804"/>
      <c r="N84" s="804"/>
      <c r="O84" s="804"/>
      <c r="P84" s="804"/>
      <c r="Q84" s="804"/>
      <c r="R84" s="804"/>
      <c r="S84" s="804"/>
      <c r="T84" s="804"/>
      <c r="U84" s="804"/>
      <c r="V84" s="804"/>
      <c r="W84" s="804"/>
      <c r="X84" s="804"/>
      <c r="Y84" s="804"/>
      <c r="Z84" s="804"/>
      <c r="AA84" s="804"/>
      <c r="AB84" s="804"/>
      <c r="AC84" s="804"/>
      <c r="AD84" s="804"/>
      <c r="AE84" s="804"/>
      <c r="AF84" s="804"/>
      <c r="AG84" s="804"/>
      <c r="AH84" s="804"/>
      <c r="AI84" s="804"/>
      <c r="AJ84" s="804"/>
      <c r="AK84" s="804"/>
      <c r="AL84" s="804"/>
      <c r="AM84" s="804"/>
      <c r="AN84" s="804"/>
      <c r="AO84" s="804"/>
      <c r="AP84" s="804"/>
      <c r="AQ84" s="804"/>
      <c r="AR84" s="804"/>
      <c r="AS84" s="804"/>
      <c r="AT84" s="804"/>
      <c r="AU84" s="804"/>
      <c r="AV84" s="804"/>
      <c r="AW84" s="804"/>
      <c r="AX84" s="804"/>
      <c r="AY84" s="804"/>
      <c r="AZ84" s="804"/>
      <c r="BA84" s="804"/>
      <c r="BB84" s="804"/>
      <c r="BC84" s="804"/>
      <c r="BD84" s="804"/>
      <c r="BE84" s="804"/>
      <c r="BF84" s="804"/>
      <c r="BG84" s="804"/>
      <c r="BH84" s="804"/>
      <c r="BI84" s="804"/>
      <c r="BJ84" s="804"/>
      <c r="BK84" s="804"/>
      <c r="BL84" s="804"/>
      <c r="BM84" s="804"/>
      <c r="BN84" s="804"/>
      <c r="BO84" s="804"/>
      <c r="BP84" s="804"/>
      <c r="BQ84" s="804"/>
      <c r="BR84" s="804"/>
      <c r="BS84" s="804"/>
      <c r="BT84" s="804"/>
      <c r="BU84" s="804"/>
      <c r="BV84" s="804"/>
      <c r="BW84" s="804"/>
      <c r="BX84" s="804"/>
      <c r="BY84" s="804"/>
      <c r="BZ84" s="804"/>
      <c r="CA84" s="804"/>
      <c r="CB84" s="804"/>
      <c r="CC84" s="804"/>
      <c r="CD84" s="804"/>
      <c r="CE84" s="804"/>
      <c r="CF84" s="804"/>
      <c r="CG84" s="804"/>
      <c r="CH84" s="804"/>
      <c r="CI84" s="804"/>
      <c r="CJ84" s="804"/>
      <c r="CK84" s="804"/>
      <c r="CL84" s="804"/>
      <c r="CM84" s="804"/>
      <c r="CN84" s="804"/>
      <c r="CO84" s="804"/>
      <c r="CP84" s="804"/>
      <c r="CQ84" s="804"/>
      <c r="CR84" s="804"/>
      <c r="CS84" s="804"/>
      <c r="CT84" s="804"/>
      <c r="CU84" s="804"/>
      <c r="CV84" s="804"/>
      <c r="CW84" s="804"/>
      <c r="CX84" s="804"/>
      <c r="CY84" s="804"/>
      <c r="CZ84" s="804"/>
      <c r="DA84" s="804"/>
      <c r="DB84" s="804"/>
      <c r="DC84" s="804"/>
      <c r="DD84" s="804"/>
      <c r="DE84" s="804"/>
      <c r="DF84" s="804"/>
    </row>
    <row r="85" spans="1:110">
      <c r="A85" s="804"/>
      <c r="B85" s="804"/>
      <c r="C85" s="804"/>
      <c r="D85" s="804"/>
      <c r="E85" s="804"/>
      <c r="F85" s="804"/>
      <c r="G85" s="804"/>
      <c r="H85" s="804"/>
      <c r="I85" s="804"/>
      <c r="J85" s="804"/>
      <c r="K85" s="804"/>
      <c r="L85" s="804"/>
      <c r="M85" s="804"/>
      <c r="N85" s="804"/>
      <c r="O85" s="804"/>
      <c r="P85" s="804"/>
      <c r="Q85" s="804"/>
      <c r="R85" s="804"/>
      <c r="S85" s="804"/>
      <c r="T85" s="804"/>
      <c r="U85" s="804"/>
      <c r="V85" s="804"/>
      <c r="W85" s="804"/>
      <c r="X85" s="804"/>
      <c r="Y85" s="804"/>
      <c r="Z85" s="804"/>
      <c r="AA85" s="804"/>
      <c r="AB85" s="804"/>
      <c r="AC85" s="804"/>
      <c r="AD85" s="804"/>
      <c r="AE85" s="804"/>
      <c r="AF85" s="804"/>
      <c r="AG85" s="804"/>
      <c r="AH85" s="804"/>
      <c r="AI85" s="804"/>
      <c r="AJ85" s="804"/>
      <c r="AK85" s="804"/>
      <c r="AL85" s="804"/>
      <c r="AM85" s="804"/>
      <c r="AN85" s="804"/>
      <c r="AO85" s="804"/>
      <c r="AP85" s="804"/>
      <c r="AQ85" s="804"/>
      <c r="AR85" s="804"/>
      <c r="AS85" s="804"/>
      <c r="AT85" s="804"/>
      <c r="AU85" s="804"/>
      <c r="AV85" s="804"/>
      <c r="AW85" s="804"/>
      <c r="AX85" s="804"/>
      <c r="AY85" s="804"/>
      <c r="AZ85" s="804"/>
      <c r="BA85" s="804"/>
      <c r="BB85" s="804"/>
      <c r="BC85" s="804"/>
      <c r="BD85" s="804"/>
      <c r="BE85" s="804"/>
      <c r="BF85" s="804"/>
      <c r="BG85" s="804"/>
      <c r="BH85" s="804"/>
      <c r="BI85" s="804"/>
      <c r="BJ85" s="804"/>
      <c r="BK85" s="804"/>
      <c r="BL85" s="804"/>
      <c r="BM85" s="804"/>
      <c r="BN85" s="804"/>
      <c r="BO85" s="804"/>
      <c r="BP85" s="804"/>
      <c r="BQ85" s="804"/>
      <c r="BR85" s="804"/>
      <c r="BS85" s="804"/>
      <c r="BT85" s="804"/>
      <c r="BU85" s="804"/>
      <c r="BV85" s="804"/>
      <c r="BW85" s="804"/>
      <c r="BX85" s="804"/>
      <c r="BY85" s="804"/>
      <c r="BZ85" s="804"/>
      <c r="CA85" s="804"/>
      <c r="CB85" s="804"/>
      <c r="CC85" s="804"/>
      <c r="CD85" s="804"/>
      <c r="CE85" s="804"/>
      <c r="CF85" s="804"/>
      <c r="CG85" s="804"/>
      <c r="CH85" s="804"/>
      <c r="CI85" s="804"/>
      <c r="CJ85" s="804"/>
      <c r="CK85" s="804"/>
      <c r="CL85" s="804"/>
      <c r="CM85" s="804"/>
      <c r="CN85" s="804"/>
      <c r="CO85" s="804"/>
      <c r="CP85" s="804"/>
      <c r="CQ85" s="804"/>
      <c r="CR85" s="804"/>
      <c r="CS85" s="804"/>
      <c r="CT85" s="804"/>
      <c r="CU85" s="804"/>
      <c r="CV85" s="804"/>
      <c r="CW85" s="804"/>
      <c r="CX85" s="804"/>
      <c r="CY85" s="804"/>
      <c r="CZ85" s="804"/>
      <c r="DA85" s="804"/>
      <c r="DB85" s="804"/>
      <c r="DC85" s="804"/>
      <c r="DD85" s="804"/>
      <c r="DE85" s="804"/>
      <c r="DF85" s="804"/>
    </row>
    <row r="86" spans="1:110">
      <c r="A86" s="804"/>
      <c r="B86" s="804"/>
      <c r="C86" s="804"/>
      <c r="D86" s="804"/>
      <c r="E86" s="804"/>
      <c r="F86" s="804"/>
      <c r="G86" s="804"/>
      <c r="H86" s="804"/>
      <c r="I86" s="804"/>
      <c r="J86" s="804"/>
      <c r="K86" s="804"/>
      <c r="L86" s="804"/>
      <c r="M86" s="804"/>
      <c r="N86" s="804"/>
      <c r="O86" s="804"/>
      <c r="P86" s="804"/>
      <c r="Q86" s="804"/>
      <c r="R86" s="804"/>
      <c r="S86" s="804"/>
      <c r="T86" s="804"/>
      <c r="U86" s="804"/>
      <c r="V86" s="804"/>
      <c r="W86" s="804"/>
      <c r="X86" s="804"/>
      <c r="Y86" s="804"/>
      <c r="Z86" s="804"/>
      <c r="AA86" s="804"/>
      <c r="AB86" s="804"/>
      <c r="AC86" s="804"/>
      <c r="AD86" s="804"/>
      <c r="AE86" s="804"/>
      <c r="AF86" s="804"/>
      <c r="AG86" s="804"/>
      <c r="AH86" s="804"/>
      <c r="AI86" s="804"/>
      <c r="AJ86" s="804"/>
      <c r="AK86" s="804"/>
      <c r="AL86" s="804"/>
      <c r="AM86" s="804"/>
      <c r="AN86" s="804"/>
      <c r="AO86" s="804"/>
      <c r="AP86" s="804"/>
      <c r="AQ86" s="804"/>
      <c r="AR86" s="804"/>
      <c r="AS86" s="804"/>
      <c r="AT86" s="804"/>
      <c r="AU86" s="804"/>
      <c r="AV86" s="804"/>
      <c r="AW86" s="804"/>
      <c r="AX86" s="804"/>
      <c r="AY86" s="804"/>
      <c r="AZ86" s="804"/>
      <c r="BA86" s="804"/>
      <c r="BB86" s="804"/>
      <c r="BC86" s="804"/>
      <c r="BD86" s="804"/>
      <c r="BE86" s="804"/>
      <c r="BF86" s="804"/>
      <c r="BG86" s="804"/>
      <c r="BH86" s="804"/>
      <c r="BI86" s="804"/>
      <c r="BJ86" s="804"/>
      <c r="BK86" s="804"/>
      <c r="BL86" s="804"/>
      <c r="BM86" s="804"/>
      <c r="BN86" s="804"/>
      <c r="BO86" s="804"/>
      <c r="BP86" s="804"/>
      <c r="BQ86" s="804"/>
      <c r="BR86" s="804"/>
      <c r="BS86" s="804"/>
      <c r="BT86" s="804"/>
      <c r="BU86" s="804"/>
      <c r="BV86" s="804"/>
      <c r="BW86" s="804"/>
      <c r="BX86" s="804"/>
      <c r="BY86" s="804"/>
      <c r="BZ86" s="804"/>
      <c r="CA86" s="804"/>
      <c r="CB86" s="804"/>
      <c r="CC86" s="804"/>
      <c r="CD86" s="804"/>
      <c r="CE86" s="804"/>
      <c r="CF86" s="804"/>
      <c r="CG86" s="804"/>
      <c r="CH86" s="804"/>
      <c r="CI86" s="804"/>
      <c r="CJ86" s="804"/>
      <c r="CK86" s="804"/>
      <c r="CL86" s="804"/>
      <c r="CM86" s="804"/>
      <c r="CN86" s="804"/>
      <c r="CO86" s="804"/>
      <c r="CP86" s="804"/>
      <c r="CQ86" s="804"/>
      <c r="CR86" s="804"/>
      <c r="CS86" s="804"/>
      <c r="CT86" s="804"/>
      <c r="CU86" s="804"/>
      <c r="CV86" s="804"/>
      <c r="CW86" s="804"/>
      <c r="CX86" s="804"/>
      <c r="CY86" s="804"/>
      <c r="CZ86" s="804"/>
      <c r="DA86" s="804"/>
      <c r="DB86" s="804"/>
      <c r="DC86" s="804"/>
      <c r="DD86" s="804"/>
      <c r="DE86" s="804"/>
      <c r="DF86" s="804"/>
    </row>
    <row r="87" spans="1:110">
      <c r="A87" s="804"/>
      <c r="B87" s="804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4"/>
      <c r="N87" s="804"/>
      <c r="O87" s="804"/>
      <c r="P87" s="804"/>
      <c r="Q87" s="804"/>
      <c r="R87" s="804"/>
      <c r="S87" s="804"/>
      <c r="T87" s="804"/>
      <c r="U87" s="804"/>
      <c r="V87" s="804"/>
      <c r="W87" s="804"/>
      <c r="X87" s="804"/>
      <c r="Y87" s="804"/>
      <c r="Z87" s="804"/>
      <c r="AA87" s="804"/>
      <c r="AB87" s="804"/>
      <c r="AC87" s="804"/>
      <c r="AD87" s="804"/>
      <c r="AE87" s="804"/>
      <c r="AF87" s="804"/>
      <c r="AG87" s="804"/>
      <c r="AH87" s="804"/>
      <c r="AI87" s="804"/>
      <c r="AJ87" s="804"/>
      <c r="AK87" s="804"/>
      <c r="AL87" s="804"/>
      <c r="AM87" s="804"/>
      <c r="AN87" s="804"/>
      <c r="AO87" s="804"/>
      <c r="AP87" s="804"/>
      <c r="AQ87" s="804"/>
      <c r="AR87" s="804"/>
      <c r="AS87" s="804"/>
      <c r="AT87" s="804"/>
      <c r="AU87" s="804"/>
      <c r="AV87" s="804"/>
      <c r="AW87" s="804"/>
      <c r="AX87" s="804"/>
      <c r="AY87" s="804"/>
      <c r="AZ87" s="804"/>
      <c r="BA87" s="804"/>
      <c r="BB87" s="804"/>
      <c r="BC87" s="804"/>
      <c r="BD87" s="804"/>
      <c r="BE87" s="804"/>
      <c r="BF87" s="804"/>
      <c r="BG87" s="804"/>
      <c r="BH87" s="804"/>
      <c r="BI87" s="804"/>
      <c r="BJ87" s="804"/>
      <c r="BK87" s="804"/>
      <c r="BL87" s="804"/>
      <c r="BM87" s="804"/>
      <c r="BN87" s="804"/>
      <c r="BO87" s="804"/>
      <c r="BP87" s="804"/>
      <c r="BQ87" s="804"/>
      <c r="BR87" s="804"/>
      <c r="BS87" s="804"/>
      <c r="BT87" s="804"/>
      <c r="BU87" s="804"/>
      <c r="BV87" s="804"/>
      <c r="BW87" s="804"/>
      <c r="BX87" s="804"/>
      <c r="BY87" s="804"/>
      <c r="BZ87" s="804"/>
      <c r="CA87" s="804"/>
      <c r="CB87" s="804"/>
      <c r="CC87" s="804"/>
      <c r="CD87" s="804"/>
      <c r="CE87" s="804"/>
      <c r="CF87" s="804"/>
      <c r="CG87" s="804"/>
      <c r="CH87" s="804"/>
      <c r="CI87" s="804"/>
      <c r="CJ87" s="804"/>
      <c r="CK87" s="804"/>
      <c r="CL87" s="804"/>
      <c r="CM87" s="804"/>
      <c r="CN87" s="804"/>
      <c r="CO87" s="804"/>
      <c r="CP87" s="804"/>
      <c r="CQ87" s="804"/>
      <c r="CR87" s="804"/>
      <c r="CS87" s="804"/>
      <c r="CT87" s="804"/>
      <c r="CU87" s="804"/>
      <c r="CV87" s="804"/>
      <c r="CW87" s="804"/>
      <c r="CX87" s="804"/>
      <c r="CY87" s="804"/>
      <c r="CZ87" s="804"/>
      <c r="DA87" s="804"/>
      <c r="DB87" s="804"/>
      <c r="DC87" s="804"/>
      <c r="DD87" s="804"/>
      <c r="DE87" s="804"/>
      <c r="DF87" s="804"/>
    </row>
    <row r="88" spans="1:110">
      <c r="A88" s="804"/>
      <c r="B88" s="804"/>
      <c r="C88" s="804"/>
      <c r="D88" s="804"/>
      <c r="E88" s="804"/>
      <c r="F88" s="804"/>
      <c r="G88" s="804"/>
      <c r="H88" s="804"/>
      <c r="I88" s="804"/>
      <c r="J88" s="804"/>
      <c r="K88" s="804"/>
      <c r="L88" s="804"/>
      <c r="M88" s="804"/>
      <c r="N88" s="804"/>
      <c r="O88" s="804"/>
      <c r="P88" s="804"/>
      <c r="Q88" s="804"/>
      <c r="R88" s="804"/>
      <c r="S88" s="804"/>
      <c r="T88" s="804"/>
      <c r="U88" s="804"/>
      <c r="V88" s="804"/>
      <c r="W88" s="804"/>
      <c r="X88" s="804"/>
      <c r="Y88" s="804"/>
      <c r="Z88" s="804"/>
      <c r="AA88" s="804"/>
      <c r="AB88" s="804"/>
      <c r="AC88" s="804"/>
      <c r="AD88" s="804"/>
      <c r="AE88" s="804"/>
      <c r="AF88" s="804"/>
      <c r="AG88" s="804"/>
      <c r="AH88" s="804"/>
      <c r="AI88" s="804"/>
      <c r="AJ88" s="804"/>
      <c r="AK88" s="804"/>
      <c r="AL88" s="804"/>
      <c r="AM88" s="804"/>
      <c r="AN88" s="804"/>
      <c r="AO88" s="804"/>
      <c r="AP88" s="804"/>
      <c r="AQ88" s="804"/>
      <c r="AR88" s="804"/>
      <c r="AS88" s="804"/>
      <c r="AT88" s="804"/>
      <c r="AU88" s="804"/>
      <c r="AV88" s="804"/>
      <c r="AW88" s="804"/>
      <c r="AX88" s="804"/>
      <c r="AY88" s="804"/>
      <c r="AZ88" s="804"/>
      <c r="BA88" s="804"/>
      <c r="BB88" s="804"/>
      <c r="BC88" s="804"/>
      <c r="BD88" s="804"/>
      <c r="BE88" s="804"/>
      <c r="BF88" s="804"/>
      <c r="BG88" s="804"/>
      <c r="BH88" s="804"/>
      <c r="BI88" s="804"/>
      <c r="BJ88" s="804"/>
      <c r="BK88" s="804"/>
      <c r="BL88" s="804"/>
      <c r="BM88" s="804"/>
      <c r="BN88" s="804"/>
      <c r="BO88" s="804"/>
      <c r="BP88" s="804"/>
      <c r="BQ88" s="804"/>
      <c r="BR88" s="804"/>
      <c r="BS88" s="804"/>
      <c r="BT88" s="804"/>
      <c r="BU88" s="804"/>
      <c r="BV88" s="804"/>
      <c r="BW88" s="804"/>
      <c r="BX88" s="804"/>
      <c r="BY88" s="804"/>
      <c r="BZ88" s="804"/>
      <c r="CA88" s="804"/>
      <c r="CB88" s="804"/>
      <c r="CC88" s="804"/>
      <c r="CD88" s="804"/>
      <c r="CE88" s="804"/>
      <c r="CF88" s="804"/>
      <c r="CG88" s="804"/>
      <c r="CH88" s="804"/>
      <c r="CI88" s="804"/>
      <c r="CJ88" s="804"/>
      <c r="CK88" s="804"/>
      <c r="CL88" s="804"/>
      <c r="CM88" s="804"/>
      <c r="CN88" s="804"/>
      <c r="CO88" s="804"/>
      <c r="CP88" s="804"/>
      <c r="CQ88" s="804"/>
      <c r="CR88" s="804"/>
      <c r="CS88" s="804"/>
      <c r="CT88" s="804"/>
      <c r="CU88" s="804"/>
      <c r="CV88" s="804"/>
      <c r="CW88" s="804"/>
      <c r="CX88" s="804"/>
      <c r="CY88" s="804"/>
      <c r="CZ88" s="804"/>
      <c r="DA88" s="804"/>
      <c r="DB88" s="804"/>
      <c r="DC88" s="804"/>
      <c r="DD88" s="804"/>
      <c r="DE88" s="804"/>
      <c r="DF88" s="804"/>
    </row>
    <row r="89" spans="1:110">
      <c r="A89" s="804"/>
      <c r="B89" s="804"/>
      <c r="C89" s="804"/>
      <c r="D89" s="804"/>
      <c r="E89" s="804"/>
      <c r="F89" s="804"/>
      <c r="G89" s="804"/>
      <c r="H89" s="804"/>
      <c r="I89" s="804"/>
      <c r="J89" s="804"/>
      <c r="K89" s="804"/>
      <c r="L89" s="804"/>
      <c r="M89" s="804"/>
      <c r="N89" s="804"/>
      <c r="O89" s="804"/>
      <c r="P89" s="804"/>
      <c r="Q89" s="804"/>
      <c r="R89" s="804"/>
      <c r="S89" s="804"/>
      <c r="T89" s="804"/>
      <c r="U89" s="804"/>
      <c r="V89" s="804"/>
      <c r="W89" s="804"/>
      <c r="X89" s="804"/>
      <c r="Y89" s="804"/>
      <c r="Z89" s="804"/>
      <c r="AA89" s="804"/>
      <c r="AB89" s="804"/>
      <c r="AC89" s="804"/>
      <c r="AD89" s="804"/>
      <c r="AE89" s="804"/>
      <c r="AF89" s="804"/>
      <c r="AG89" s="804"/>
      <c r="AH89" s="804"/>
      <c r="AI89" s="804"/>
      <c r="AJ89" s="804"/>
      <c r="AK89" s="804"/>
      <c r="AL89" s="804"/>
      <c r="AM89" s="804"/>
      <c r="AN89" s="804"/>
      <c r="AO89" s="804"/>
      <c r="AP89" s="804"/>
      <c r="AQ89" s="804"/>
      <c r="AR89" s="804"/>
      <c r="AS89" s="804"/>
      <c r="AT89" s="804"/>
      <c r="AU89" s="804"/>
      <c r="AV89" s="804"/>
      <c r="AW89" s="804"/>
      <c r="AX89" s="804"/>
      <c r="AY89" s="804"/>
      <c r="AZ89" s="804"/>
      <c r="BA89" s="804"/>
      <c r="BB89" s="804"/>
      <c r="BC89" s="804"/>
      <c r="BD89" s="804"/>
      <c r="BE89" s="804"/>
      <c r="BF89" s="804"/>
      <c r="BG89" s="804"/>
      <c r="BH89" s="804"/>
      <c r="BI89" s="804"/>
      <c r="BJ89" s="804"/>
      <c r="BK89" s="804"/>
      <c r="BL89" s="804"/>
      <c r="BM89" s="804"/>
      <c r="BN89" s="804"/>
      <c r="BO89" s="804"/>
      <c r="BP89" s="804"/>
      <c r="BQ89" s="804"/>
      <c r="BR89" s="804"/>
      <c r="BS89" s="804"/>
      <c r="BT89" s="804"/>
      <c r="BU89" s="804"/>
      <c r="BV89" s="804"/>
      <c r="BW89" s="804"/>
      <c r="BX89" s="804"/>
      <c r="BY89" s="804"/>
      <c r="BZ89" s="804"/>
      <c r="CA89" s="804"/>
      <c r="CB89" s="804"/>
      <c r="CC89" s="804"/>
      <c r="CD89" s="804"/>
      <c r="CE89" s="804"/>
      <c r="CF89" s="804"/>
      <c r="CG89" s="804"/>
      <c r="CH89" s="804"/>
      <c r="CI89" s="804"/>
      <c r="CJ89" s="804"/>
      <c r="CK89" s="804"/>
      <c r="CL89" s="804"/>
      <c r="CM89" s="804"/>
      <c r="CN89" s="804"/>
      <c r="CO89" s="804"/>
      <c r="CP89" s="804"/>
      <c r="CQ89" s="804"/>
      <c r="CR89" s="804"/>
      <c r="CS89" s="804"/>
      <c r="CT89" s="804"/>
      <c r="CU89" s="804"/>
      <c r="CV89" s="804"/>
      <c r="CW89" s="804"/>
      <c r="CX89" s="804"/>
      <c r="CY89" s="804"/>
      <c r="CZ89" s="804"/>
      <c r="DA89" s="804"/>
      <c r="DB89" s="804"/>
      <c r="DC89" s="804"/>
      <c r="DD89" s="804"/>
      <c r="DE89" s="804"/>
      <c r="DF89" s="804"/>
    </row>
    <row r="90" spans="1:110">
      <c r="A90" s="804"/>
      <c r="B90" s="804"/>
      <c r="C90" s="804"/>
      <c r="D90" s="804"/>
      <c r="E90" s="804"/>
      <c r="F90" s="804"/>
      <c r="G90" s="804"/>
      <c r="H90" s="804"/>
      <c r="I90" s="804"/>
      <c r="J90" s="804"/>
      <c r="K90" s="804"/>
      <c r="L90" s="804"/>
      <c r="M90" s="804"/>
      <c r="N90" s="804"/>
      <c r="O90" s="804"/>
      <c r="P90" s="804"/>
      <c r="Q90" s="804"/>
      <c r="R90" s="804"/>
      <c r="S90" s="804"/>
      <c r="T90" s="804"/>
      <c r="U90" s="804"/>
      <c r="V90" s="804"/>
      <c r="W90" s="804"/>
      <c r="X90" s="804"/>
      <c r="Y90" s="804"/>
      <c r="Z90" s="804"/>
      <c r="AA90" s="804"/>
      <c r="AB90" s="804"/>
      <c r="AC90" s="804"/>
      <c r="AD90" s="804"/>
      <c r="AE90" s="804"/>
      <c r="AF90" s="804"/>
      <c r="AG90" s="804"/>
      <c r="AH90" s="804"/>
      <c r="AI90" s="804"/>
      <c r="AJ90" s="804"/>
      <c r="AK90" s="804"/>
      <c r="AL90" s="804"/>
      <c r="AM90" s="804"/>
      <c r="AN90" s="804"/>
      <c r="AO90" s="804"/>
      <c r="AP90" s="804"/>
      <c r="AQ90" s="804"/>
      <c r="AR90" s="804"/>
      <c r="AS90" s="804"/>
      <c r="AT90" s="804"/>
      <c r="AU90" s="804"/>
      <c r="AV90" s="804"/>
      <c r="AW90" s="804"/>
      <c r="AX90" s="804"/>
      <c r="AY90" s="804"/>
      <c r="AZ90" s="804"/>
      <c r="BA90" s="804"/>
      <c r="BB90" s="804"/>
      <c r="BC90" s="804"/>
      <c r="BD90" s="804"/>
      <c r="BE90" s="804"/>
      <c r="BF90" s="804"/>
      <c r="BG90" s="804"/>
      <c r="BH90" s="804"/>
      <c r="BI90" s="804"/>
      <c r="BJ90" s="804"/>
      <c r="BK90" s="804"/>
      <c r="BL90" s="804"/>
      <c r="BM90" s="804"/>
      <c r="BN90" s="804"/>
      <c r="BO90" s="804"/>
      <c r="BP90" s="804"/>
      <c r="BQ90" s="804"/>
      <c r="BR90" s="804"/>
      <c r="BS90" s="804"/>
      <c r="BT90" s="804"/>
      <c r="BU90" s="804"/>
      <c r="BV90" s="804"/>
      <c r="BW90" s="804"/>
      <c r="BX90" s="804"/>
      <c r="BY90" s="804"/>
      <c r="BZ90" s="804"/>
      <c r="CA90" s="804"/>
      <c r="CB90" s="804"/>
      <c r="CC90" s="804"/>
      <c r="CD90" s="804"/>
      <c r="CE90" s="804"/>
      <c r="CF90" s="804"/>
      <c r="CG90" s="804"/>
      <c r="CH90" s="804"/>
      <c r="CI90" s="804"/>
      <c r="CJ90" s="804"/>
      <c r="CK90" s="804"/>
      <c r="CL90" s="804"/>
      <c r="CM90" s="804"/>
      <c r="CN90" s="804"/>
      <c r="CO90" s="804"/>
      <c r="CP90" s="804"/>
      <c r="CQ90" s="804"/>
      <c r="CR90" s="804"/>
      <c r="CS90" s="804"/>
      <c r="CT90" s="804"/>
      <c r="CU90" s="804"/>
      <c r="CV90" s="804"/>
      <c r="CW90" s="804"/>
      <c r="CX90" s="804"/>
      <c r="CY90" s="804"/>
      <c r="CZ90" s="804"/>
      <c r="DA90" s="804"/>
      <c r="DB90" s="804"/>
      <c r="DC90" s="804"/>
      <c r="DD90" s="804"/>
      <c r="DE90" s="804"/>
      <c r="DF90" s="804"/>
    </row>
    <row r="91" spans="1:110">
      <c r="A91" s="804"/>
      <c r="B91" s="804"/>
      <c r="C91" s="804"/>
      <c r="D91" s="804"/>
      <c r="E91" s="804"/>
      <c r="F91" s="804"/>
      <c r="G91" s="804"/>
      <c r="H91" s="804"/>
      <c r="I91" s="804"/>
      <c r="J91" s="804"/>
      <c r="K91" s="804"/>
      <c r="L91" s="804"/>
      <c r="M91" s="804"/>
      <c r="N91" s="804"/>
      <c r="O91" s="804"/>
      <c r="P91" s="804"/>
      <c r="Q91" s="804"/>
      <c r="R91" s="804"/>
      <c r="S91" s="804"/>
      <c r="T91" s="804"/>
      <c r="U91" s="804"/>
      <c r="V91" s="804"/>
      <c r="W91" s="804"/>
      <c r="X91" s="804"/>
      <c r="Y91" s="804"/>
      <c r="Z91" s="804"/>
      <c r="AA91" s="804"/>
      <c r="AB91" s="804"/>
      <c r="AC91" s="804"/>
      <c r="AD91" s="804"/>
      <c r="AE91" s="804"/>
      <c r="AF91" s="804"/>
      <c r="AG91" s="804"/>
      <c r="AH91" s="804"/>
      <c r="AI91" s="804"/>
      <c r="AJ91" s="804"/>
      <c r="AK91" s="804"/>
      <c r="AL91" s="804"/>
      <c r="AM91" s="804"/>
      <c r="AN91" s="804"/>
      <c r="AO91" s="804"/>
      <c r="AP91" s="804"/>
      <c r="AQ91" s="804"/>
      <c r="AR91" s="804"/>
      <c r="AS91" s="804"/>
      <c r="AT91" s="804"/>
      <c r="AU91" s="804"/>
      <c r="AV91" s="804"/>
      <c r="AW91" s="804"/>
      <c r="AX91" s="804"/>
      <c r="AY91" s="804"/>
      <c r="AZ91" s="804"/>
      <c r="BA91" s="804"/>
      <c r="BB91" s="804"/>
      <c r="BC91" s="804"/>
      <c r="BD91" s="804"/>
      <c r="BE91" s="804"/>
      <c r="BF91" s="804"/>
      <c r="BG91" s="804"/>
      <c r="BH91" s="804"/>
      <c r="BI91" s="804"/>
      <c r="BJ91" s="804"/>
      <c r="BK91" s="804"/>
      <c r="BL91" s="804"/>
      <c r="BM91" s="804"/>
      <c r="BN91" s="804"/>
      <c r="BO91" s="804"/>
      <c r="BP91" s="804"/>
      <c r="BQ91" s="804"/>
      <c r="BR91" s="804"/>
      <c r="BS91" s="804"/>
      <c r="BT91" s="804"/>
      <c r="BU91" s="804"/>
      <c r="BV91" s="804"/>
      <c r="BW91" s="804"/>
      <c r="BX91" s="804"/>
      <c r="BY91" s="804"/>
      <c r="BZ91" s="804"/>
      <c r="CA91" s="804"/>
      <c r="CB91" s="804"/>
      <c r="CC91" s="804"/>
      <c r="CD91" s="804"/>
      <c r="CE91" s="804"/>
      <c r="CF91" s="804"/>
      <c r="CG91" s="804"/>
      <c r="CH91" s="804"/>
      <c r="CI91" s="804"/>
      <c r="CJ91" s="804"/>
      <c r="CK91" s="804"/>
      <c r="CL91" s="804"/>
      <c r="CM91" s="804"/>
      <c r="CN91" s="804"/>
      <c r="CO91" s="804"/>
      <c r="CP91" s="804"/>
      <c r="CQ91" s="804"/>
      <c r="CR91" s="804"/>
      <c r="CS91" s="804"/>
      <c r="CT91" s="804"/>
      <c r="CU91" s="804"/>
      <c r="CV91" s="804"/>
      <c r="CW91" s="804"/>
      <c r="CX91" s="804"/>
      <c r="CY91" s="804"/>
      <c r="CZ91" s="804"/>
      <c r="DA91" s="804"/>
      <c r="DB91" s="804"/>
      <c r="DC91" s="804"/>
      <c r="DD91" s="804"/>
      <c r="DE91" s="804"/>
      <c r="DF91" s="804"/>
    </row>
    <row r="92" spans="1:110">
      <c r="A92" s="804"/>
      <c r="B92" s="804"/>
      <c r="C92" s="804"/>
      <c r="D92" s="804"/>
      <c r="E92" s="804"/>
      <c r="F92" s="804"/>
      <c r="G92" s="804"/>
      <c r="H92" s="804"/>
      <c r="I92" s="804"/>
      <c r="J92" s="804"/>
      <c r="K92" s="804"/>
      <c r="L92" s="804"/>
      <c r="M92" s="804"/>
      <c r="N92" s="804"/>
      <c r="O92" s="804"/>
      <c r="P92" s="804"/>
      <c r="Q92" s="804"/>
      <c r="R92" s="804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4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4"/>
      <c r="BK92" s="804"/>
      <c r="BL92" s="804"/>
      <c r="BM92" s="804"/>
      <c r="BN92" s="804"/>
      <c r="BO92" s="804"/>
      <c r="BP92" s="804"/>
      <c r="BQ92" s="804"/>
      <c r="BR92" s="804"/>
      <c r="BS92" s="804"/>
      <c r="BT92" s="804"/>
      <c r="BU92" s="804"/>
      <c r="BV92" s="804"/>
      <c r="BW92" s="804"/>
      <c r="BX92" s="804"/>
      <c r="BY92" s="804"/>
      <c r="BZ92" s="804"/>
      <c r="CA92" s="804"/>
      <c r="CB92" s="804"/>
      <c r="CC92" s="804"/>
      <c r="CD92" s="804"/>
      <c r="CE92" s="804"/>
      <c r="CF92" s="804"/>
      <c r="CG92" s="804"/>
      <c r="CH92" s="804"/>
      <c r="CI92" s="804"/>
      <c r="CJ92" s="804"/>
      <c r="CK92" s="804"/>
      <c r="CL92" s="804"/>
      <c r="CM92" s="804"/>
      <c r="CN92" s="804"/>
      <c r="CO92" s="804"/>
      <c r="CP92" s="804"/>
      <c r="CQ92" s="804"/>
      <c r="CR92" s="804"/>
      <c r="CS92" s="804"/>
      <c r="CT92" s="804"/>
      <c r="CU92" s="804"/>
      <c r="CV92" s="804"/>
      <c r="CW92" s="804"/>
      <c r="CX92" s="804"/>
      <c r="CY92" s="804"/>
      <c r="CZ92" s="804"/>
      <c r="DA92" s="804"/>
      <c r="DB92" s="804"/>
      <c r="DC92" s="804"/>
      <c r="DD92" s="804"/>
      <c r="DE92" s="804"/>
      <c r="DF92" s="804"/>
    </row>
    <row r="93" spans="1:110">
      <c r="A93" s="804"/>
      <c r="B93" s="804"/>
      <c r="C93" s="804"/>
      <c r="D93" s="804"/>
      <c r="E93" s="804"/>
      <c r="F93" s="804"/>
      <c r="G93" s="804"/>
      <c r="H93" s="804"/>
      <c r="I93" s="804"/>
      <c r="J93" s="804"/>
      <c r="K93" s="804"/>
      <c r="L93" s="804"/>
      <c r="M93" s="804"/>
      <c r="N93" s="804"/>
      <c r="O93" s="804"/>
      <c r="P93" s="804"/>
      <c r="Q93" s="804"/>
      <c r="R93" s="804"/>
      <c r="S93" s="804"/>
      <c r="T93" s="804"/>
      <c r="U93" s="804"/>
      <c r="V93" s="804"/>
      <c r="W93" s="804"/>
      <c r="X93" s="804"/>
      <c r="Y93" s="804"/>
      <c r="Z93" s="804"/>
      <c r="AA93" s="804"/>
      <c r="AB93" s="804"/>
      <c r="AC93" s="804"/>
      <c r="AD93" s="804"/>
      <c r="AE93" s="804"/>
      <c r="AF93" s="804"/>
      <c r="AG93" s="804"/>
      <c r="AH93" s="804"/>
      <c r="AI93" s="804"/>
      <c r="AJ93" s="804"/>
      <c r="AK93" s="804"/>
      <c r="AL93" s="804"/>
      <c r="AM93" s="804"/>
      <c r="AN93" s="804"/>
      <c r="AO93" s="804"/>
      <c r="AP93" s="804"/>
      <c r="AQ93" s="804"/>
      <c r="AR93" s="804"/>
      <c r="AS93" s="804"/>
      <c r="AT93" s="804"/>
      <c r="AU93" s="804"/>
      <c r="AV93" s="804"/>
      <c r="AW93" s="804"/>
      <c r="AX93" s="804"/>
      <c r="AY93" s="804"/>
      <c r="AZ93" s="804"/>
      <c r="BA93" s="804"/>
      <c r="BB93" s="804"/>
      <c r="BC93" s="804"/>
      <c r="BD93" s="804"/>
      <c r="BE93" s="804"/>
      <c r="BF93" s="804"/>
      <c r="BG93" s="804"/>
      <c r="BH93" s="804"/>
      <c r="BI93" s="804"/>
      <c r="BJ93" s="804"/>
      <c r="BK93" s="804"/>
      <c r="BL93" s="804"/>
      <c r="BM93" s="804"/>
      <c r="BN93" s="804"/>
      <c r="BO93" s="804"/>
      <c r="BP93" s="804"/>
      <c r="BQ93" s="804"/>
      <c r="BR93" s="804"/>
      <c r="BS93" s="804"/>
      <c r="BT93" s="804"/>
      <c r="BU93" s="804"/>
      <c r="BV93" s="804"/>
      <c r="BW93" s="804"/>
      <c r="BX93" s="804"/>
      <c r="BY93" s="804"/>
      <c r="BZ93" s="804"/>
      <c r="CA93" s="804"/>
      <c r="CB93" s="804"/>
      <c r="CC93" s="804"/>
      <c r="CD93" s="804"/>
      <c r="CE93" s="804"/>
      <c r="CF93" s="804"/>
      <c r="CG93" s="804"/>
      <c r="CH93" s="804"/>
      <c r="CI93" s="804"/>
      <c r="CJ93" s="804"/>
      <c r="CK93" s="804"/>
      <c r="CL93" s="804"/>
      <c r="CM93" s="804"/>
      <c r="CN93" s="804"/>
      <c r="CO93" s="804"/>
      <c r="CP93" s="804"/>
      <c r="CQ93" s="804"/>
      <c r="CR93" s="804"/>
      <c r="CS93" s="804"/>
      <c r="CT93" s="804"/>
      <c r="CU93" s="804"/>
      <c r="CV93" s="804"/>
      <c r="CW93" s="804"/>
      <c r="CX93" s="804"/>
      <c r="CY93" s="804"/>
      <c r="CZ93" s="804"/>
      <c r="DA93" s="804"/>
      <c r="DB93" s="804"/>
      <c r="DC93" s="804"/>
      <c r="DD93" s="804"/>
      <c r="DE93" s="804"/>
      <c r="DF93" s="804"/>
    </row>
    <row r="94" spans="1:110">
      <c r="A94" s="804"/>
      <c r="B94" s="804"/>
      <c r="C94" s="804"/>
      <c r="D94" s="804"/>
      <c r="E94" s="804"/>
      <c r="F94" s="804"/>
      <c r="G94" s="804"/>
      <c r="H94" s="804"/>
      <c r="I94" s="804"/>
      <c r="J94" s="804"/>
      <c r="K94" s="804"/>
      <c r="L94" s="804"/>
      <c r="M94" s="804"/>
      <c r="N94" s="804"/>
      <c r="O94" s="804"/>
      <c r="P94" s="804"/>
      <c r="Q94" s="804"/>
      <c r="R94" s="804"/>
      <c r="S94" s="804"/>
      <c r="T94" s="804"/>
      <c r="U94" s="804"/>
      <c r="V94" s="804"/>
      <c r="W94" s="804"/>
      <c r="X94" s="804"/>
      <c r="Y94" s="804"/>
      <c r="Z94" s="804"/>
      <c r="AA94" s="804"/>
      <c r="AB94" s="804"/>
      <c r="AC94" s="804"/>
      <c r="AD94" s="804"/>
      <c r="AE94" s="804"/>
      <c r="AF94" s="804"/>
      <c r="AG94" s="804"/>
      <c r="AH94" s="804"/>
      <c r="AI94" s="804"/>
      <c r="AJ94" s="804"/>
      <c r="AK94" s="804"/>
      <c r="AL94" s="804"/>
      <c r="AM94" s="804"/>
      <c r="AN94" s="804"/>
      <c r="AO94" s="804"/>
      <c r="AP94" s="804"/>
      <c r="AQ94" s="804"/>
      <c r="AR94" s="804"/>
      <c r="AS94" s="804"/>
      <c r="AT94" s="804"/>
      <c r="AU94" s="804"/>
      <c r="AV94" s="804"/>
      <c r="AW94" s="804"/>
      <c r="AX94" s="804"/>
      <c r="AY94" s="804"/>
      <c r="AZ94" s="804"/>
      <c r="BA94" s="804"/>
      <c r="BB94" s="804"/>
      <c r="BC94" s="804"/>
      <c r="BD94" s="804"/>
      <c r="BE94" s="804"/>
      <c r="BF94" s="804"/>
      <c r="BG94" s="804"/>
      <c r="BH94" s="804"/>
      <c r="BI94" s="804"/>
      <c r="BJ94" s="804"/>
      <c r="BK94" s="804"/>
      <c r="BL94" s="804"/>
      <c r="BM94" s="804"/>
      <c r="BN94" s="804"/>
      <c r="BO94" s="804"/>
      <c r="BP94" s="804"/>
      <c r="BQ94" s="804"/>
      <c r="BR94" s="804"/>
      <c r="BS94" s="804"/>
      <c r="BT94" s="804"/>
      <c r="BU94" s="804"/>
      <c r="BV94" s="804"/>
      <c r="BW94" s="804"/>
      <c r="BX94" s="804"/>
      <c r="BY94" s="804"/>
      <c r="BZ94" s="804"/>
      <c r="CA94" s="804"/>
      <c r="CB94" s="804"/>
      <c r="CC94" s="804"/>
      <c r="CD94" s="804"/>
      <c r="CE94" s="804"/>
      <c r="CF94" s="804"/>
      <c r="CG94" s="804"/>
      <c r="CH94" s="804"/>
      <c r="CI94" s="804"/>
      <c r="CJ94" s="804"/>
      <c r="CK94" s="804"/>
      <c r="CL94" s="804"/>
      <c r="CM94" s="804"/>
      <c r="CN94" s="804"/>
      <c r="CO94" s="804"/>
      <c r="CP94" s="804"/>
      <c r="CQ94" s="804"/>
      <c r="CR94" s="804"/>
      <c r="CS94" s="804"/>
      <c r="CT94" s="804"/>
      <c r="CU94" s="804"/>
      <c r="CV94" s="804"/>
      <c r="CW94" s="804"/>
      <c r="CX94" s="804"/>
      <c r="CY94" s="804"/>
      <c r="CZ94" s="804"/>
      <c r="DA94" s="804"/>
      <c r="DB94" s="804"/>
      <c r="DC94" s="804"/>
      <c r="DD94" s="804"/>
      <c r="DE94" s="804"/>
      <c r="DF94" s="804"/>
    </row>
    <row r="95" spans="1:110">
      <c r="A95" s="804"/>
      <c r="B95" s="804"/>
      <c r="C95" s="804"/>
      <c r="D95" s="804"/>
      <c r="E95" s="804"/>
      <c r="F95" s="804"/>
      <c r="G95" s="804"/>
      <c r="H95" s="804"/>
      <c r="I95" s="804"/>
      <c r="J95" s="804"/>
      <c r="K95" s="804"/>
      <c r="L95" s="804"/>
      <c r="M95" s="804"/>
      <c r="N95" s="804"/>
      <c r="O95" s="804"/>
      <c r="P95" s="804"/>
      <c r="Q95" s="804"/>
      <c r="R95" s="804"/>
      <c r="S95" s="804"/>
      <c r="T95" s="804"/>
      <c r="U95" s="804"/>
      <c r="V95" s="804"/>
      <c r="W95" s="804"/>
      <c r="X95" s="804"/>
      <c r="Y95" s="804"/>
      <c r="Z95" s="804"/>
      <c r="AA95" s="804"/>
      <c r="AB95" s="804"/>
      <c r="AC95" s="804"/>
      <c r="AD95" s="804"/>
      <c r="AE95" s="804"/>
      <c r="AF95" s="804"/>
      <c r="AG95" s="804"/>
      <c r="AH95" s="804"/>
      <c r="AI95" s="804"/>
      <c r="AJ95" s="804"/>
      <c r="AK95" s="804"/>
      <c r="AL95" s="804"/>
      <c r="AM95" s="804"/>
      <c r="AN95" s="804"/>
      <c r="AO95" s="804"/>
      <c r="AP95" s="804"/>
      <c r="AQ95" s="804"/>
      <c r="AR95" s="804"/>
      <c r="AS95" s="804"/>
      <c r="AT95" s="804"/>
      <c r="AU95" s="804"/>
      <c r="AV95" s="804"/>
      <c r="AW95" s="804"/>
      <c r="AX95" s="804"/>
      <c r="AY95" s="804"/>
      <c r="AZ95" s="804"/>
      <c r="BA95" s="804"/>
      <c r="BB95" s="804"/>
      <c r="BC95" s="804"/>
      <c r="BD95" s="804"/>
      <c r="BE95" s="804"/>
      <c r="BF95" s="804"/>
      <c r="BG95" s="804"/>
      <c r="BH95" s="804"/>
      <c r="BI95" s="804"/>
      <c r="BJ95" s="804"/>
      <c r="BK95" s="804"/>
      <c r="BL95" s="804"/>
      <c r="BM95" s="804"/>
      <c r="BN95" s="804"/>
      <c r="BO95" s="804"/>
      <c r="BP95" s="804"/>
      <c r="BQ95" s="804"/>
      <c r="BR95" s="804"/>
      <c r="BS95" s="804"/>
      <c r="BT95" s="804"/>
      <c r="BU95" s="804"/>
      <c r="BV95" s="804"/>
      <c r="BW95" s="804"/>
      <c r="BX95" s="804"/>
      <c r="BY95" s="804"/>
      <c r="BZ95" s="804"/>
      <c r="CA95" s="804"/>
      <c r="CB95" s="804"/>
      <c r="CC95" s="804"/>
      <c r="CD95" s="804"/>
      <c r="CE95" s="804"/>
      <c r="CF95" s="804"/>
      <c r="CG95" s="804"/>
      <c r="CH95" s="804"/>
      <c r="CI95" s="804"/>
      <c r="CJ95" s="804"/>
      <c r="CK95" s="804"/>
      <c r="CL95" s="804"/>
      <c r="CM95" s="804"/>
      <c r="CN95" s="804"/>
      <c r="CO95" s="804"/>
      <c r="CP95" s="804"/>
      <c r="CQ95" s="804"/>
      <c r="CR95" s="804"/>
      <c r="CS95" s="804"/>
      <c r="CT95" s="804"/>
      <c r="CU95" s="804"/>
      <c r="CV95" s="804"/>
      <c r="CW95" s="804"/>
      <c r="CX95" s="804"/>
      <c r="CY95" s="804"/>
      <c r="CZ95" s="804"/>
      <c r="DA95" s="804"/>
      <c r="DB95" s="804"/>
      <c r="DC95" s="804"/>
      <c r="DD95" s="804"/>
      <c r="DE95" s="804"/>
      <c r="DF95" s="804"/>
    </row>
    <row r="96" spans="1:110">
      <c r="A96" s="804"/>
      <c r="B96" s="804"/>
      <c r="C96" s="804"/>
      <c r="D96" s="804"/>
      <c r="E96" s="804"/>
      <c r="F96" s="804"/>
      <c r="G96" s="804"/>
      <c r="H96" s="804"/>
      <c r="I96" s="804"/>
      <c r="J96" s="804"/>
      <c r="K96" s="804"/>
      <c r="L96" s="804"/>
      <c r="M96" s="804"/>
      <c r="N96" s="804"/>
      <c r="O96" s="804"/>
      <c r="P96" s="804"/>
      <c r="Q96" s="804"/>
      <c r="R96" s="804"/>
      <c r="S96" s="804"/>
      <c r="T96" s="804"/>
      <c r="U96" s="804"/>
      <c r="V96" s="804"/>
      <c r="W96" s="804"/>
      <c r="X96" s="804"/>
      <c r="Y96" s="804"/>
      <c r="Z96" s="804"/>
      <c r="AA96" s="804"/>
      <c r="AB96" s="804"/>
      <c r="AC96" s="804"/>
      <c r="AD96" s="804"/>
      <c r="AE96" s="804"/>
      <c r="AF96" s="804"/>
      <c r="AG96" s="804"/>
      <c r="AH96" s="804"/>
      <c r="AI96" s="804"/>
      <c r="AJ96" s="804"/>
      <c r="AK96" s="804"/>
      <c r="AL96" s="804"/>
      <c r="AM96" s="804"/>
      <c r="AN96" s="804"/>
      <c r="AO96" s="804"/>
      <c r="AP96" s="804"/>
      <c r="AQ96" s="804"/>
      <c r="AR96" s="804"/>
      <c r="AS96" s="804"/>
      <c r="AT96" s="804"/>
      <c r="AU96" s="804"/>
      <c r="AV96" s="804"/>
      <c r="AW96" s="804"/>
      <c r="AX96" s="804"/>
      <c r="AY96" s="804"/>
      <c r="AZ96" s="804"/>
      <c r="BA96" s="804"/>
      <c r="BB96" s="804"/>
      <c r="BC96" s="804"/>
      <c r="BD96" s="804"/>
      <c r="BE96" s="804"/>
      <c r="BF96" s="804"/>
      <c r="BG96" s="804"/>
      <c r="BH96" s="804"/>
      <c r="BI96" s="804"/>
      <c r="BJ96" s="804"/>
      <c r="BK96" s="804"/>
      <c r="BL96" s="804"/>
      <c r="BM96" s="804"/>
      <c r="BN96" s="804"/>
      <c r="BO96" s="804"/>
      <c r="BP96" s="804"/>
      <c r="BQ96" s="804"/>
      <c r="BR96" s="804"/>
      <c r="BS96" s="804"/>
      <c r="BT96" s="804"/>
      <c r="BU96" s="804"/>
      <c r="BV96" s="804"/>
      <c r="BW96" s="804"/>
      <c r="BX96" s="804"/>
      <c r="BY96" s="804"/>
      <c r="BZ96" s="804"/>
      <c r="CA96" s="804"/>
      <c r="CB96" s="804"/>
      <c r="CC96" s="804"/>
      <c r="CD96" s="804"/>
      <c r="CE96" s="804"/>
      <c r="CF96" s="804"/>
      <c r="CG96" s="804"/>
      <c r="CH96" s="804"/>
      <c r="CI96" s="804"/>
      <c r="CJ96" s="804"/>
      <c r="CK96" s="804"/>
      <c r="CL96" s="804"/>
      <c r="CM96" s="804"/>
      <c r="CN96" s="804"/>
      <c r="CO96" s="804"/>
      <c r="CP96" s="804"/>
      <c r="CQ96" s="804"/>
      <c r="CR96" s="804"/>
      <c r="CS96" s="804"/>
      <c r="CT96" s="804"/>
      <c r="CU96" s="804"/>
      <c r="CV96" s="804"/>
      <c r="CW96" s="804"/>
      <c r="CX96" s="804"/>
      <c r="CY96" s="804"/>
      <c r="CZ96" s="804"/>
      <c r="DA96" s="804"/>
      <c r="DB96" s="804"/>
      <c r="DC96" s="804"/>
      <c r="DD96" s="804"/>
      <c r="DE96" s="804"/>
      <c r="DF96" s="804"/>
    </row>
    <row r="97" spans="1:110">
      <c r="A97" s="804"/>
      <c r="B97" s="804"/>
      <c r="C97" s="804"/>
      <c r="D97" s="804"/>
      <c r="E97" s="804"/>
      <c r="F97" s="804"/>
      <c r="G97" s="804"/>
      <c r="H97" s="804"/>
      <c r="I97" s="804"/>
      <c r="J97" s="804"/>
      <c r="K97" s="804"/>
      <c r="L97" s="804"/>
      <c r="M97" s="804"/>
      <c r="N97" s="804"/>
      <c r="O97" s="804"/>
      <c r="P97" s="804"/>
      <c r="Q97" s="804"/>
      <c r="R97" s="804"/>
      <c r="S97" s="804"/>
      <c r="T97" s="804"/>
      <c r="U97" s="804"/>
      <c r="V97" s="804"/>
      <c r="W97" s="804"/>
      <c r="X97" s="804"/>
      <c r="Y97" s="804"/>
      <c r="Z97" s="804"/>
      <c r="AA97" s="804"/>
      <c r="AB97" s="804"/>
      <c r="AC97" s="804"/>
      <c r="AD97" s="804"/>
      <c r="AE97" s="804"/>
      <c r="AF97" s="804"/>
      <c r="AG97" s="804"/>
      <c r="AH97" s="804"/>
      <c r="AI97" s="804"/>
      <c r="AJ97" s="804"/>
      <c r="AK97" s="804"/>
      <c r="AL97" s="804"/>
      <c r="AM97" s="804"/>
      <c r="AN97" s="804"/>
      <c r="AO97" s="804"/>
      <c r="AP97" s="804"/>
      <c r="AQ97" s="804"/>
      <c r="AR97" s="804"/>
      <c r="AS97" s="804"/>
      <c r="AT97" s="804"/>
      <c r="AU97" s="804"/>
      <c r="AV97" s="804"/>
      <c r="AW97" s="804"/>
      <c r="AX97" s="804"/>
      <c r="AY97" s="804"/>
      <c r="AZ97" s="804"/>
      <c r="BA97" s="804"/>
      <c r="BB97" s="804"/>
      <c r="BC97" s="804"/>
      <c r="BD97" s="804"/>
      <c r="BE97" s="804"/>
      <c r="BF97" s="804"/>
      <c r="BG97" s="804"/>
      <c r="BH97" s="804"/>
      <c r="BI97" s="804"/>
      <c r="BJ97" s="804"/>
      <c r="BK97" s="804"/>
      <c r="BL97" s="804"/>
      <c r="BM97" s="804"/>
      <c r="BN97" s="804"/>
      <c r="BO97" s="804"/>
      <c r="BP97" s="804"/>
      <c r="BQ97" s="804"/>
      <c r="BR97" s="804"/>
      <c r="BS97" s="804"/>
      <c r="BT97" s="804"/>
      <c r="BU97" s="804"/>
      <c r="BV97" s="804"/>
      <c r="BW97" s="804"/>
      <c r="BX97" s="804"/>
      <c r="BY97" s="804"/>
      <c r="BZ97" s="804"/>
      <c r="CA97" s="804"/>
      <c r="CB97" s="804"/>
      <c r="CC97" s="804"/>
      <c r="CD97" s="804"/>
      <c r="CE97" s="804"/>
      <c r="CF97" s="804"/>
      <c r="CG97" s="804"/>
      <c r="CH97" s="804"/>
      <c r="CI97" s="804"/>
      <c r="CJ97" s="804"/>
      <c r="CK97" s="804"/>
      <c r="CL97" s="804"/>
      <c r="CM97" s="804"/>
      <c r="CN97" s="804"/>
      <c r="CO97" s="804"/>
      <c r="CP97" s="804"/>
      <c r="CQ97" s="804"/>
      <c r="CR97" s="804"/>
      <c r="CS97" s="804"/>
      <c r="CT97" s="804"/>
      <c r="CU97" s="804"/>
      <c r="CV97" s="804"/>
      <c r="CW97" s="804"/>
      <c r="CX97" s="804"/>
      <c r="CY97" s="804"/>
      <c r="CZ97" s="804"/>
      <c r="DA97" s="804"/>
      <c r="DB97" s="804"/>
      <c r="DC97" s="804"/>
      <c r="DD97" s="804"/>
      <c r="DE97" s="804"/>
      <c r="DF97" s="804"/>
    </row>
    <row r="98" spans="1:110">
      <c r="A98" s="804"/>
      <c r="B98" s="804"/>
      <c r="C98" s="804"/>
      <c r="D98" s="804"/>
      <c r="E98" s="804"/>
      <c r="F98" s="804"/>
      <c r="G98" s="804"/>
      <c r="H98" s="804"/>
      <c r="I98" s="804"/>
      <c r="J98" s="804"/>
      <c r="K98" s="804"/>
      <c r="L98" s="804"/>
      <c r="M98" s="804"/>
      <c r="N98" s="804"/>
      <c r="O98" s="804"/>
      <c r="P98" s="804"/>
      <c r="Q98" s="804"/>
      <c r="R98" s="804"/>
      <c r="S98" s="804"/>
      <c r="T98" s="804"/>
      <c r="U98" s="804"/>
      <c r="V98" s="804"/>
      <c r="W98" s="804"/>
      <c r="X98" s="804"/>
      <c r="Y98" s="804"/>
      <c r="Z98" s="804"/>
      <c r="AA98" s="804"/>
      <c r="AB98" s="804"/>
      <c r="AC98" s="804"/>
      <c r="AD98" s="804"/>
      <c r="AE98" s="804"/>
      <c r="AF98" s="804"/>
      <c r="AG98" s="804"/>
      <c r="AH98" s="804"/>
      <c r="AI98" s="804"/>
      <c r="AJ98" s="804"/>
      <c r="AK98" s="804"/>
      <c r="AL98" s="804"/>
      <c r="AM98" s="804"/>
      <c r="AN98" s="804"/>
      <c r="AO98" s="804"/>
      <c r="AP98" s="804"/>
      <c r="AQ98" s="804"/>
      <c r="AR98" s="804"/>
      <c r="AS98" s="804"/>
      <c r="AT98" s="804"/>
      <c r="AU98" s="804"/>
      <c r="AV98" s="804"/>
      <c r="AW98" s="804"/>
      <c r="AX98" s="804"/>
      <c r="AY98" s="804"/>
      <c r="AZ98" s="804"/>
      <c r="BA98" s="804"/>
      <c r="BB98" s="804"/>
      <c r="BC98" s="804"/>
      <c r="BD98" s="804"/>
      <c r="BE98" s="804"/>
      <c r="BF98" s="804"/>
      <c r="BG98" s="804"/>
      <c r="BH98" s="804"/>
      <c r="BI98" s="804"/>
      <c r="BJ98" s="804"/>
      <c r="BK98" s="804"/>
      <c r="BL98" s="804"/>
      <c r="BM98" s="804"/>
      <c r="BN98" s="804"/>
      <c r="BO98" s="804"/>
      <c r="BP98" s="804"/>
      <c r="BQ98" s="804"/>
      <c r="BR98" s="804"/>
      <c r="BS98" s="804"/>
      <c r="BT98" s="804"/>
      <c r="BU98" s="804"/>
      <c r="BV98" s="804"/>
      <c r="BW98" s="804"/>
      <c r="BX98" s="804"/>
      <c r="BY98" s="804"/>
      <c r="BZ98" s="804"/>
      <c r="CA98" s="804"/>
      <c r="CB98" s="804"/>
      <c r="CC98" s="804"/>
      <c r="CD98" s="804"/>
      <c r="CE98" s="804"/>
      <c r="CF98" s="804"/>
      <c r="CG98" s="804"/>
      <c r="CH98" s="804"/>
      <c r="CI98" s="804"/>
      <c r="CJ98" s="804"/>
      <c r="CK98" s="804"/>
      <c r="CL98" s="804"/>
      <c r="CM98" s="804"/>
      <c r="CN98" s="804"/>
      <c r="CO98" s="804"/>
      <c r="CP98" s="804"/>
      <c r="CQ98" s="804"/>
      <c r="CR98" s="804"/>
      <c r="CS98" s="804"/>
      <c r="CT98" s="804"/>
      <c r="CU98" s="804"/>
      <c r="CV98" s="804"/>
      <c r="CW98" s="804"/>
      <c r="CX98" s="804"/>
      <c r="CY98" s="804"/>
      <c r="CZ98" s="804"/>
      <c r="DA98" s="804"/>
      <c r="DB98" s="804"/>
      <c r="DC98" s="804"/>
      <c r="DD98" s="804"/>
      <c r="DE98" s="804"/>
      <c r="DF98" s="804"/>
    </row>
    <row r="99" spans="1:110">
      <c r="A99" s="804"/>
      <c r="B99" s="804"/>
      <c r="C99" s="804"/>
      <c r="D99" s="804"/>
      <c r="E99" s="804"/>
      <c r="F99" s="804"/>
      <c r="G99" s="804"/>
      <c r="H99" s="804"/>
      <c r="I99" s="804"/>
      <c r="J99" s="804"/>
      <c r="K99" s="804"/>
      <c r="L99" s="804"/>
      <c r="M99" s="804"/>
      <c r="N99" s="804"/>
      <c r="O99" s="804"/>
      <c r="P99" s="804"/>
      <c r="Q99" s="804"/>
      <c r="R99" s="804"/>
      <c r="S99" s="804"/>
      <c r="T99" s="804"/>
      <c r="U99" s="804"/>
      <c r="V99" s="804"/>
      <c r="W99" s="804"/>
      <c r="X99" s="804"/>
      <c r="Y99" s="804"/>
      <c r="Z99" s="804"/>
      <c r="AA99" s="804"/>
      <c r="AB99" s="804"/>
      <c r="AC99" s="804"/>
      <c r="AD99" s="804"/>
      <c r="AE99" s="804"/>
      <c r="AF99" s="804"/>
      <c r="AG99" s="804"/>
      <c r="AH99" s="804"/>
      <c r="AI99" s="804"/>
      <c r="AJ99" s="804"/>
      <c r="AK99" s="804"/>
      <c r="AL99" s="804"/>
      <c r="AM99" s="804"/>
      <c r="AN99" s="804"/>
      <c r="AO99" s="804"/>
      <c r="AP99" s="804"/>
      <c r="AQ99" s="804"/>
      <c r="AR99" s="804"/>
      <c r="AS99" s="804"/>
      <c r="AT99" s="804"/>
      <c r="AU99" s="804"/>
      <c r="AV99" s="804"/>
      <c r="AW99" s="804"/>
      <c r="AX99" s="804"/>
      <c r="AY99" s="804"/>
      <c r="AZ99" s="804"/>
      <c r="BA99" s="804"/>
      <c r="BB99" s="804"/>
      <c r="BC99" s="804"/>
      <c r="BD99" s="804"/>
      <c r="BE99" s="804"/>
      <c r="BF99" s="804"/>
      <c r="BG99" s="804"/>
      <c r="BH99" s="804"/>
      <c r="BI99" s="804"/>
      <c r="BJ99" s="804"/>
      <c r="BK99" s="804"/>
      <c r="BL99" s="804"/>
      <c r="BM99" s="804"/>
      <c r="BN99" s="804"/>
      <c r="BO99" s="804"/>
      <c r="BP99" s="804"/>
      <c r="BQ99" s="804"/>
      <c r="BR99" s="804"/>
      <c r="BS99" s="804"/>
      <c r="BT99" s="804"/>
      <c r="BU99" s="804"/>
      <c r="BV99" s="804"/>
      <c r="BW99" s="804"/>
      <c r="BX99" s="804"/>
      <c r="BY99" s="804"/>
      <c r="BZ99" s="804"/>
      <c r="CA99" s="804"/>
      <c r="CB99" s="804"/>
      <c r="CC99" s="804"/>
      <c r="CD99" s="804"/>
      <c r="CE99" s="804"/>
      <c r="CF99" s="804"/>
      <c r="CG99" s="804"/>
      <c r="CH99" s="804"/>
      <c r="CI99" s="804"/>
      <c r="CJ99" s="804"/>
      <c r="CK99" s="804"/>
      <c r="CL99" s="804"/>
      <c r="CM99" s="804"/>
      <c r="CN99" s="804"/>
      <c r="CO99" s="804"/>
      <c r="CP99" s="804"/>
      <c r="CQ99" s="804"/>
      <c r="CR99" s="804"/>
      <c r="CS99" s="804"/>
      <c r="CT99" s="804"/>
      <c r="CU99" s="804"/>
      <c r="CV99" s="804"/>
      <c r="CW99" s="804"/>
      <c r="CX99" s="804"/>
      <c r="CY99" s="804"/>
      <c r="CZ99" s="804"/>
      <c r="DA99" s="804"/>
      <c r="DB99" s="804"/>
      <c r="DC99" s="804"/>
      <c r="DD99" s="804"/>
      <c r="DE99" s="804"/>
      <c r="DF99" s="804"/>
    </row>
    <row r="100" spans="1:110">
      <c r="A100" s="804"/>
      <c r="B100" s="804"/>
      <c r="C100" s="804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804"/>
      <c r="AL100" s="804"/>
      <c r="AM100" s="804"/>
      <c r="AN100" s="804"/>
      <c r="AO100" s="804"/>
      <c r="AP100" s="804"/>
      <c r="AQ100" s="804"/>
      <c r="AR100" s="804"/>
      <c r="AS100" s="804"/>
      <c r="AT100" s="804"/>
      <c r="AU100" s="804"/>
      <c r="AV100" s="804"/>
      <c r="AW100" s="804"/>
      <c r="AX100" s="804"/>
      <c r="AY100" s="804"/>
      <c r="AZ100" s="804"/>
      <c r="BA100" s="804"/>
      <c r="BB100" s="804"/>
      <c r="BC100" s="804"/>
      <c r="BD100" s="804"/>
      <c r="BE100" s="804"/>
      <c r="BF100" s="804"/>
      <c r="BG100" s="804"/>
      <c r="BH100" s="804"/>
      <c r="BI100" s="804"/>
      <c r="BJ100" s="804"/>
      <c r="BK100" s="804"/>
      <c r="BL100" s="804"/>
      <c r="BM100" s="804"/>
      <c r="BN100" s="804"/>
      <c r="BO100" s="804"/>
      <c r="BP100" s="804"/>
      <c r="BQ100" s="804"/>
      <c r="BR100" s="804"/>
      <c r="BS100" s="804"/>
      <c r="BT100" s="804"/>
      <c r="BU100" s="804"/>
      <c r="BV100" s="804"/>
      <c r="BW100" s="804"/>
      <c r="BX100" s="804"/>
      <c r="BY100" s="804"/>
      <c r="BZ100" s="804"/>
      <c r="CA100" s="804"/>
      <c r="CB100" s="804"/>
      <c r="CC100" s="804"/>
      <c r="CD100" s="804"/>
      <c r="CE100" s="804"/>
      <c r="CF100" s="804"/>
      <c r="CG100" s="804"/>
      <c r="CH100" s="804"/>
      <c r="CI100" s="804"/>
      <c r="CJ100" s="804"/>
      <c r="CK100" s="804"/>
      <c r="CL100" s="804"/>
      <c r="CM100" s="804"/>
      <c r="CN100" s="804"/>
      <c r="CO100" s="804"/>
      <c r="CP100" s="804"/>
      <c r="CQ100" s="804"/>
      <c r="CR100" s="804"/>
      <c r="CS100" s="804"/>
      <c r="CT100" s="804"/>
      <c r="CU100" s="804"/>
      <c r="CV100" s="804"/>
      <c r="CW100" s="804"/>
      <c r="CX100" s="804"/>
      <c r="CY100" s="804"/>
      <c r="CZ100" s="804"/>
      <c r="DA100" s="804"/>
      <c r="DB100" s="804"/>
      <c r="DC100" s="804"/>
      <c r="DD100" s="804"/>
      <c r="DE100" s="804"/>
      <c r="DF100" s="804"/>
    </row>
    <row r="101" spans="1:110">
      <c r="A101" s="804"/>
      <c r="B101" s="804"/>
      <c r="C101" s="804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804"/>
      <c r="AL101" s="804"/>
      <c r="AM101" s="804"/>
      <c r="AN101" s="804"/>
      <c r="AO101" s="804"/>
      <c r="AP101" s="804"/>
      <c r="AQ101" s="804"/>
      <c r="AR101" s="804"/>
      <c r="AS101" s="804"/>
      <c r="AT101" s="804"/>
      <c r="AU101" s="804"/>
      <c r="AV101" s="804"/>
      <c r="AW101" s="804"/>
      <c r="AX101" s="804"/>
      <c r="AY101" s="804"/>
      <c r="AZ101" s="804"/>
      <c r="BA101" s="804"/>
      <c r="BB101" s="804"/>
      <c r="BC101" s="804"/>
      <c r="BD101" s="804"/>
      <c r="BE101" s="804"/>
      <c r="BF101" s="804"/>
      <c r="BG101" s="804"/>
      <c r="BH101" s="804"/>
      <c r="BI101" s="804"/>
      <c r="BJ101" s="804"/>
      <c r="BK101" s="804"/>
      <c r="BL101" s="804"/>
      <c r="BM101" s="804"/>
      <c r="BN101" s="804"/>
      <c r="BO101" s="804"/>
      <c r="BP101" s="804"/>
      <c r="BQ101" s="804"/>
      <c r="BR101" s="804"/>
      <c r="BS101" s="804"/>
      <c r="BT101" s="804"/>
      <c r="BU101" s="804"/>
      <c r="BV101" s="804"/>
      <c r="BW101" s="804"/>
      <c r="BX101" s="804"/>
      <c r="BY101" s="804"/>
      <c r="BZ101" s="804"/>
      <c r="CA101" s="804"/>
      <c r="CB101" s="804"/>
      <c r="CC101" s="804"/>
      <c r="CD101" s="804"/>
      <c r="CE101" s="804"/>
      <c r="CF101" s="804"/>
      <c r="CG101" s="804"/>
      <c r="CH101" s="804"/>
      <c r="CI101" s="804"/>
      <c r="CJ101" s="804"/>
      <c r="CK101" s="804"/>
      <c r="CL101" s="804"/>
      <c r="CM101" s="804"/>
      <c r="CN101" s="804"/>
      <c r="CO101" s="804"/>
      <c r="CP101" s="804"/>
      <c r="CQ101" s="804"/>
      <c r="CR101" s="804"/>
      <c r="CS101" s="804"/>
      <c r="CT101" s="804"/>
      <c r="CU101" s="804"/>
      <c r="CV101" s="804"/>
      <c r="CW101" s="804"/>
      <c r="CX101" s="804"/>
      <c r="CY101" s="804"/>
      <c r="CZ101" s="804"/>
      <c r="DA101" s="804"/>
      <c r="DB101" s="804"/>
      <c r="DC101" s="804"/>
      <c r="DD101" s="804"/>
      <c r="DE101" s="804"/>
      <c r="DF101" s="804"/>
    </row>
    <row r="102" spans="1:110">
      <c r="A102" s="804"/>
      <c r="B102" s="804"/>
      <c r="C102" s="804"/>
      <c r="D102" s="804"/>
      <c r="E102" s="804"/>
      <c r="F102" s="804"/>
      <c r="G102" s="804"/>
      <c r="H102" s="804"/>
      <c r="I102" s="804"/>
      <c r="J102" s="804"/>
      <c r="K102" s="804"/>
      <c r="L102" s="804"/>
      <c r="M102" s="804"/>
      <c r="N102" s="804"/>
      <c r="O102" s="804"/>
      <c r="P102" s="804"/>
      <c r="Q102" s="804"/>
      <c r="R102" s="804"/>
      <c r="S102" s="804"/>
      <c r="T102" s="804"/>
      <c r="U102" s="804"/>
      <c r="V102" s="804"/>
      <c r="W102" s="804"/>
      <c r="X102" s="804"/>
      <c r="Y102" s="804"/>
      <c r="Z102" s="804"/>
      <c r="AA102" s="804"/>
      <c r="AB102" s="804"/>
      <c r="AC102" s="804"/>
      <c r="AD102" s="804"/>
      <c r="AE102" s="804"/>
      <c r="AF102" s="804"/>
      <c r="AG102" s="804"/>
      <c r="AH102" s="804"/>
      <c r="AI102" s="804"/>
      <c r="AJ102" s="804"/>
      <c r="AK102" s="804"/>
      <c r="AL102" s="804"/>
      <c r="AM102" s="804"/>
      <c r="AN102" s="804"/>
      <c r="AO102" s="804"/>
      <c r="AP102" s="804"/>
      <c r="AQ102" s="804"/>
      <c r="AR102" s="804"/>
      <c r="AS102" s="804"/>
      <c r="AT102" s="804"/>
      <c r="AU102" s="804"/>
      <c r="AV102" s="804"/>
      <c r="AW102" s="804"/>
      <c r="AX102" s="804"/>
      <c r="AY102" s="804"/>
      <c r="AZ102" s="804"/>
      <c r="BA102" s="804"/>
      <c r="BB102" s="804"/>
      <c r="BC102" s="804"/>
      <c r="BD102" s="804"/>
      <c r="BE102" s="804"/>
      <c r="BF102" s="804"/>
      <c r="BG102" s="804"/>
      <c r="BH102" s="804"/>
      <c r="BI102" s="804"/>
      <c r="BJ102" s="804"/>
      <c r="BK102" s="804"/>
      <c r="BL102" s="804"/>
      <c r="BM102" s="804"/>
      <c r="BN102" s="804"/>
      <c r="BO102" s="804"/>
      <c r="BP102" s="804"/>
      <c r="BQ102" s="804"/>
      <c r="BR102" s="804"/>
      <c r="BS102" s="804"/>
      <c r="BT102" s="804"/>
      <c r="BU102" s="804"/>
      <c r="BV102" s="804"/>
      <c r="BW102" s="804"/>
      <c r="BX102" s="804"/>
      <c r="BY102" s="804"/>
      <c r="BZ102" s="804"/>
      <c r="CA102" s="804"/>
      <c r="CB102" s="804"/>
      <c r="CC102" s="804"/>
      <c r="CD102" s="804"/>
      <c r="CE102" s="804"/>
      <c r="CF102" s="804"/>
      <c r="CG102" s="804"/>
      <c r="CH102" s="804"/>
      <c r="CI102" s="804"/>
      <c r="CJ102" s="804"/>
      <c r="CK102" s="804"/>
      <c r="CL102" s="804"/>
      <c r="CM102" s="804"/>
      <c r="CN102" s="804"/>
      <c r="CO102" s="804"/>
      <c r="CP102" s="804"/>
      <c r="CQ102" s="804"/>
      <c r="CR102" s="804"/>
      <c r="CS102" s="804"/>
      <c r="CT102" s="804"/>
      <c r="CU102" s="804"/>
      <c r="CV102" s="804"/>
      <c r="CW102" s="804"/>
      <c r="CX102" s="804"/>
      <c r="CY102" s="804"/>
      <c r="CZ102" s="804"/>
      <c r="DA102" s="804"/>
      <c r="DB102" s="804"/>
      <c r="DC102" s="804"/>
      <c r="DD102" s="804"/>
      <c r="DE102" s="804"/>
      <c r="DF102" s="804"/>
    </row>
    <row r="103" spans="1:110">
      <c r="A103" s="804"/>
      <c r="B103" s="804"/>
      <c r="C103" s="804"/>
      <c r="D103" s="804"/>
      <c r="E103" s="804"/>
      <c r="F103" s="804"/>
      <c r="G103" s="804"/>
      <c r="H103" s="804"/>
      <c r="I103" s="804"/>
      <c r="J103" s="804"/>
      <c r="K103" s="804"/>
      <c r="L103" s="804"/>
      <c r="M103" s="804"/>
      <c r="N103" s="804"/>
      <c r="O103" s="804"/>
      <c r="P103" s="804"/>
      <c r="Q103" s="804"/>
      <c r="R103" s="804"/>
      <c r="S103" s="804"/>
      <c r="T103" s="804"/>
      <c r="U103" s="804"/>
      <c r="V103" s="804"/>
      <c r="W103" s="804"/>
      <c r="X103" s="804"/>
      <c r="Y103" s="804"/>
      <c r="Z103" s="804"/>
      <c r="AA103" s="804"/>
      <c r="AB103" s="804"/>
      <c r="AC103" s="804"/>
      <c r="AD103" s="804"/>
      <c r="AE103" s="804"/>
      <c r="AF103" s="804"/>
      <c r="AG103" s="804"/>
      <c r="AH103" s="804"/>
      <c r="AI103" s="804"/>
      <c r="AJ103" s="804"/>
      <c r="AK103" s="804"/>
      <c r="AL103" s="804"/>
      <c r="AM103" s="804"/>
      <c r="AN103" s="804"/>
      <c r="AO103" s="804"/>
      <c r="AP103" s="804"/>
      <c r="AQ103" s="804"/>
      <c r="AR103" s="804"/>
      <c r="AS103" s="804"/>
      <c r="AT103" s="804"/>
      <c r="AU103" s="804"/>
      <c r="AV103" s="804"/>
      <c r="AW103" s="804"/>
      <c r="AX103" s="804"/>
      <c r="AY103" s="804"/>
      <c r="AZ103" s="804"/>
      <c r="BA103" s="804"/>
      <c r="BB103" s="804"/>
      <c r="BC103" s="804"/>
      <c r="BD103" s="804"/>
      <c r="BE103" s="804"/>
      <c r="BF103" s="804"/>
      <c r="BG103" s="804"/>
      <c r="BH103" s="804"/>
      <c r="BI103" s="804"/>
      <c r="BJ103" s="804"/>
      <c r="BK103" s="804"/>
      <c r="BL103" s="804"/>
      <c r="BM103" s="804"/>
      <c r="BN103" s="804"/>
      <c r="BO103" s="804"/>
      <c r="BP103" s="804"/>
      <c r="BQ103" s="804"/>
      <c r="BR103" s="804"/>
      <c r="BS103" s="804"/>
      <c r="BT103" s="804"/>
      <c r="BU103" s="804"/>
      <c r="BV103" s="804"/>
      <c r="BW103" s="804"/>
      <c r="BX103" s="804"/>
      <c r="BY103" s="804"/>
      <c r="BZ103" s="804"/>
      <c r="CA103" s="804"/>
      <c r="CB103" s="804"/>
      <c r="CC103" s="804"/>
      <c r="CD103" s="804"/>
      <c r="CE103" s="804"/>
      <c r="CF103" s="804"/>
      <c r="CG103" s="804"/>
      <c r="CH103" s="804"/>
      <c r="CI103" s="804"/>
      <c r="CJ103" s="804"/>
      <c r="CK103" s="804"/>
      <c r="CL103" s="804"/>
      <c r="CM103" s="804"/>
      <c r="CN103" s="804"/>
      <c r="CO103" s="804"/>
      <c r="CP103" s="804"/>
      <c r="CQ103" s="804"/>
      <c r="CR103" s="804"/>
      <c r="CS103" s="804"/>
      <c r="CT103" s="804"/>
      <c r="CU103" s="804"/>
      <c r="CV103" s="804"/>
      <c r="CW103" s="804"/>
      <c r="CX103" s="804"/>
      <c r="CY103" s="804"/>
      <c r="CZ103" s="804"/>
      <c r="DA103" s="804"/>
      <c r="DB103" s="804"/>
      <c r="DC103" s="804"/>
      <c r="DD103" s="804"/>
      <c r="DE103" s="804"/>
      <c r="DF103" s="804"/>
    </row>
    <row r="104" spans="1:110">
      <c r="A104" s="804"/>
      <c r="B104" s="804"/>
      <c r="C104" s="804"/>
      <c r="D104" s="804"/>
      <c r="E104" s="804"/>
      <c r="F104" s="804"/>
      <c r="G104" s="804"/>
      <c r="H104" s="804"/>
      <c r="I104" s="804"/>
      <c r="J104" s="804"/>
      <c r="K104" s="804"/>
      <c r="L104" s="804"/>
      <c r="M104" s="804"/>
      <c r="N104" s="804"/>
      <c r="O104" s="804"/>
      <c r="P104" s="804"/>
      <c r="Q104" s="804"/>
      <c r="R104" s="804"/>
      <c r="S104" s="804"/>
      <c r="T104" s="804"/>
      <c r="U104" s="804"/>
      <c r="V104" s="804"/>
      <c r="W104" s="804"/>
      <c r="X104" s="804"/>
      <c r="Y104" s="804"/>
      <c r="Z104" s="804"/>
      <c r="AA104" s="804"/>
      <c r="AB104" s="804"/>
      <c r="AC104" s="804"/>
      <c r="AD104" s="804"/>
      <c r="AE104" s="804"/>
      <c r="AF104" s="804"/>
      <c r="AG104" s="804"/>
      <c r="AH104" s="804"/>
      <c r="AI104" s="804"/>
      <c r="AJ104" s="804"/>
      <c r="AK104" s="804"/>
      <c r="AL104" s="804"/>
      <c r="AM104" s="804"/>
      <c r="AN104" s="804"/>
      <c r="AO104" s="804"/>
      <c r="AP104" s="804"/>
      <c r="AQ104" s="804"/>
      <c r="AR104" s="804"/>
      <c r="AS104" s="804"/>
      <c r="AT104" s="804"/>
      <c r="AU104" s="804"/>
      <c r="AV104" s="804"/>
      <c r="AW104" s="804"/>
      <c r="AX104" s="804"/>
      <c r="AY104" s="804"/>
      <c r="AZ104" s="804"/>
      <c r="BA104" s="804"/>
      <c r="BB104" s="804"/>
      <c r="BC104" s="804"/>
      <c r="BD104" s="804"/>
      <c r="BE104" s="804"/>
      <c r="BF104" s="804"/>
      <c r="BG104" s="804"/>
      <c r="BH104" s="804"/>
      <c r="BI104" s="804"/>
      <c r="BJ104" s="804"/>
      <c r="BK104" s="804"/>
      <c r="BL104" s="804"/>
      <c r="BM104" s="804"/>
      <c r="BN104" s="804"/>
      <c r="BO104" s="804"/>
      <c r="BP104" s="804"/>
      <c r="BQ104" s="804"/>
      <c r="BR104" s="804"/>
      <c r="BS104" s="804"/>
      <c r="BT104" s="804"/>
      <c r="BU104" s="804"/>
      <c r="BV104" s="804"/>
      <c r="BW104" s="804"/>
      <c r="BX104" s="804"/>
      <c r="BY104" s="804"/>
      <c r="BZ104" s="804"/>
      <c r="CA104" s="804"/>
      <c r="CB104" s="804"/>
      <c r="CC104" s="804"/>
      <c r="CD104" s="804"/>
      <c r="CE104" s="804"/>
      <c r="CF104" s="804"/>
      <c r="CG104" s="804"/>
      <c r="CH104" s="804"/>
      <c r="CI104" s="804"/>
      <c r="CJ104" s="804"/>
      <c r="CK104" s="804"/>
      <c r="CL104" s="804"/>
      <c r="CM104" s="804"/>
      <c r="CN104" s="804"/>
      <c r="CO104" s="804"/>
      <c r="CP104" s="804"/>
      <c r="CQ104" s="804"/>
      <c r="CR104" s="804"/>
      <c r="CS104" s="804"/>
      <c r="CT104" s="804"/>
      <c r="CU104" s="804"/>
      <c r="CV104" s="804"/>
      <c r="CW104" s="804"/>
      <c r="CX104" s="804"/>
      <c r="CY104" s="804"/>
      <c r="CZ104" s="804"/>
      <c r="DA104" s="804"/>
      <c r="DB104" s="804"/>
      <c r="DC104" s="804"/>
      <c r="DD104" s="804"/>
      <c r="DE104" s="804"/>
      <c r="DF104" s="804"/>
    </row>
    <row r="105" spans="1:110">
      <c r="A105" s="804"/>
      <c r="B105" s="804"/>
      <c r="C105" s="804"/>
      <c r="D105" s="804"/>
      <c r="E105" s="804"/>
      <c r="F105" s="804"/>
      <c r="G105" s="804"/>
      <c r="H105" s="804"/>
      <c r="I105" s="804"/>
      <c r="J105" s="804"/>
      <c r="K105" s="804"/>
      <c r="L105" s="804"/>
      <c r="M105" s="804"/>
      <c r="N105" s="804"/>
      <c r="O105" s="804"/>
      <c r="P105" s="804"/>
      <c r="Q105" s="804"/>
      <c r="R105" s="804"/>
      <c r="S105" s="804"/>
      <c r="T105" s="804"/>
      <c r="U105" s="804"/>
      <c r="V105" s="804"/>
      <c r="W105" s="804"/>
      <c r="X105" s="804"/>
      <c r="Y105" s="804"/>
      <c r="Z105" s="804"/>
      <c r="AA105" s="804"/>
      <c r="AB105" s="804"/>
      <c r="AC105" s="804"/>
      <c r="AD105" s="804"/>
      <c r="AE105" s="804"/>
      <c r="AF105" s="804"/>
      <c r="AG105" s="804"/>
      <c r="AH105" s="804"/>
      <c r="AI105" s="804"/>
      <c r="AJ105" s="804"/>
      <c r="AK105" s="804"/>
      <c r="AL105" s="804"/>
      <c r="AM105" s="804"/>
      <c r="AN105" s="804"/>
      <c r="AO105" s="804"/>
      <c r="AP105" s="804"/>
      <c r="AQ105" s="804"/>
      <c r="AR105" s="804"/>
      <c r="AS105" s="804"/>
      <c r="AT105" s="804"/>
      <c r="AU105" s="804"/>
      <c r="AV105" s="804"/>
      <c r="AW105" s="804"/>
      <c r="AX105" s="804"/>
      <c r="AY105" s="804"/>
      <c r="AZ105" s="804"/>
      <c r="BA105" s="804"/>
      <c r="BB105" s="804"/>
      <c r="BC105" s="804"/>
      <c r="BD105" s="804"/>
      <c r="BE105" s="804"/>
      <c r="BF105" s="804"/>
      <c r="BG105" s="804"/>
      <c r="BH105" s="804"/>
      <c r="BI105" s="804"/>
      <c r="BJ105" s="804"/>
      <c r="BK105" s="804"/>
      <c r="BL105" s="804"/>
      <c r="BM105" s="804"/>
      <c r="BN105" s="804"/>
      <c r="BO105" s="804"/>
      <c r="BP105" s="804"/>
      <c r="BQ105" s="804"/>
      <c r="BR105" s="804"/>
      <c r="BS105" s="804"/>
      <c r="BT105" s="804"/>
      <c r="BU105" s="804"/>
      <c r="BV105" s="804"/>
      <c r="BW105" s="804"/>
      <c r="BX105" s="804"/>
      <c r="BY105" s="804"/>
      <c r="BZ105" s="804"/>
      <c r="CA105" s="804"/>
      <c r="CB105" s="804"/>
      <c r="CC105" s="804"/>
      <c r="CD105" s="804"/>
      <c r="CE105" s="804"/>
      <c r="CF105" s="804"/>
      <c r="CG105" s="804"/>
      <c r="CH105" s="804"/>
      <c r="CI105" s="804"/>
      <c r="CJ105" s="804"/>
      <c r="CK105" s="804"/>
      <c r="CL105" s="804"/>
      <c r="CM105" s="804"/>
      <c r="CN105" s="804"/>
      <c r="CO105" s="804"/>
      <c r="CP105" s="804"/>
      <c r="CQ105" s="804"/>
      <c r="CR105" s="804"/>
      <c r="CS105" s="804"/>
      <c r="CT105" s="804"/>
      <c r="CU105" s="804"/>
      <c r="CV105" s="804"/>
      <c r="CW105" s="804"/>
      <c r="CX105" s="804"/>
      <c r="CY105" s="804"/>
      <c r="CZ105" s="804"/>
      <c r="DA105" s="804"/>
      <c r="DB105" s="804"/>
      <c r="DC105" s="804"/>
      <c r="DD105" s="804"/>
      <c r="DE105" s="804"/>
      <c r="DF105" s="804"/>
    </row>
    <row r="106" spans="1:110">
      <c r="A106" s="804"/>
      <c r="B106" s="804"/>
      <c r="C106" s="804"/>
      <c r="D106" s="804"/>
      <c r="E106" s="804"/>
      <c r="F106" s="804"/>
      <c r="G106" s="804"/>
      <c r="H106" s="804"/>
      <c r="I106" s="804"/>
      <c r="J106" s="804"/>
      <c r="K106" s="804"/>
      <c r="L106" s="804"/>
      <c r="M106" s="804"/>
      <c r="N106" s="804"/>
      <c r="O106" s="804"/>
      <c r="P106" s="804"/>
      <c r="Q106" s="804"/>
      <c r="R106" s="804"/>
      <c r="S106" s="804"/>
      <c r="T106" s="804"/>
      <c r="U106" s="804"/>
      <c r="V106" s="804"/>
      <c r="W106" s="804"/>
      <c r="X106" s="804"/>
      <c r="Y106" s="804"/>
      <c r="Z106" s="804"/>
      <c r="AA106" s="804"/>
      <c r="AB106" s="804"/>
      <c r="AC106" s="804"/>
      <c r="AD106" s="804"/>
      <c r="AE106" s="804"/>
      <c r="AF106" s="804"/>
      <c r="AG106" s="804"/>
      <c r="AH106" s="804"/>
      <c r="AI106" s="804"/>
      <c r="AJ106" s="804"/>
      <c r="AK106" s="804"/>
      <c r="AL106" s="804"/>
      <c r="AM106" s="804"/>
      <c r="AN106" s="804"/>
      <c r="AO106" s="804"/>
      <c r="AP106" s="804"/>
      <c r="AQ106" s="804"/>
      <c r="AR106" s="804"/>
      <c r="AS106" s="804"/>
      <c r="AT106" s="804"/>
      <c r="AU106" s="804"/>
      <c r="AV106" s="804"/>
      <c r="AW106" s="804"/>
      <c r="AX106" s="804"/>
      <c r="AY106" s="804"/>
      <c r="AZ106" s="804"/>
      <c r="BA106" s="804"/>
      <c r="BB106" s="804"/>
      <c r="BC106" s="804"/>
      <c r="BD106" s="804"/>
      <c r="BE106" s="804"/>
      <c r="BF106" s="804"/>
      <c r="BG106" s="804"/>
      <c r="BH106" s="804"/>
      <c r="BI106" s="804"/>
      <c r="BJ106" s="804"/>
      <c r="BK106" s="804"/>
      <c r="BL106" s="804"/>
      <c r="BM106" s="804"/>
      <c r="BN106" s="804"/>
      <c r="BO106" s="804"/>
      <c r="BP106" s="804"/>
      <c r="BQ106" s="804"/>
      <c r="BR106" s="804"/>
      <c r="BS106" s="804"/>
      <c r="BT106" s="804"/>
      <c r="BU106" s="804"/>
      <c r="BV106" s="804"/>
      <c r="BW106" s="804"/>
      <c r="BX106" s="804"/>
      <c r="BY106" s="804"/>
      <c r="BZ106" s="804"/>
      <c r="CA106" s="804"/>
      <c r="CB106" s="804"/>
      <c r="CC106" s="804"/>
      <c r="CD106" s="804"/>
      <c r="CE106" s="804"/>
      <c r="CF106" s="804"/>
      <c r="CG106" s="804"/>
      <c r="CH106" s="804"/>
      <c r="CI106" s="804"/>
      <c r="CJ106" s="804"/>
      <c r="CK106" s="804"/>
      <c r="CL106" s="804"/>
      <c r="CM106" s="804"/>
      <c r="CN106" s="804"/>
      <c r="CO106" s="804"/>
      <c r="CP106" s="804"/>
      <c r="CQ106" s="804"/>
      <c r="CR106" s="804"/>
      <c r="CS106" s="804"/>
      <c r="CT106" s="804"/>
      <c r="CU106" s="804"/>
      <c r="CV106" s="804"/>
      <c r="CW106" s="804"/>
      <c r="CX106" s="804"/>
      <c r="CY106" s="804"/>
      <c r="CZ106" s="804"/>
      <c r="DA106" s="804"/>
      <c r="DB106" s="804"/>
      <c r="DC106" s="804"/>
      <c r="DD106" s="804"/>
      <c r="DE106" s="804"/>
      <c r="DF106" s="804"/>
    </row>
    <row r="107" spans="1:110">
      <c r="A107" s="804"/>
      <c r="B107" s="804"/>
      <c r="C107" s="804"/>
      <c r="D107" s="804"/>
      <c r="E107" s="804"/>
      <c r="F107" s="804"/>
      <c r="G107" s="804"/>
      <c r="H107" s="804"/>
      <c r="I107" s="804"/>
      <c r="J107" s="804"/>
      <c r="K107" s="804"/>
      <c r="L107" s="804"/>
      <c r="M107" s="804"/>
      <c r="N107" s="804"/>
      <c r="O107" s="804"/>
      <c r="P107" s="804"/>
      <c r="Q107" s="804"/>
      <c r="R107" s="804"/>
      <c r="S107" s="804"/>
      <c r="T107" s="804"/>
      <c r="U107" s="804"/>
      <c r="V107" s="804"/>
      <c r="W107" s="804"/>
      <c r="X107" s="804"/>
      <c r="Y107" s="804"/>
      <c r="Z107" s="804"/>
      <c r="AA107" s="804"/>
      <c r="AB107" s="804"/>
      <c r="AC107" s="804"/>
      <c r="AD107" s="804"/>
      <c r="AE107" s="804"/>
      <c r="AF107" s="804"/>
      <c r="AG107" s="804"/>
      <c r="AH107" s="804"/>
      <c r="AI107" s="804"/>
      <c r="AJ107" s="804"/>
      <c r="AK107" s="804"/>
      <c r="AL107" s="804"/>
      <c r="AM107" s="804"/>
      <c r="AN107" s="804"/>
      <c r="AO107" s="804"/>
      <c r="AP107" s="804"/>
      <c r="AQ107" s="804"/>
      <c r="AR107" s="804"/>
      <c r="AS107" s="804"/>
      <c r="AT107" s="804"/>
      <c r="AU107" s="804"/>
      <c r="AV107" s="804"/>
      <c r="AW107" s="804"/>
      <c r="AX107" s="804"/>
      <c r="AY107" s="804"/>
      <c r="AZ107" s="804"/>
      <c r="BA107" s="804"/>
      <c r="BB107" s="804"/>
      <c r="BC107" s="804"/>
      <c r="BD107" s="804"/>
      <c r="BE107" s="804"/>
      <c r="BF107" s="804"/>
      <c r="BG107" s="804"/>
      <c r="BH107" s="804"/>
      <c r="BI107" s="804"/>
      <c r="BJ107" s="804"/>
      <c r="BK107" s="804"/>
      <c r="BL107" s="804"/>
      <c r="BM107" s="804"/>
      <c r="BN107" s="804"/>
      <c r="BO107" s="804"/>
      <c r="BP107" s="804"/>
      <c r="BQ107" s="804"/>
      <c r="BR107" s="804"/>
      <c r="BS107" s="804"/>
      <c r="BT107" s="804"/>
      <c r="BU107" s="804"/>
      <c r="BV107" s="804"/>
      <c r="BW107" s="804"/>
      <c r="BX107" s="804"/>
      <c r="BY107" s="804"/>
      <c r="BZ107" s="804"/>
      <c r="CA107" s="804"/>
      <c r="CB107" s="804"/>
      <c r="CC107" s="804"/>
      <c r="CD107" s="804"/>
      <c r="CE107" s="804"/>
      <c r="CF107" s="804"/>
      <c r="CG107" s="804"/>
      <c r="CH107" s="804"/>
      <c r="CI107" s="804"/>
      <c r="CJ107" s="804"/>
      <c r="CK107" s="804"/>
      <c r="CL107" s="804"/>
      <c r="CM107" s="804"/>
      <c r="CN107" s="804"/>
      <c r="CO107" s="804"/>
      <c r="CP107" s="804"/>
      <c r="CQ107" s="804"/>
      <c r="CR107" s="804"/>
      <c r="CS107" s="804"/>
      <c r="CT107" s="804"/>
      <c r="CU107" s="804"/>
      <c r="CV107" s="804"/>
      <c r="CW107" s="804"/>
      <c r="CX107" s="804"/>
      <c r="CY107" s="804"/>
      <c r="CZ107" s="804"/>
      <c r="DA107" s="804"/>
      <c r="DB107" s="804"/>
      <c r="DC107" s="804"/>
      <c r="DD107" s="804"/>
      <c r="DE107" s="804"/>
      <c r="DF107" s="804"/>
    </row>
    <row r="108" spans="1:110">
      <c r="A108" s="804"/>
      <c r="B108" s="804"/>
      <c r="C108" s="804"/>
      <c r="D108" s="804"/>
      <c r="E108" s="804"/>
      <c r="F108" s="804"/>
      <c r="G108" s="804"/>
      <c r="H108" s="804"/>
      <c r="I108" s="804"/>
      <c r="J108" s="804"/>
      <c r="K108" s="804"/>
      <c r="L108" s="804"/>
      <c r="M108" s="804"/>
      <c r="N108" s="804"/>
      <c r="O108" s="804"/>
      <c r="P108" s="804"/>
      <c r="Q108" s="804"/>
      <c r="R108" s="804"/>
      <c r="S108" s="804"/>
      <c r="T108" s="804"/>
      <c r="U108" s="804"/>
      <c r="V108" s="804"/>
      <c r="W108" s="804"/>
      <c r="X108" s="804"/>
      <c r="Y108" s="804"/>
      <c r="Z108" s="804"/>
      <c r="AA108" s="804"/>
      <c r="AB108" s="804"/>
      <c r="AC108" s="804"/>
      <c r="AD108" s="804"/>
      <c r="AE108" s="804"/>
      <c r="AF108" s="804"/>
      <c r="AG108" s="804"/>
      <c r="AH108" s="804"/>
      <c r="AI108" s="804"/>
      <c r="AJ108" s="804"/>
      <c r="AK108" s="804"/>
      <c r="AL108" s="804"/>
      <c r="AM108" s="804"/>
      <c r="AN108" s="804"/>
      <c r="AO108" s="804"/>
      <c r="AP108" s="804"/>
      <c r="AQ108" s="804"/>
      <c r="AR108" s="804"/>
      <c r="AS108" s="804"/>
      <c r="AT108" s="804"/>
      <c r="AU108" s="804"/>
      <c r="AV108" s="804"/>
      <c r="AW108" s="804"/>
      <c r="AX108" s="804"/>
      <c r="AY108" s="804"/>
      <c r="AZ108" s="804"/>
      <c r="BA108" s="804"/>
      <c r="BB108" s="804"/>
      <c r="BC108" s="804"/>
      <c r="BD108" s="804"/>
      <c r="BE108" s="804"/>
      <c r="BF108" s="804"/>
      <c r="BG108" s="804"/>
      <c r="BH108" s="804"/>
      <c r="BI108" s="804"/>
      <c r="BJ108" s="804"/>
      <c r="BK108" s="804"/>
      <c r="BL108" s="804"/>
      <c r="BM108" s="804"/>
      <c r="BN108" s="804"/>
      <c r="BO108" s="804"/>
      <c r="BP108" s="804"/>
      <c r="BQ108" s="804"/>
      <c r="BR108" s="804"/>
      <c r="BS108" s="804"/>
      <c r="BT108" s="804"/>
      <c r="BU108" s="804"/>
      <c r="BV108" s="804"/>
      <c r="BW108" s="804"/>
      <c r="BX108" s="804"/>
      <c r="BY108" s="804"/>
      <c r="BZ108" s="804"/>
      <c r="CA108" s="804"/>
      <c r="CB108" s="804"/>
      <c r="CC108" s="804"/>
      <c r="CD108" s="804"/>
      <c r="CE108" s="804"/>
      <c r="CF108" s="804"/>
      <c r="CG108" s="804"/>
      <c r="CH108" s="804"/>
      <c r="CI108" s="804"/>
      <c r="CJ108" s="804"/>
      <c r="CK108" s="804"/>
      <c r="CL108" s="804"/>
      <c r="CM108" s="804"/>
      <c r="CN108" s="804"/>
      <c r="CO108" s="804"/>
      <c r="CP108" s="804"/>
      <c r="CQ108" s="804"/>
      <c r="CR108" s="804"/>
      <c r="CS108" s="804"/>
      <c r="CT108" s="804"/>
      <c r="CU108" s="804"/>
      <c r="CV108" s="804"/>
      <c r="CW108" s="804"/>
      <c r="CX108" s="804"/>
      <c r="CY108" s="804"/>
      <c r="CZ108" s="804"/>
      <c r="DA108" s="804"/>
      <c r="DB108" s="804"/>
      <c r="DC108" s="804"/>
      <c r="DD108" s="804"/>
      <c r="DE108" s="804"/>
      <c r="DF108" s="804"/>
    </row>
    <row r="109" spans="1:110">
      <c r="A109" s="804"/>
      <c r="B109" s="804"/>
      <c r="C109" s="804"/>
      <c r="D109" s="804"/>
      <c r="E109" s="804"/>
      <c r="F109" s="804"/>
      <c r="G109" s="804"/>
      <c r="H109" s="804"/>
      <c r="I109" s="804"/>
      <c r="J109" s="804"/>
      <c r="K109" s="804"/>
      <c r="L109" s="804"/>
      <c r="M109" s="804"/>
      <c r="N109" s="804"/>
      <c r="O109" s="804"/>
      <c r="P109" s="804"/>
      <c r="Q109" s="804"/>
      <c r="R109" s="804"/>
      <c r="S109" s="804"/>
      <c r="T109" s="804"/>
      <c r="U109" s="804"/>
      <c r="V109" s="804"/>
      <c r="W109" s="804"/>
      <c r="X109" s="804"/>
      <c r="Y109" s="804"/>
      <c r="Z109" s="804"/>
      <c r="AA109" s="804"/>
      <c r="AB109" s="804"/>
      <c r="AC109" s="804"/>
      <c r="AD109" s="804"/>
      <c r="AE109" s="804"/>
      <c r="AF109" s="804"/>
      <c r="AG109" s="804"/>
      <c r="AH109" s="804"/>
      <c r="AI109" s="804"/>
      <c r="AJ109" s="804"/>
      <c r="AK109" s="804"/>
      <c r="AL109" s="804"/>
      <c r="AM109" s="804"/>
      <c r="AN109" s="804"/>
      <c r="AO109" s="804"/>
      <c r="AP109" s="804"/>
      <c r="AQ109" s="804"/>
      <c r="AR109" s="804"/>
      <c r="AS109" s="804"/>
      <c r="AT109" s="804"/>
      <c r="AU109" s="804"/>
      <c r="AV109" s="804"/>
      <c r="AW109" s="804"/>
      <c r="AX109" s="804"/>
      <c r="AY109" s="804"/>
      <c r="AZ109" s="804"/>
      <c r="BA109" s="804"/>
      <c r="BB109" s="804"/>
      <c r="BC109" s="804"/>
      <c r="BD109" s="804"/>
      <c r="BE109" s="804"/>
      <c r="BF109" s="804"/>
      <c r="BG109" s="804"/>
      <c r="BH109" s="804"/>
      <c r="BI109" s="804"/>
      <c r="BJ109" s="804"/>
      <c r="BK109" s="804"/>
      <c r="BL109" s="804"/>
      <c r="BM109" s="804"/>
      <c r="BN109" s="804"/>
      <c r="BO109" s="804"/>
      <c r="BP109" s="804"/>
      <c r="BQ109" s="804"/>
      <c r="BR109" s="804"/>
      <c r="BS109" s="804"/>
      <c r="BT109" s="804"/>
      <c r="BU109" s="804"/>
      <c r="BV109" s="804"/>
      <c r="BW109" s="804"/>
      <c r="BX109" s="804"/>
      <c r="BY109" s="804"/>
      <c r="BZ109" s="804"/>
      <c r="CA109" s="804"/>
      <c r="CB109" s="804"/>
      <c r="CC109" s="804"/>
      <c r="CD109" s="804"/>
      <c r="CE109" s="804"/>
      <c r="CF109" s="804"/>
      <c r="CG109" s="804"/>
      <c r="CH109" s="804"/>
      <c r="CI109" s="804"/>
      <c r="CJ109" s="804"/>
      <c r="CK109" s="804"/>
      <c r="CL109" s="804"/>
      <c r="CM109" s="804"/>
      <c r="CN109" s="804"/>
      <c r="CO109" s="804"/>
      <c r="CP109" s="804"/>
      <c r="CQ109" s="804"/>
      <c r="CR109" s="804"/>
      <c r="CS109" s="804"/>
      <c r="CT109" s="804"/>
      <c r="CU109" s="804"/>
      <c r="CV109" s="804"/>
      <c r="CW109" s="804"/>
      <c r="CX109" s="804"/>
      <c r="CY109" s="804"/>
      <c r="CZ109" s="804"/>
      <c r="DA109" s="804"/>
      <c r="DB109" s="804"/>
      <c r="DC109" s="804"/>
      <c r="DD109" s="804"/>
      <c r="DE109" s="804"/>
      <c r="DF109" s="804"/>
    </row>
    <row r="110" spans="1:110">
      <c r="A110" s="804"/>
      <c r="B110" s="804"/>
      <c r="C110" s="804"/>
      <c r="D110" s="804"/>
      <c r="E110" s="804"/>
      <c r="F110" s="804"/>
      <c r="G110" s="804"/>
      <c r="H110" s="804"/>
      <c r="I110" s="804"/>
      <c r="J110" s="804"/>
      <c r="K110" s="804"/>
      <c r="L110" s="804"/>
      <c r="M110" s="804"/>
      <c r="N110" s="804"/>
      <c r="O110" s="804"/>
      <c r="P110" s="804"/>
      <c r="Q110" s="804"/>
      <c r="R110" s="804"/>
      <c r="S110" s="804"/>
      <c r="T110" s="804"/>
      <c r="U110" s="804"/>
      <c r="V110" s="804"/>
      <c r="W110" s="804"/>
      <c r="X110" s="804"/>
      <c r="Y110" s="804"/>
      <c r="Z110" s="804"/>
      <c r="AA110" s="804"/>
      <c r="AB110" s="804"/>
      <c r="AC110" s="804"/>
      <c r="AD110" s="804"/>
      <c r="AE110" s="804"/>
      <c r="AF110" s="804"/>
      <c r="AG110" s="804"/>
      <c r="AH110" s="804"/>
      <c r="AI110" s="804"/>
      <c r="AJ110" s="804"/>
      <c r="AK110" s="804"/>
      <c r="AL110" s="804"/>
      <c r="AM110" s="804"/>
      <c r="AN110" s="804"/>
      <c r="AO110" s="804"/>
      <c r="AP110" s="804"/>
      <c r="AQ110" s="804"/>
      <c r="AR110" s="804"/>
      <c r="AS110" s="804"/>
      <c r="AT110" s="804"/>
      <c r="AU110" s="804"/>
      <c r="AV110" s="804"/>
      <c r="AW110" s="804"/>
      <c r="AX110" s="804"/>
      <c r="AY110" s="804"/>
      <c r="AZ110" s="804"/>
      <c r="BA110" s="804"/>
      <c r="BB110" s="804"/>
      <c r="BC110" s="804"/>
      <c r="BD110" s="804"/>
      <c r="BE110" s="804"/>
      <c r="BF110" s="804"/>
      <c r="BG110" s="804"/>
      <c r="BH110" s="804"/>
      <c r="BI110" s="804"/>
      <c r="BJ110" s="804"/>
      <c r="BK110" s="804"/>
      <c r="BL110" s="804"/>
      <c r="BM110" s="804"/>
      <c r="BN110" s="804"/>
      <c r="BO110" s="804"/>
      <c r="BP110" s="804"/>
      <c r="BQ110" s="804"/>
      <c r="BR110" s="804"/>
      <c r="BS110" s="804"/>
      <c r="BT110" s="804"/>
      <c r="BU110" s="804"/>
      <c r="BV110" s="804"/>
      <c r="BW110" s="804"/>
      <c r="BX110" s="804"/>
      <c r="BY110" s="804"/>
      <c r="BZ110" s="804"/>
      <c r="CA110" s="804"/>
      <c r="CB110" s="804"/>
      <c r="CC110" s="804"/>
      <c r="CD110" s="804"/>
      <c r="CE110" s="804"/>
      <c r="CF110" s="804"/>
      <c r="CG110" s="804"/>
      <c r="CH110" s="804"/>
      <c r="CI110" s="804"/>
      <c r="CJ110" s="804"/>
      <c r="CK110" s="804"/>
      <c r="CL110" s="804"/>
      <c r="CM110" s="804"/>
      <c r="CN110" s="804"/>
      <c r="CO110" s="804"/>
      <c r="CP110" s="804"/>
      <c r="CQ110" s="804"/>
      <c r="CR110" s="804"/>
      <c r="CS110" s="804"/>
      <c r="CT110" s="804"/>
      <c r="CU110" s="804"/>
      <c r="CV110" s="804"/>
      <c r="CW110" s="804"/>
      <c r="CX110" s="804"/>
      <c r="CY110" s="804"/>
      <c r="CZ110" s="804"/>
      <c r="DA110" s="804"/>
      <c r="DB110" s="804"/>
      <c r="DC110" s="804"/>
      <c r="DD110" s="804"/>
      <c r="DE110" s="804"/>
      <c r="DF110" s="804"/>
    </row>
    <row r="111" spans="1:110">
      <c r="A111" s="804"/>
      <c r="B111" s="804"/>
      <c r="C111" s="804"/>
      <c r="D111" s="804"/>
      <c r="E111" s="804"/>
      <c r="F111" s="804"/>
      <c r="G111" s="804"/>
      <c r="H111" s="804"/>
      <c r="I111" s="804"/>
      <c r="J111" s="804"/>
      <c r="K111" s="804"/>
      <c r="L111" s="804"/>
      <c r="M111" s="804"/>
      <c r="N111" s="804"/>
      <c r="O111" s="804"/>
      <c r="P111" s="804"/>
      <c r="Q111" s="804"/>
      <c r="R111" s="804"/>
      <c r="S111" s="804"/>
      <c r="T111" s="804"/>
      <c r="U111" s="804"/>
      <c r="V111" s="804"/>
      <c r="W111" s="804"/>
      <c r="X111" s="804"/>
      <c r="Y111" s="804"/>
      <c r="Z111" s="804"/>
      <c r="AA111" s="804"/>
      <c r="AB111" s="804"/>
      <c r="AC111" s="804"/>
      <c r="AD111" s="804"/>
      <c r="AE111" s="804"/>
      <c r="AF111" s="804"/>
      <c r="AG111" s="804"/>
      <c r="AH111" s="804"/>
      <c r="AI111" s="804"/>
      <c r="AJ111" s="804"/>
      <c r="AK111" s="804"/>
      <c r="AL111" s="804"/>
      <c r="AM111" s="804"/>
      <c r="AN111" s="804"/>
      <c r="AO111" s="804"/>
      <c r="AP111" s="804"/>
      <c r="AQ111" s="804"/>
      <c r="AR111" s="804"/>
      <c r="AS111" s="804"/>
      <c r="AT111" s="804"/>
      <c r="AU111" s="804"/>
      <c r="AV111" s="804"/>
      <c r="AW111" s="804"/>
      <c r="AX111" s="804"/>
      <c r="AY111" s="804"/>
      <c r="AZ111" s="804"/>
      <c r="BA111" s="804"/>
      <c r="BB111" s="804"/>
      <c r="BC111" s="804"/>
      <c r="BD111" s="804"/>
      <c r="BE111" s="804"/>
      <c r="BF111" s="804"/>
      <c r="BG111" s="804"/>
      <c r="BH111" s="804"/>
      <c r="BI111" s="804"/>
      <c r="BJ111" s="804"/>
      <c r="BK111" s="804"/>
      <c r="BL111" s="804"/>
      <c r="BM111" s="804"/>
      <c r="BN111" s="804"/>
      <c r="BO111" s="804"/>
      <c r="BP111" s="804"/>
      <c r="BQ111" s="804"/>
      <c r="BR111" s="804"/>
      <c r="BS111" s="804"/>
      <c r="BT111" s="804"/>
      <c r="BU111" s="804"/>
      <c r="BV111" s="804"/>
      <c r="BW111" s="804"/>
      <c r="BX111" s="804"/>
      <c r="BY111" s="804"/>
      <c r="BZ111" s="804"/>
      <c r="CA111" s="804"/>
      <c r="CB111" s="804"/>
      <c r="CC111" s="804"/>
      <c r="CD111" s="804"/>
      <c r="CE111" s="804"/>
      <c r="CF111" s="804"/>
      <c r="CG111" s="804"/>
      <c r="CH111" s="804"/>
      <c r="CI111" s="804"/>
      <c r="CJ111" s="804"/>
      <c r="CK111" s="804"/>
      <c r="CL111" s="804"/>
      <c r="CM111" s="804"/>
      <c r="CN111" s="804"/>
      <c r="CO111" s="804"/>
      <c r="CP111" s="804"/>
      <c r="CQ111" s="804"/>
      <c r="CR111" s="804"/>
      <c r="CS111" s="804"/>
      <c r="CT111" s="804"/>
      <c r="CU111" s="804"/>
      <c r="CV111" s="804"/>
      <c r="CW111" s="804"/>
      <c r="CX111" s="804"/>
      <c r="CY111" s="804"/>
      <c r="CZ111" s="804"/>
      <c r="DA111" s="804"/>
      <c r="DB111" s="804"/>
      <c r="DC111" s="804"/>
      <c r="DD111" s="804"/>
      <c r="DE111" s="804"/>
      <c r="DF111" s="804"/>
    </row>
    <row r="112" spans="1:110">
      <c r="A112" s="804"/>
      <c r="B112" s="804"/>
      <c r="C112" s="804"/>
      <c r="D112" s="804"/>
      <c r="E112" s="804"/>
      <c r="F112" s="804"/>
      <c r="G112" s="804"/>
      <c r="H112" s="804"/>
      <c r="I112" s="804"/>
      <c r="J112" s="804"/>
      <c r="K112" s="804"/>
      <c r="L112" s="804"/>
      <c r="M112" s="804"/>
      <c r="N112" s="804"/>
      <c r="O112" s="804"/>
      <c r="P112" s="804"/>
      <c r="Q112" s="804"/>
      <c r="R112" s="804"/>
      <c r="S112" s="804"/>
      <c r="T112" s="804"/>
      <c r="U112" s="804"/>
      <c r="V112" s="804"/>
      <c r="W112" s="804"/>
      <c r="X112" s="804"/>
      <c r="Y112" s="804"/>
      <c r="Z112" s="804"/>
      <c r="AA112" s="804"/>
      <c r="AB112" s="804"/>
      <c r="AC112" s="804"/>
      <c r="AD112" s="804"/>
      <c r="AE112" s="804"/>
      <c r="AF112" s="804"/>
      <c r="AG112" s="804"/>
      <c r="AH112" s="804"/>
      <c r="AI112" s="804"/>
      <c r="AJ112" s="804"/>
      <c r="AK112" s="804"/>
      <c r="AL112" s="804"/>
      <c r="AM112" s="804"/>
      <c r="AN112" s="804"/>
      <c r="AO112" s="804"/>
      <c r="AP112" s="804"/>
      <c r="AQ112" s="804"/>
      <c r="AR112" s="804"/>
      <c r="AS112" s="804"/>
      <c r="AT112" s="804"/>
      <c r="AU112" s="804"/>
      <c r="AV112" s="804"/>
      <c r="AW112" s="804"/>
      <c r="AX112" s="804"/>
      <c r="AY112" s="804"/>
      <c r="AZ112" s="804"/>
      <c r="BA112" s="804"/>
      <c r="BB112" s="804"/>
      <c r="BC112" s="804"/>
      <c r="BD112" s="804"/>
      <c r="BE112" s="804"/>
      <c r="BF112" s="804"/>
      <c r="BG112" s="804"/>
      <c r="BH112" s="804"/>
      <c r="BI112" s="804"/>
      <c r="BJ112" s="804"/>
      <c r="BK112" s="804"/>
      <c r="BL112" s="804"/>
      <c r="BM112" s="804"/>
      <c r="BN112" s="804"/>
      <c r="BO112" s="804"/>
      <c r="BP112" s="804"/>
      <c r="BQ112" s="804"/>
      <c r="BR112" s="804"/>
      <c r="BS112" s="804"/>
      <c r="BT112" s="804"/>
      <c r="BU112" s="804"/>
      <c r="BV112" s="804"/>
      <c r="BW112" s="804"/>
      <c r="BX112" s="804"/>
      <c r="BY112" s="804"/>
      <c r="BZ112" s="804"/>
      <c r="CA112" s="804"/>
      <c r="CB112" s="804"/>
      <c r="CC112" s="804"/>
      <c r="CD112" s="804"/>
      <c r="CE112" s="804"/>
      <c r="CF112" s="804"/>
      <c r="CG112" s="804"/>
      <c r="CH112" s="804"/>
      <c r="CI112" s="804"/>
      <c r="CJ112" s="804"/>
      <c r="CK112" s="804"/>
      <c r="CL112" s="804"/>
      <c r="CM112" s="804"/>
      <c r="CN112" s="804"/>
      <c r="CO112" s="804"/>
      <c r="CP112" s="804"/>
      <c r="CQ112" s="804"/>
      <c r="CR112" s="804"/>
      <c r="CS112" s="804"/>
      <c r="CT112" s="804"/>
      <c r="CU112" s="804"/>
      <c r="CV112" s="804"/>
      <c r="CW112" s="804"/>
      <c r="CX112" s="804"/>
      <c r="CY112" s="804"/>
      <c r="CZ112" s="804"/>
      <c r="DA112" s="804"/>
      <c r="DB112" s="804"/>
      <c r="DC112" s="804"/>
      <c r="DD112" s="804"/>
      <c r="DE112" s="804"/>
      <c r="DF112" s="804"/>
    </row>
    <row r="113" spans="1:110">
      <c r="A113" s="804"/>
      <c r="B113" s="804"/>
      <c r="C113" s="804"/>
      <c r="D113" s="804"/>
      <c r="E113" s="804"/>
      <c r="F113" s="804"/>
      <c r="G113" s="804"/>
      <c r="H113" s="804"/>
      <c r="I113" s="804"/>
      <c r="J113" s="804"/>
      <c r="K113" s="804"/>
      <c r="L113" s="804"/>
      <c r="M113" s="804"/>
      <c r="N113" s="804"/>
      <c r="O113" s="804"/>
      <c r="P113" s="804"/>
      <c r="Q113" s="804"/>
      <c r="R113" s="804"/>
      <c r="S113" s="804"/>
      <c r="T113" s="804"/>
      <c r="U113" s="804"/>
      <c r="V113" s="804"/>
      <c r="W113" s="804"/>
      <c r="X113" s="804"/>
      <c r="Y113" s="804"/>
      <c r="Z113" s="804"/>
      <c r="AA113" s="804"/>
      <c r="AB113" s="804"/>
      <c r="AC113" s="804"/>
      <c r="AD113" s="804"/>
      <c r="AE113" s="804"/>
      <c r="AF113" s="804"/>
      <c r="AG113" s="804"/>
      <c r="AH113" s="804"/>
      <c r="AI113" s="804"/>
      <c r="AJ113" s="804"/>
      <c r="AK113" s="804"/>
      <c r="AL113" s="804"/>
      <c r="AM113" s="804"/>
      <c r="AN113" s="804"/>
      <c r="AO113" s="804"/>
      <c r="AP113" s="804"/>
      <c r="AQ113" s="804"/>
      <c r="AR113" s="804"/>
      <c r="AS113" s="804"/>
      <c r="AT113" s="804"/>
      <c r="AU113" s="804"/>
      <c r="AV113" s="804"/>
      <c r="AW113" s="804"/>
      <c r="AX113" s="804"/>
      <c r="AY113" s="804"/>
      <c r="AZ113" s="804"/>
      <c r="BA113" s="804"/>
      <c r="BB113" s="804"/>
      <c r="BC113" s="804"/>
      <c r="BD113" s="804"/>
      <c r="BE113" s="804"/>
      <c r="BF113" s="804"/>
      <c r="BG113" s="804"/>
      <c r="BH113" s="804"/>
      <c r="BI113" s="804"/>
      <c r="BJ113" s="804"/>
      <c r="BK113" s="804"/>
      <c r="BL113" s="804"/>
      <c r="BM113" s="804"/>
      <c r="BN113" s="804"/>
      <c r="BO113" s="804"/>
      <c r="BP113" s="804"/>
      <c r="BQ113" s="804"/>
      <c r="BR113" s="804"/>
      <c r="BS113" s="804"/>
      <c r="BT113" s="804"/>
      <c r="BU113" s="804"/>
      <c r="BV113" s="804"/>
      <c r="BW113" s="804"/>
      <c r="BX113" s="804"/>
      <c r="BY113" s="804"/>
      <c r="BZ113" s="804"/>
      <c r="CA113" s="804"/>
      <c r="CB113" s="804"/>
      <c r="CC113" s="804"/>
      <c r="CD113" s="804"/>
      <c r="CE113" s="804"/>
      <c r="CF113" s="804"/>
      <c r="CG113" s="804"/>
      <c r="CH113" s="804"/>
      <c r="CI113" s="804"/>
      <c r="CJ113" s="804"/>
      <c r="CK113" s="804"/>
      <c r="CL113" s="804"/>
      <c r="CM113" s="804"/>
      <c r="CN113" s="804"/>
      <c r="CO113" s="804"/>
      <c r="CP113" s="804"/>
      <c r="CQ113" s="804"/>
      <c r="CR113" s="804"/>
      <c r="CS113" s="804"/>
      <c r="CT113" s="804"/>
      <c r="CU113" s="804"/>
      <c r="CV113" s="804"/>
      <c r="CW113" s="804"/>
      <c r="CX113" s="804"/>
      <c r="CY113" s="804"/>
      <c r="CZ113" s="804"/>
      <c r="DA113" s="804"/>
      <c r="DB113" s="804"/>
      <c r="DC113" s="804"/>
      <c r="DD113" s="804"/>
      <c r="DE113" s="804"/>
      <c r="DF113" s="804"/>
    </row>
    <row r="114" spans="1:110">
      <c r="A114" s="804"/>
      <c r="B114" s="804"/>
      <c r="C114" s="804"/>
      <c r="D114" s="804"/>
      <c r="E114" s="804"/>
      <c r="F114" s="804"/>
      <c r="G114" s="804"/>
      <c r="H114" s="804"/>
      <c r="I114" s="804"/>
      <c r="J114" s="804"/>
      <c r="K114" s="804"/>
      <c r="L114" s="804"/>
      <c r="M114" s="804"/>
      <c r="N114" s="804"/>
      <c r="O114" s="804"/>
      <c r="P114" s="804"/>
      <c r="Q114" s="804"/>
      <c r="R114" s="804"/>
      <c r="S114" s="804"/>
      <c r="T114" s="804"/>
      <c r="U114" s="804"/>
      <c r="V114" s="804"/>
      <c r="W114" s="804"/>
      <c r="X114" s="804"/>
      <c r="Y114" s="804"/>
      <c r="Z114" s="804"/>
      <c r="AA114" s="804"/>
      <c r="AB114" s="804"/>
      <c r="AC114" s="804"/>
      <c r="AD114" s="804"/>
      <c r="AE114" s="804"/>
      <c r="AF114" s="804"/>
      <c r="AG114" s="804"/>
      <c r="AH114" s="804"/>
      <c r="AI114" s="804"/>
      <c r="AJ114" s="804"/>
      <c r="AK114" s="804"/>
      <c r="AL114" s="804"/>
      <c r="AM114" s="804"/>
      <c r="AN114" s="804"/>
      <c r="AO114" s="804"/>
      <c r="AP114" s="804"/>
      <c r="AQ114" s="804"/>
      <c r="AR114" s="804"/>
      <c r="AS114" s="804"/>
      <c r="AT114" s="804"/>
      <c r="AU114" s="804"/>
      <c r="AV114" s="804"/>
      <c r="AW114" s="804"/>
      <c r="AX114" s="804"/>
      <c r="AY114" s="804"/>
      <c r="AZ114" s="804"/>
      <c r="BA114" s="804"/>
      <c r="BB114" s="804"/>
      <c r="BC114" s="804"/>
      <c r="BD114" s="804"/>
      <c r="BE114" s="804"/>
      <c r="BF114" s="804"/>
      <c r="BG114" s="804"/>
      <c r="BH114" s="804"/>
      <c r="BI114" s="804"/>
      <c r="BJ114" s="804"/>
      <c r="BK114" s="804"/>
      <c r="BL114" s="804"/>
      <c r="BM114" s="804"/>
      <c r="BN114" s="804"/>
      <c r="BO114" s="804"/>
      <c r="BP114" s="804"/>
      <c r="BQ114" s="804"/>
      <c r="BR114" s="804"/>
      <c r="BS114" s="804"/>
      <c r="BT114" s="804"/>
      <c r="BU114" s="804"/>
      <c r="BV114" s="804"/>
      <c r="BW114" s="804"/>
      <c r="BX114" s="804"/>
      <c r="BY114" s="804"/>
      <c r="BZ114" s="804"/>
      <c r="CA114" s="804"/>
      <c r="CB114" s="804"/>
      <c r="CC114" s="804"/>
      <c r="CD114" s="804"/>
      <c r="CE114" s="804"/>
      <c r="CF114" s="804"/>
      <c r="CG114" s="804"/>
      <c r="CH114" s="804"/>
      <c r="CI114" s="804"/>
      <c r="CJ114" s="804"/>
      <c r="CK114" s="804"/>
      <c r="CL114" s="804"/>
      <c r="CM114" s="804"/>
      <c r="CN114" s="804"/>
      <c r="CO114" s="804"/>
      <c r="CP114" s="804"/>
      <c r="CQ114" s="804"/>
      <c r="CR114" s="804"/>
      <c r="CS114" s="804"/>
      <c r="CT114" s="804"/>
      <c r="CU114" s="804"/>
      <c r="CV114" s="804"/>
      <c r="CW114" s="804"/>
      <c r="CX114" s="804"/>
      <c r="CY114" s="804"/>
      <c r="CZ114" s="804"/>
      <c r="DA114" s="804"/>
      <c r="DB114" s="804"/>
      <c r="DC114" s="804"/>
      <c r="DD114" s="804"/>
      <c r="DE114" s="804"/>
      <c r="DF114" s="804"/>
    </row>
    <row r="115" spans="1:110">
      <c r="A115" s="804"/>
      <c r="B115" s="804"/>
      <c r="C115" s="804"/>
      <c r="D115" s="804"/>
      <c r="E115" s="804"/>
      <c r="F115" s="804"/>
      <c r="G115" s="804"/>
      <c r="H115" s="804"/>
      <c r="I115" s="804"/>
      <c r="J115" s="804"/>
      <c r="K115" s="804"/>
      <c r="L115" s="804"/>
      <c r="M115" s="804"/>
      <c r="N115" s="804"/>
      <c r="O115" s="804"/>
      <c r="P115" s="804"/>
      <c r="Q115" s="804"/>
      <c r="R115" s="804"/>
      <c r="S115" s="804"/>
      <c r="T115" s="804"/>
      <c r="U115" s="804"/>
      <c r="V115" s="804"/>
      <c r="W115" s="804"/>
      <c r="X115" s="804"/>
      <c r="Y115" s="804"/>
      <c r="Z115" s="804"/>
      <c r="AA115" s="804"/>
      <c r="AB115" s="804"/>
      <c r="AC115" s="804"/>
      <c r="AD115" s="804"/>
      <c r="AE115" s="804"/>
      <c r="AF115" s="804"/>
      <c r="AG115" s="804"/>
      <c r="AH115" s="804"/>
      <c r="AI115" s="804"/>
      <c r="AJ115" s="804"/>
      <c r="AK115" s="804"/>
      <c r="AL115" s="804"/>
      <c r="AM115" s="804"/>
      <c r="AN115" s="804"/>
      <c r="AO115" s="804"/>
      <c r="AP115" s="804"/>
      <c r="AQ115" s="804"/>
      <c r="AR115" s="804"/>
      <c r="AS115" s="804"/>
      <c r="AT115" s="804"/>
      <c r="AU115" s="804"/>
      <c r="AV115" s="804"/>
      <c r="AW115" s="804"/>
      <c r="AX115" s="804"/>
      <c r="AY115" s="804"/>
      <c r="AZ115" s="804"/>
      <c r="BA115" s="804"/>
      <c r="BB115" s="804"/>
      <c r="BC115" s="804"/>
      <c r="BD115" s="804"/>
      <c r="BE115" s="804"/>
      <c r="BF115" s="804"/>
      <c r="BG115" s="804"/>
      <c r="BH115" s="804"/>
      <c r="BI115" s="804"/>
      <c r="BJ115" s="804"/>
      <c r="BK115" s="804"/>
      <c r="BL115" s="804"/>
      <c r="BM115" s="804"/>
      <c r="BN115" s="804"/>
      <c r="BO115" s="804"/>
      <c r="BP115" s="804"/>
      <c r="BQ115" s="804"/>
      <c r="BR115" s="804"/>
      <c r="BS115" s="804"/>
      <c r="BT115" s="804"/>
      <c r="BU115" s="804"/>
      <c r="BV115" s="804"/>
      <c r="BW115" s="804"/>
      <c r="BX115" s="804"/>
      <c r="BY115" s="804"/>
      <c r="BZ115" s="804"/>
      <c r="CA115" s="804"/>
      <c r="CB115" s="804"/>
      <c r="CC115" s="804"/>
      <c r="CD115" s="804"/>
      <c r="CE115" s="804"/>
      <c r="CF115" s="804"/>
      <c r="CG115" s="804"/>
      <c r="CH115" s="804"/>
      <c r="CI115" s="804"/>
      <c r="CJ115" s="804"/>
      <c r="CK115" s="804"/>
      <c r="CL115" s="804"/>
      <c r="CM115" s="804"/>
      <c r="CN115" s="804"/>
      <c r="CO115" s="804"/>
      <c r="CP115" s="804"/>
      <c r="CQ115" s="804"/>
      <c r="CR115" s="804"/>
      <c r="CS115" s="804"/>
      <c r="CT115" s="804"/>
      <c r="CU115" s="804"/>
      <c r="CV115" s="804"/>
      <c r="CW115" s="804"/>
      <c r="CX115" s="804"/>
      <c r="CY115" s="804"/>
      <c r="CZ115" s="804"/>
      <c r="DA115" s="804"/>
      <c r="DB115" s="804"/>
      <c r="DC115" s="804"/>
      <c r="DD115" s="804"/>
      <c r="DE115" s="804"/>
      <c r="DF115" s="804"/>
    </row>
    <row r="116" spans="1:110">
      <c r="A116" s="804"/>
      <c r="B116" s="804"/>
      <c r="C116" s="804"/>
      <c r="D116" s="804"/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  <c r="AD116" s="804"/>
      <c r="AE116" s="804"/>
      <c r="AF116" s="804"/>
      <c r="AG116" s="804"/>
      <c r="AH116" s="804"/>
      <c r="AI116" s="804"/>
      <c r="AJ116" s="804"/>
      <c r="AK116" s="804"/>
      <c r="AL116" s="804"/>
      <c r="AM116" s="804"/>
      <c r="AN116" s="804"/>
      <c r="AO116" s="804"/>
      <c r="AP116" s="804"/>
      <c r="AQ116" s="804"/>
      <c r="AR116" s="804"/>
      <c r="AS116" s="804"/>
      <c r="AT116" s="804"/>
      <c r="AU116" s="804"/>
      <c r="AV116" s="804"/>
      <c r="AW116" s="804"/>
      <c r="AX116" s="804"/>
      <c r="AY116" s="804"/>
      <c r="AZ116" s="804"/>
      <c r="BA116" s="804"/>
      <c r="BB116" s="804"/>
      <c r="BC116" s="804"/>
      <c r="BD116" s="804"/>
      <c r="BE116" s="804"/>
      <c r="BF116" s="804"/>
      <c r="BG116" s="804"/>
      <c r="BH116" s="804"/>
      <c r="BI116" s="804"/>
      <c r="BJ116" s="804"/>
      <c r="BK116" s="804"/>
      <c r="BL116" s="804"/>
      <c r="BM116" s="804"/>
      <c r="BN116" s="804"/>
      <c r="BO116" s="804"/>
      <c r="BP116" s="804"/>
      <c r="BQ116" s="804"/>
      <c r="BR116" s="804"/>
      <c r="BS116" s="804"/>
      <c r="BT116" s="804"/>
      <c r="BU116" s="804"/>
      <c r="BV116" s="804"/>
      <c r="BW116" s="804"/>
      <c r="BX116" s="804"/>
      <c r="BY116" s="804"/>
      <c r="BZ116" s="804"/>
      <c r="CA116" s="804"/>
      <c r="CB116" s="804"/>
      <c r="CC116" s="804"/>
      <c r="CD116" s="804"/>
      <c r="CE116" s="804"/>
      <c r="CF116" s="804"/>
      <c r="CG116" s="804"/>
      <c r="CH116" s="804"/>
      <c r="CI116" s="804"/>
      <c r="CJ116" s="804"/>
      <c r="CK116" s="804"/>
      <c r="CL116" s="804"/>
      <c r="CM116" s="804"/>
      <c r="CN116" s="804"/>
      <c r="CO116" s="804"/>
      <c r="CP116" s="804"/>
      <c r="CQ116" s="804"/>
      <c r="CR116" s="804"/>
      <c r="CS116" s="804"/>
      <c r="CT116" s="804"/>
      <c r="CU116" s="804"/>
      <c r="CV116" s="804"/>
      <c r="CW116" s="804"/>
      <c r="CX116" s="804"/>
      <c r="CY116" s="804"/>
      <c r="CZ116" s="804"/>
      <c r="DA116" s="804"/>
      <c r="DB116" s="804"/>
      <c r="DC116" s="804"/>
      <c r="DD116" s="804"/>
      <c r="DE116" s="804"/>
      <c r="DF116" s="804"/>
    </row>
    <row r="117" spans="1:110">
      <c r="A117" s="804"/>
      <c r="B117" s="804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4"/>
      <c r="S117" s="804"/>
      <c r="T117" s="804"/>
      <c r="U117" s="804"/>
      <c r="V117" s="804"/>
      <c r="W117" s="804"/>
      <c r="X117" s="804"/>
      <c r="Y117" s="804"/>
      <c r="Z117" s="804"/>
      <c r="AA117" s="804"/>
      <c r="AB117" s="804"/>
      <c r="AC117" s="804"/>
      <c r="AD117" s="804"/>
      <c r="AE117" s="804"/>
      <c r="AF117" s="804"/>
      <c r="AG117" s="804"/>
      <c r="AH117" s="804"/>
      <c r="AI117" s="804"/>
      <c r="AJ117" s="804"/>
      <c r="AK117" s="804"/>
      <c r="AL117" s="804"/>
      <c r="AM117" s="804"/>
      <c r="AN117" s="804"/>
      <c r="AO117" s="804"/>
      <c r="AP117" s="804"/>
      <c r="AQ117" s="804"/>
      <c r="AR117" s="804"/>
      <c r="AS117" s="804"/>
      <c r="AT117" s="804"/>
      <c r="AU117" s="804"/>
      <c r="AV117" s="804"/>
      <c r="AW117" s="804"/>
      <c r="AX117" s="804"/>
      <c r="AY117" s="804"/>
      <c r="AZ117" s="804"/>
      <c r="BA117" s="804"/>
      <c r="BB117" s="804"/>
      <c r="BC117" s="804"/>
      <c r="BD117" s="804"/>
      <c r="BE117" s="804"/>
      <c r="BF117" s="804"/>
      <c r="BG117" s="804"/>
      <c r="BH117" s="804"/>
      <c r="BI117" s="804"/>
      <c r="BJ117" s="804"/>
      <c r="BK117" s="804"/>
      <c r="BL117" s="804"/>
      <c r="BM117" s="804"/>
      <c r="BN117" s="804"/>
      <c r="BO117" s="804"/>
      <c r="BP117" s="804"/>
      <c r="BQ117" s="804"/>
      <c r="BR117" s="804"/>
      <c r="BS117" s="804"/>
      <c r="BT117" s="804"/>
      <c r="BU117" s="804"/>
      <c r="BV117" s="804"/>
      <c r="BW117" s="804"/>
      <c r="BX117" s="804"/>
      <c r="BY117" s="804"/>
      <c r="BZ117" s="804"/>
      <c r="CA117" s="804"/>
      <c r="CB117" s="804"/>
      <c r="CC117" s="804"/>
      <c r="CD117" s="804"/>
      <c r="CE117" s="804"/>
      <c r="CF117" s="804"/>
      <c r="CG117" s="804"/>
      <c r="CH117" s="804"/>
      <c r="CI117" s="804"/>
      <c r="CJ117" s="804"/>
      <c r="CK117" s="804"/>
      <c r="CL117" s="804"/>
      <c r="CM117" s="804"/>
      <c r="CN117" s="804"/>
      <c r="CO117" s="804"/>
      <c r="CP117" s="804"/>
      <c r="CQ117" s="804"/>
      <c r="CR117" s="804"/>
      <c r="CS117" s="804"/>
      <c r="CT117" s="804"/>
      <c r="CU117" s="804"/>
      <c r="CV117" s="804"/>
      <c r="CW117" s="804"/>
      <c r="CX117" s="804"/>
      <c r="CY117" s="804"/>
      <c r="CZ117" s="804"/>
      <c r="DA117" s="804"/>
      <c r="DB117" s="804"/>
      <c r="DC117" s="804"/>
      <c r="DD117" s="804"/>
      <c r="DE117" s="804"/>
      <c r="DF117" s="804"/>
    </row>
    <row r="118" spans="1:110">
      <c r="A118" s="804"/>
      <c r="B118" s="804"/>
      <c r="C118" s="804"/>
      <c r="D118" s="804"/>
      <c r="E118" s="804"/>
      <c r="F118" s="804"/>
      <c r="G118" s="804"/>
      <c r="H118" s="804"/>
      <c r="I118" s="804"/>
      <c r="J118" s="804"/>
      <c r="K118" s="804"/>
      <c r="L118" s="804"/>
      <c r="M118" s="804"/>
      <c r="N118" s="804"/>
      <c r="O118" s="804"/>
      <c r="P118" s="804"/>
      <c r="Q118" s="804"/>
      <c r="R118" s="804"/>
      <c r="S118" s="804"/>
      <c r="T118" s="804"/>
      <c r="U118" s="804"/>
      <c r="V118" s="804"/>
      <c r="W118" s="804"/>
      <c r="X118" s="804"/>
      <c r="Y118" s="804"/>
      <c r="Z118" s="804"/>
      <c r="AA118" s="804"/>
      <c r="AB118" s="804"/>
      <c r="AC118" s="804"/>
      <c r="AD118" s="804"/>
      <c r="AE118" s="804"/>
      <c r="AF118" s="804"/>
      <c r="AG118" s="804"/>
      <c r="AH118" s="804"/>
      <c r="AI118" s="804"/>
      <c r="AJ118" s="804"/>
      <c r="AK118" s="804"/>
      <c r="AL118" s="804"/>
      <c r="AM118" s="804"/>
      <c r="AN118" s="804"/>
      <c r="AO118" s="804"/>
      <c r="AP118" s="804"/>
      <c r="AQ118" s="804"/>
      <c r="AR118" s="804"/>
      <c r="AS118" s="804"/>
      <c r="AT118" s="804"/>
      <c r="AU118" s="804"/>
      <c r="AV118" s="804"/>
      <c r="AW118" s="804"/>
      <c r="AX118" s="804"/>
      <c r="AY118" s="804"/>
      <c r="AZ118" s="804"/>
      <c r="BA118" s="804"/>
      <c r="BB118" s="804"/>
      <c r="BC118" s="804"/>
      <c r="BD118" s="804"/>
      <c r="BE118" s="804"/>
      <c r="BF118" s="804"/>
      <c r="BG118" s="804"/>
      <c r="BH118" s="804"/>
      <c r="BI118" s="804"/>
      <c r="BJ118" s="804"/>
      <c r="BK118" s="804"/>
      <c r="BL118" s="804"/>
      <c r="BM118" s="804"/>
      <c r="BN118" s="804"/>
      <c r="BO118" s="804"/>
      <c r="BP118" s="804"/>
      <c r="BQ118" s="804"/>
      <c r="BR118" s="804"/>
      <c r="BS118" s="804"/>
      <c r="BT118" s="804"/>
      <c r="BU118" s="804"/>
      <c r="BV118" s="804"/>
      <c r="BW118" s="804"/>
      <c r="BX118" s="804"/>
      <c r="BY118" s="804"/>
      <c r="BZ118" s="804"/>
      <c r="CA118" s="804"/>
      <c r="CB118" s="804"/>
      <c r="CC118" s="804"/>
      <c r="CD118" s="804"/>
      <c r="CE118" s="804"/>
      <c r="CF118" s="804"/>
      <c r="CG118" s="804"/>
      <c r="CH118" s="804"/>
      <c r="CI118" s="804"/>
      <c r="CJ118" s="804"/>
      <c r="CK118" s="804"/>
      <c r="CL118" s="804"/>
      <c r="CM118" s="804"/>
      <c r="CN118" s="804"/>
      <c r="CO118" s="804"/>
      <c r="CP118" s="804"/>
      <c r="CQ118" s="804"/>
      <c r="CR118" s="804"/>
      <c r="CS118" s="804"/>
      <c r="CT118" s="804"/>
      <c r="CU118" s="804"/>
      <c r="CV118" s="804"/>
      <c r="CW118" s="804"/>
      <c r="CX118" s="804"/>
      <c r="CY118" s="804"/>
      <c r="CZ118" s="804"/>
      <c r="DA118" s="804"/>
      <c r="DB118" s="804"/>
      <c r="DC118" s="804"/>
      <c r="DD118" s="804"/>
      <c r="DE118" s="804"/>
      <c r="DF118" s="804"/>
    </row>
    <row r="119" spans="1:110">
      <c r="A119" s="804"/>
      <c r="B119" s="804"/>
      <c r="C119" s="804"/>
      <c r="D119" s="804"/>
      <c r="E119" s="804"/>
      <c r="F119" s="804"/>
      <c r="G119" s="804"/>
      <c r="H119" s="804"/>
      <c r="I119" s="804"/>
      <c r="J119" s="804"/>
      <c r="K119" s="804"/>
      <c r="L119" s="804"/>
      <c r="M119" s="804"/>
      <c r="N119" s="804"/>
      <c r="O119" s="804"/>
      <c r="P119" s="804"/>
      <c r="Q119" s="804"/>
      <c r="R119" s="804"/>
      <c r="S119" s="804"/>
      <c r="T119" s="804"/>
      <c r="U119" s="804"/>
      <c r="V119" s="804"/>
      <c r="W119" s="804"/>
      <c r="X119" s="804"/>
      <c r="Y119" s="804"/>
      <c r="Z119" s="804"/>
      <c r="AA119" s="804"/>
      <c r="AB119" s="804"/>
      <c r="AC119" s="804"/>
      <c r="AD119" s="804"/>
      <c r="AE119" s="804"/>
      <c r="AF119" s="804"/>
      <c r="AG119" s="804"/>
      <c r="AH119" s="804"/>
      <c r="AI119" s="804"/>
      <c r="AJ119" s="804"/>
      <c r="AK119" s="804"/>
      <c r="AL119" s="804"/>
      <c r="AM119" s="804"/>
      <c r="AN119" s="804"/>
      <c r="AO119" s="804"/>
      <c r="AP119" s="804"/>
      <c r="AQ119" s="804"/>
      <c r="AR119" s="804"/>
      <c r="AS119" s="804"/>
      <c r="AT119" s="804"/>
      <c r="AU119" s="804"/>
      <c r="AV119" s="804"/>
      <c r="AW119" s="804"/>
      <c r="AX119" s="804"/>
      <c r="AY119" s="804"/>
      <c r="AZ119" s="804"/>
      <c r="BA119" s="804"/>
      <c r="BB119" s="804"/>
      <c r="BC119" s="804"/>
      <c r="BD119" s="804"/>
      <c r="BE119" s="804"/>
      <c r="BF119" s="804"/>
      <c r="BG119" s="804"/>
      <c r="BH119" s="804"/>
      <c r="BI119" s="804"/>
      <c r="BJ119" s="804"/>
      <c r="BK119" s="804"/>
      <c r="BL119" s="804"/>
      <c r="BM119" s="804"/>
      <c r="BN119" s="804"/>
      <c r="BO119" s="804"/>
      <c r="BP119" s="804"/>
      <c r="BQ119" s="804"/>
      <c r="BR119" s="804"/>
      <c r="BS119" s="804"/>
      <c r="BT119" s="804"/>
      <c r="BU119" s="804"/>
      <c r="BV119" s="804"/>
      <c r="BW119" s="804"/>
      <c r="BX119" s="804"/>
      <c r="BY119" s="804"/>
      <c r="BZ119" s="804"/>
      <c r="CA119" s="804"/>
      <c r="CB119" s="804"/>
      <c r="CC119" s="804"/>
      <c r="CD119" s="804"/>
      <c r="CE119" s="804"/>
      <c r="CF119" s="804"/>
      <c r="CG119" s="804"/>
      <c r="CH119" s="804"/>
      <c r="CI119" s="804"/>
      <c r="CJ119" s="804"/>
      <c r="CK119" s="804"/>
      <c r="CL119" s="804"/>
      <c r="CM119" s="804"/>
      <c r="CN119" s="804"/>
      <c r="CO119" s="804"/>
      <c r="CP119" s="804"/>
      <c r="CQ119" s="804"/>
      <c r="CR119" s="804"/>
      <c r="CS119" s="804"/>
      <c r="CT119" s="804"/>
      <c r="CU119" s="804"/>
      <c r="CV119" s="804"/>
      <c r="CW119" s="804"/>
      <c r="CX119" s="804"/>
      <c r="CY119" s="804"/>
      <c r="CZ119" s="804"/>
      <c r="DA119" s="804"/>
      <c r="DB119" s="804"/>
      <c r="DC119" s="804"/>
      <c r="DD119" s="804"/>
      <c r="DE119" s="804"/>
      <c r="DF119" s="804"/>
    </row>
    <row r="120" spans="1:110">
      <c r="A120" s="804"/>
      <c r="B120" s="804"/>
      <c r="C120" s="804"/>
      <c r="D120" s="804"/>
      <c r="E120" s="804"/>
      <c r="F120" s="804"/>
      <c r="G120" s="804"/>
      <c r="H120" s="804"/>
      <c r="I120" s="804"/>
      <c r="J120" s="804"/>
      <c r="K120" s="804"/>
      <c r="L120" s="804"/>
      <c r="M120" s="804"/>
      <c r="N120" s="804"/>
      <c r="O120" s="804"/>
      <c r="P120" s="804"/>
      <c r="Q120" s="804"/>
      <c r="R120" s="804"/>
      <c r="S120" s="804"/>
      <c r="T120" s="804"/>
      <c r="U120" s="804"/>
      <c r="V120" s="804"/>
      <c r="W120" s="804"/>
      <c r="X120" s="804"/>
      <c r="Y120" s="804"/>
      <c r="Z120" s="804"/>
      <c r="AA120" s="804"/>
      <c r="AB120" s="804"/>
      <c r="AC120" s="804"/>
      <c r="AD120" s="804"/>
      <c r="AE120" s="804"/>
      <c r="AF120" s="804"/>
      <c r="AG120" s="804"/>
      <c r="AH120" s="804"/>
      <c r="AI120" s="804"/>
      <c r="AJ120" s="804"/>
      <c r="AK120" s="804"/>
      <c r="AL120" s="804"/>
      <c r="AM120" s="804"/>
      <c r="AN120" s="804"/>
      <c r="AO120" s="804"/>
      <c r="AP120" s="804"/>
      <c r="AQ120" s="804"/>
      <c r="AR120" s="804"/>
      <c r="AS120" s="804"/>
      <c r="AT120" s="804"/>
      <c r="AU120" s="804"/>
      <c r="AV120" s="804"/>
      <c r="AW120" s="804"/>
      <c r="AX120" s="804"/>
      <c r="AY120" s="804"/>
      <c r="AZ120" s="804"/>
      <c r="BA120" s="804"/>
      <c r="BB120" s="804"/>
      <c r="BC120" s="804"/>
      <c r="BD120" s="804"/>
      <c r="BE120" s="804"/>
      <c r="BF120" s="804"/>
      <c r="BG120" s="804"/>
      <c r="BH120" s="804"/>
      <c r="BI120" s="804"/>
      <c r="BJ120" s="804"/>
      <c r="BK120" s="804"/>
      <c r="BL120" s="804"/>
      <c r="BM120" s="804"/>
      <c r="BN120" s="804"/>
      <c r="BO120" s="804"/>
      <c r="BP120" s="804"/>
      <c r="BQ120" s="804"/>
      <c r="BR120" s="804"/>
      <c r="BS120" s="804"/>
      <c r="BT120" s="804"/>
      <c r="BU120" s="804"/>
      <c r="BV120" s="804"/>
      <c r="BW120" s="804"/>
      <c r="BX120" s="804"/>
      <c r="BY120" s="804"/>
      <c r="BZ120" s="804"/>
      <c r="CA120" s="804"/>
      <c r="CB120" s="804"/>
      <c r="CC120" s="804"/>
      <c r="CD120" s="804"/>
      <c r="CE120" s="804"/>
      <c r="CF120" s="804"/>
      <c r="CG120" s="804"/>
      <c r="CH120" s="804"/>
      <c r="CI120" s="804"/>
      <c r="CJ120" s="804"/>
      <c r="CK120" s="804"/>
      <c r="CL120" s="804"/>
      <c r="CM120" s="804"/>
      <c r="CN120" s="804"/>
      <c r="CO120" s="804"/>
      <c r="CP120" s="804"/>
      <c r="CQ120" s="804"/>
      <c r="CR120" s="804"/>
      <c r="CS120" s="804"/>
      <c r="CT120" s="804"/>
      <c r="CU120" s="804"/>
      <c r="CV120" s="804"/>
      <c r="CW120" s="804"/>
      <c r="CX120" s="804"/>
      <c r="CY120" s="804"/>
      <c r="CZ120" s="804"/>
      <c r="DA120" s="804"/>
      <c r="DB120" s="804"/>
      <c r="DC120" s="804"/>
      <c r="DD120" s="804"/>
      <c r="DE120" s="804"/>
      <c r="DF120" s="804"/>
    </row>
    <row r="121" spans="1:110">
      <c r="A121" s="804"/>
      <c r="B121" s="804"/>
      <c r="C121" s="804"/>
      <c r="D121" s="804"/>
      <c r="E121" s="804"/>
      <c r="F121" s="804"/>
      <c r="G121" s="804"/>
      <c r="H121" s="804"/>
      <c r="I121" s="804"/>
      <c r="J121" s="804"/>
      <c r="K121" s="804"/>
      <c r="L121" s="804"/>
      <c r="M121" s="804"/>
      <c r="N121" s="804"/>
      <c r="O121" s="804"/>
      <c r="P121" s="804"/>
      <c r="Q121" s="804"/>
      <c r="R121" s="804"/>
      <c r="S121" s="804"/>
      <c r="T121" s="804"/>
      <c r="U121" s="804"/>
      <c r="V121" s="804"/>
      <c r="W121" s="804"/>
      <c r="X121" s="804"/>
      <c r="Y121" s="804"/>
      <c r="Z121" s="804"/>
      <c r="AA121" s="804"/>
      <c r="AB121" s="804"/>
      <c r="AC121" s="804"/>
      <c r="AD121" s="804"/>
      <c r="AE121" s="804"/>
      <c r="AF121" s="804"/>
      <c r="AG121" s="804"/>
      <c r="AH121" s="804"/>
      <c r="AI121" s="804"/>
      <c r="AJ121" s="804"/>
      <c r="AK121" s="804"/>
      <c r="AL121" s="804"/>
      <c r="AM121" s="804"/>
      <c r="AN121" s="804"/>
      <c r="AO121" s="804"/>
      <c r="AP121" s="804"/>
      <c r="AQ121" s="804"/>
      <c r="AR121" s="804"/>
      <c r="AS121" s="804"/>
      <c r="AT121" s="804"/>
      <c r="AU121" s="804"/>
      <c r="AV121" s="804"/>
      <c r="AW121" s="804"/>
      <c r="AX121" s="804"/>
      <c r="AY121" s="804"/>
      <c r="AZ121" s="804"/>
      <c r="BA121" s="804"/>
      <c r="BB121" s="804"/>
      <c r="BC121" s="804"/>
      <c r="BD121" s="804"/>
      <c r="BE121" s="804"/>
      <c r="BF121" s="804"/>
      <c r="BG121" s="804"/>
      <c r="BH121" s="804"/>
      <c r="BI121" s="804"/>
      <c r="BJ121" s="804"/>
      <c r="BK121" s="804"/>
      <c r="BL121" s="804"/>
      <c r="BM121" s="804"/>
      <c r="BN121" s="804"/>
      <c r="BO121" s="804"/>
      <c r="BP121" s="804"/>
      <c r="BQ121" s="804"/>
      <c r="BR121" s="804"/>
      <c r="BS121" s="804"/>
      <c r="BT121" s="804"/>
      <c r="BU121" s="804"/>
      <c r="BV121" s="804"/>
      <c r="BW121" s="804"/>
      <c r="BX121" s="804"/>
      <c r="BY121" s="804"/>
      <c r="BZ121" s="804"/>
      <c r="CA121" s="804"/>
      <c r="CB121" s="804"/>
      <c r="CC121" s="804"/>
      <c r="CD121" s="804"/>
      <c r="CE121" s="804"/>
      <c r="CF121" s="804"/>
      <c r="CG121" s="804"/>
      <c r="CH121" s="804"/>
      <c r="CI121" s="804"/>
      <c r="CJ121" s="804"/>
      <c r="CK121" s="804"/>
      <c r="CL121" s="804"/>
      <c r="CM121" s="804"/>
      <c r="CN121" s="804"/>
      <c r="CO121" s="804"/>
      <c r="CP121" s="804"/>
      <c r="CQ121" s="804"/>
      <c r="CR121" s="804"/>
      <c r="CS121" s="804"/>
      <c r="CT121" s="804"/>
      <c r="CU121" s="804"/>
      <c r="CV121" s="804"/>
      <c r="CW121" s="804"/>
      <c r="CX121" s="804"/>
      <c r="CY121" s="804"/>
      <c r="CZ121" s="804"/>
      <c r="DA121" s="804"/>
      <c r="DB121" s="804"/>
      <c r="DC121" s="804"/>
      <c r="DD121" s="804"/>
      <c r="DE121" s="804"/>
      <c r="DF121" s="804"/>
    </row>
    <row r="122" spans="1:110">
      <c r="A122" s="804"/>
      <c r="B122" s="804"/>
      <c r="C122" s="804"/>
      <c r="D122" s="804"/>
      <c r="E122" s="804"/>
      <c r="F122" s="804"/>
      <c r="G122" s="804"/>
      <c r="H122" s="804"/>
      <c r="I122" s="804"/>
      <c r="J122" s="804"/>
      <c r="K122" s="804"/>
      <c r="L122" s="804"/>
      <c r="M122" s="804"/>
      <c r="N122" s="804"/>
      <c r="O122" s="804"/>
      <c r="P122" s="804"/>
      <c r="Q122" s="804"/>
      <c r="R122" s="804"/>
      <c r="S122" s="804"/>
      <c r="T122" s="804"/>
      <c r="U122" s="804"/>
      <c r="V122" s="804"/>
      <c r="W122" s="804"/>
      <c r="X122" s="804"/>
      <c r="Y122" s="804"/>
      <c r="Z122" s="804"/>
      <c r="AA122" s="804"/>
      <c r="AB122" s="804"/>
      <c r="AC122" s="804"/>
      <c r="AD122" s="804"/>
      <c r="AE122" s="804"/>
      <c r="AF122" s="804"/>
      <c r="AG122" s="804"/>
      <c r="AH122" s="804"/>
      <c r="AI122" s="804"/>
      <c r="AJ122" s="804"/>
      <c r="AK122" s="804"/>
      <c r="AL122" s="804"/>
      <c r="AM122" s="804"/>
      <c r="AN122" s="804"/>
      <c r="AO122" s="804"/>
      <c r="AP122" s="804"/>
      <c r="AQ122" s="804"/>
      <c r="AR122" s="804"/>
      <c r="AS122" s="804"/>
      <c r="AT122" s="804"/>
      <c r="AU122" s="804"/>
      <c r="AV122" s="804"/>
      <c r="AW122" s="804"/>
      <c r="AX122" s="804"/>
      <c r="AY122" s="804"/>
      <c r="AZ122" s="804"/>
      <c r="BA122" s="804"/>
      <c r="BB122" s="804"/>
      <c r="BC122" s="804"/>
      <c r="BD122" s="804"/>
      <c r="BE122" s="804"/>
      <c r="BF122" s="804"/>
      <c r="BG122" s="804"/>
      <c r="BH122" s="804"/>
      <c r="BI122" s="804"/>
      <c r="BJ122" s="804"/>
      <c r="BK122" s="804"/>
      <c r="BL122" s="804"/>
      <c r="BM122" s="804"/>
      <c r="BN122" s="804"/>
      <c r="BO122" s="804"/>
      <c r="BP122" s="804"/>
      <c r="BQ122" s="804"/>
      <c r="BR122" s="804"/>
      <c r="BS122" s="804"/>
      <c r="BT122" s="804"/>
      <c r="BU122" s="804"/>
      <c r="BV122" s="804"/>
      <c r="BW122" s="804"/>
      <c r="BX122" s="804"/>
      <c r="BY122" s="804"/>
      <c r="BZ122" s="804"/>
      <c r="CA122" s="804"/>
      <c r="CB122" s="804"/>
      <c r="CC122" s="804"/>
      <c r="CD122" s="804"/>
      <c r="CE122" s="804"/>
      <c r="CF122" s="804"/>
      <c r="CG122" s="804"/>
      <c r="CH122" s="804"/>
      <c r="CI122" s="804"/>
      <c r="CJ122" s="804"/>
      <c r="CK122" s="804"/>
      <c r="CL122" s="804"/>
      <c r="CM122" s="804"/>
      <c r="CN122" s="804"/>
      <c r="CO122" s="804"/>
      <c r="CP122" s="804"/>
      <c r="CQ122" s="804"/>
      <c r="CR122" s="804"/>
      <c r="CS122" s="804"/>
      <c r="CT122" s="804"/>
      <c r="CU122" s="804"/>
      <c r="CV122" s="804"/>
      <c r="CW122" s="804"/>
      <c r="CX122" s="804"/>
      <c r="CY122" s="804"/>
      <c r="CZ122" s="804"/>
      <c r="DA122" s="804"/>
      <c r="DB122" s="804"/>
      <c r="DC122" s="804"/>
      <c r="DD122" s="804"/>
      <c r="DE122" s="804"/>
      <c r="DF122" s="804"/>
    </row>
    <row r="123" spans="1:110">
      <c r="A123" s="804"/>
      <c r="B123" s="804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4"/>
      <c r="N123" s="804"/>
      <c r="O123" s="804"/>
      <c r="P123" s="804"/>
      <c r="Q123" s="804"/>
      <c r="R123" s="804"/>
      <c r="S123" s="804"/>
      <c r="T123" s="804"/>
      <c r="U123" s="804"/>
      <c r="V123" s="804"/>
      <c r="W123" s="804"/>
      <c r="X123" s="804"/>
      <c r="Y123" s="804"/>
      <c r="Z123" s="804"/>
      <c r="AA123" s="804"/>
      <c r="AB123" s="804"/>
      <c r="AC123" s="804"/>
      <c r="AD123" s="804"/>
      <c r="AE123" s="804"/>
      <c r="AF123" s="804"/>
      <c r="AG123" s="804"/>
      <c r="AH123" s="804"/>
      <c r="AI123" s="804"/>
      <c r="AJ123" s="804"/>
      <c r="AK123" s="804"/>
      <c r="AL123" s="804"/>
      <c r="AM123" s="804"/>
      <c r="AN123" s="804"/>
      <c r="AO123" s="804"/>
      <c r="AP123" s="804"/>
      <c r="AQ123" s="804"/>
      <c r="AR123" s="804"/>
      <c r="AS123" s="804"/>
      <c r="AT123" s="804"/>
      <c r="AU123" s="804"/>
      <c r="AV123" s="804"/>
      <c r="AW123" s="804"/>
      <c r="AX123" s="804"/>
      <c r="AY123" s="804"/>
      <c r="AZ123" s="804"/>
      <c r="BA123" s="804"/>
      <c r="BB123" s="804"/>
      <c r="BC123" s="804"/>
      <c r="BD123" s="804"/>
      <c r="BE123" s="804"/>
      <c r="BF123" s="804"/>
      <c r="BG123" s="804"/>
      <c r="BH123" s="804"/>
      <c r="BI123" s="804"/>
      <c r="BJ123" s="804"/>
      <c r="BK123" s="804"/>
      <c r="BL123" s="804"/>
      <c r="BM123" s="804"/>
      <c r="BN123" s="804"/>
      <c r="BO123" s="804"/>
      <c r="BP123" s="804"/>
      <c r="BQ123" s="804"/>
      <c r="BR123" s="804"/>
      <c r="BS123" s="804"/>
      <c r="BT123" s="804"/>
      <c r="BU123" s="804"/>
      <c r="BV123" s="804"/>
      <c r="BW123" s="804"/>
      <c r="BX123" s="804"/>
      <c r="BY123" s="804"/>
      <c r="BZ123" s="804"/>
      <c r="CA123" s="804"/>
      <c r="CB123" s="804"/>
      <c r="CC123" s="804"/>
      <c r="CD123" s="804"/>
      <c r="CE123" s="804"/>
      <c r="CF123" s="804"/>
      <c r="CG123" s="804"/>
      <c r="CH123" s="804"/>
      <c r="CI123" s="804"/>
      <c r="CJ123" s="804"/>
      <c r="CK123" s="804"/>
      <c r="CL123" s="804"/>
      <c r="CM123" s="804"/>
      <c r="CN123" s="804"/>
      <c r="CO123" s="804"/>
      <c r="CP123" s="804"/>
      <c r="CQ123" s="804"/>
      <c r="CR123" s="804"/>
      <c r="CS123" s="804"/>
      <c r="CT123" s="804"/>
      <c r="CU123" s="804"/>
      <c r="CV123" s="804"/>
      <c r="CW123" s="804"/>
      <c r="CX123" s="804"/>
      <c r="CY123" s="804"/>
      <c r="CZ123" s="804"/>
      <c r="DA123" s="804"/>
      <c r="DB123" s="804"/>
      <c r="DC123" s="804"/>
      <c r="DD123" s="804"/>
      <c r="DE123" s="804"/>
      <c r="DF123" s="804"/>
    </row>
    <row r="124" spans="1:110">
      <c r="A124" s="804"/>
      <c r="B124" s="804"/>
      <c r="C124" s="804"/>
      <c r="D124" s="804"/>
      <c r="E124" s="804"/>
      <c r="F124" s="804"/>
      <c r="G124" s="804"/>
      <c r="H124" s="804"/>
      <c r="I124" s="804"/>
      <c r="J124" s="804"/>
      <c r="K124" s="804"/>
      <c r="L124" s="804"/>
      <c r="M124" s="804"/>
      <c r="N124" s="804"/>
      <c r="O124" s="804"/>
      <c r="P124" s="804"/>
      <c r="Q124" s="804"/>
      <c r="R124" s="804"/>
      <c r="S124" s="804"/>
      <c r="T124" s="804"/>
      <c r="U124" s="804"/>
      <c r="V124" s="804"/>
      <c r="W124" s="804"/>
      <c r="X124" s="804"/>
      <c r="Y124" s="804"/>
      <c r="Z124" s="804"/>
      <c r="AA124" s="804"/>
      <c r="AB124" s="804"/>
      <c r="AC124" s="804"/>
      <c r="AD124" s="804"/>
      <c r="AE124" s="804"/>
      <c r="AF124" s="804"/>
      <c r="AG124" s="804"/>
      <c r="AH124" s="804"/>
      <c r="AI124" s="804"/>
      <c r="AJ124" s="804"/>
      <c r="AK124" s="804"/>
      <c r="AL124" s="804"/>
      <c r="AM124" s="804"/>
      <c r="AN124" s="804"/>
      <c r="AO124" s="804"/>
      <c r="AP124" s="804"/>
      <c r="AQ124" s="804"/>
      <c r="AR124" s="804"/>
      <c r="AS124" s="804"/>
      <c r="AT124" s="804"/>
      <c r="AU124" s="804"/>
      <c r="AV124" s="804"/>
      <c r="AW124" s="804"/>
      <c r="AX124" s="804"/>
      <c r="AY124" s="804"/>
      <c r="AZ124" s="804"/>
      <c r="BA124" s="804"/>
      <c r="BB124" s="804"/>
      <c r="BC124" s="804"/>
      <c r="BD124" s="804"/>
      <c r="BE124" s="804"/>
      <c r="BF124" s="804"/>
      <c r="BG124" s="804"/>
      <c r="BH124" s="804"/>
      <c r="BI124" s="804"/>
      <c r="BJ124" s="804"/>
      <c r="BK124" s="804"/>
      <c r="BL124" s="804"/>
      <c r="BM124" s="804"/>
      <c r="BN124" s="804"/>
      <c r="BO124" s="804"/>
      <c r="BP124" s="804"/>
      <c r="BQ124" s="804"/>
      <c r="BR124" s="804"/>
      <c r="BS124" s="804"/>
      <c r="BT124" s="804"/>
      <c r="BU124" s="804"/>
      <c r="BV124" s="804"/>
      <c r="BW124" s="804"/>
      <c r="BX124" s="804"/>
      <c r="BY124" s="804"/>
      <c r="BZ124" s="804"/>
      <c r="CA124" s="804"/>
      <c r="CB124" s="804"/>
      <c r="CC124" s="804"/>
      <c r="CD124" s="804"/>
      <c r="CE124" s="804"/>
      <c r="CF124" s="804"/>
      <c r="CG124" s="804"/>
      <c r="CH124" s="804"/>
      <c r="CI124" s="804"/>
      <c r="CJ124" s="804"/>
      <c r="CK124" s="804"/>
      <c r="CL124" s="804"/>
      <c r="CM124" s="804"/>
      <c r="CN124" s="804"/>
      <c r="CO124" s="804"/>
      <c r="CP124" s="804"/>
      <c r="CQ124" s="804"/>
      <c r="CR124" s="804"/>
      <c r="CS124" s="804"/>
      <c r="CT124" s="804"/>
      <c r="CU124" s="804"/>
      <c r="CV124" s="804"/>
      <c r="CW124" s="804"/>
      <c r="CX124" s="804"/>
      <c r="CY124" s="804"/>
      <c r="CZ124" s="804"/>
      <c r="DA124" s="804"/>
      <c r="DB124" s="804"/>
      <c r="DC124" s="804"/>
      <c r="DD124" s="804"/>
      <c r="DE124" s="804"/>
      <c r="DF124" s="804"/>
    </row>
    <row r="125" spans="1:110">
      <c r="A125" s="804"/>
      <c r="B125" s="804"/>
      <c r="C125" s="804"/>
      <c r="D125" s="804"/>
      <c r="E125" s="804"/>
      <c r="F125" s="804"/>
      <c r="G125" s="804"/>
      <c r="H125" s="804"/>
      <c r="I125" s="804"/>
      <c r="J125" s="804"/>
      <c r="K125" s="804"/>
      <c r="L125" s="804"/>
      <c r="M125" s="804"/>
      <c r="N125" s="804"/>
      <c r="O125" s="804"/>
      <c r="P125" s="804"/>
      <c r="Q125" s="804"/>
      <c r="R125" s="804"/>
    </row>
    <row r="126" spans="1:110">
      <c r="A126" s="804"/>
      <c r="B126" s="804"/>
      <c r="C126" s="804"/>
      <c r="D126" s="804"/>
      <c r="E126" s="804"/>
      <c r="F126" s="804"/>
      <c r="G126" s="804"/>
      <c r="H126" s="804"/>
      <c r="I126" s="804"/>
      <c r="J126" s="804"/>
      <c r="K126" s="804"/>
      <c r="L126" s="804"/>
      <c r="M126" s="804"/>
      <c r="N126" s="804"/>
      <c r="O126" s="804"/>
      <c r="P126" s="804"/>
      <c r="Q126" s="804"/>
      <c r="R126" s="804"/>
    </row>
    <row r="127" spans="1:110">
      <c r="A127" s="804"/>
      <c r="B127" s="804"/>
      <c r="C127" s="804"/>
      <c r="D127" s="804"/>
      <c r="E127" s="804"/>
      <c r="F127" s="804"/>
      <c r="G127" s="804"/>
      <c r="H127" s="804"/>
      <c r="I127" s="804"/>
      <c r="J127" s="804"/>
      <c r="K127" s="804"/>
      <c r="L127" s="804"/>
      <c r="M127" s="804"/>
      <c r="N127" s="804"/>
      <c r="O127" s="804"/>
      <c r="P127" s="804"/>
      <c r="Q127" s="804"/>
      <c r="R127" s="804"/>
    </row>
    <row r="128" spans="1:110">
      <c r="A128" s="804"/>
      <c r="B128" s="804"/>
      <c r="C128" s="804"/>
      <c r="D128" s="804"/>
      <c r="E128" s="804"/>
      <c r="F128" s="804"/>
      <c r="G128" s="804"/>
      <c r="H128" s="804"/>
      <c r="I128" s="804"/>
      <c r="J128" s="804"/>
      <c r="K128" s="804"/>
      <c r="L128" s="804"/>
      <c r="M128" s="804"/>
      <c r="N128" s="804"/>
      <c r="O128" s="804"/>
      <c r="P128" s="804"/>
      <c r="Q128" s="804"/>
      <c r="R128" s="804"/>
    </row>
    <row r="129" spans="1:18">
      <c r="A129" s="804"/>
      <c r="B129" s="804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4"/>
      <c r="N129" s="804"/>
      <c r="O129" s="804"/>
      <c r="P129" s="804"/>
      <c r="Q129" s="804"/>
      <c r="R129" s="804"/>
    </row>
    <row r="130" spans="1:18">
      <c r="A130" s="804"/>
      <c r="B130" s="804"/>
      <c r="C130" s="804"/>
      <c r="D130" s="804"/>
      <c r="E130" s="804"/>
      <c r="F130" s="804"/>
      <c r="G130" s="804"/>
      <c r="H130" s="804"/>
      <c r="I130" s="804"/>
      <c r="J130" s="804"/>
      <c r="K130" s="804"/>
      <c r="L130" s="804"/>
      <c r="M130" s="804"/>
      <c r="N130" s="804"/>
      <c r="O130" s="804"/>
      <c r="P130" s="804"/>
      <c r="Q130" s="804"/>
      <c r="R130" s="804"/>
    </row>
    <row r="131" spans="1:18">
      <c r="A131" s="804"/>
      <c r="B131" s="804"/>
      <c r="C131" s="804"/>
      <c r="D131" s="804"/>
      <c r="E131" s="804"/>
      <c r="F131" s="804"/>
      <c r="G131" s="804"/>
      <c r="H131" s="804"/>
      <c r="I131" s="804"/>
      <c r="J131" s="804"/>
      <c r="K131" s="804"/>
      <c r="L131" s="804"/>
      <c r="M131" s="804"/>
      <c r="N131" s="804"/>
      <c r="O131" s="804"/>
      <c r="P131" s="804"/>
      <c r="Q131" s="804"/>
      <c r="R131" s="804"/>
    </row>
    <row r="132" spans="1:18">
      <c r="A132" s="804"/>
      <c r="B132" s="804"/>
      <c r="C132" s="804"/>
      <c r="D132" s="804"/>
      <c r="E132" s="804"/>
      <c r="F132" s="804"/>
      <c r="G132" s="804"/>
      <c r="H132" s="804"/>
      <c r="I132" s="804"/>
      <c r="J132" s="804"/>
      <c r="K132" s="804"/>
      <c r="L132" s="804"/>
      <c r="M132" s="804"/>
      <c r="N132" s="804"/>
      <c r="O132" s="804"/>
      <c r="P132" s="804"/>
      <c r="Q132" s="804"/>
      <c r="R132" s="804"/>
    </row>
    <row r="133" spans="1:18">
      <c r="A133" s="804"/>
      <c r="B133" s="804"/>
      <c r="C133" s="804"/>
      <c r="D133" s="804"/>
      <c r="E133" s="804"/>
      <c r="F133" s="804"/>
      <c r="G133" s="804"/>
      <c r="H133" s="804"/>
      <c r="I133" s="804"/>
      <c r="J133" s="804"/>
      <c r="K133" s="804"/>
      <c r="L133" s="804"/>
      <c r="M133" s="804"/>
      <c r="N133" s="804"/>
      <c r="O133" s="804"/>
      <c r="P133" s="804"/>
      <c r="Q133" s="804"/>
      <c r="R133" s="804"/>
    </row>
    <row r="134" spans="1:18">
      <c r="A134" s="804"/>
      <c r="B134" s="804"/>
      <c r="C134" s="804"/>
      <c r="D134" s="804"/>
      <c r="E134" s="804"/>
      <c r="F134" s="804"/>
      <c r="G134" s="804"/>
      <c r="H134" s="804"/>
      <c r="I134" s="804"/>
      <c r="J134" s="804"/>
      <c r="K134" s="804"/>
      <c r="L134" s="804"/>
      <c r="M134" s="804"/>
      <c r="N134" s="804"/>
      <c r="O134" s="804"/>
      <c r="P134" s="804"/>
      <c r="Q134" s="804"/>
      <c r="R134" s="804"/>
    </row>
    <row r="135" spans="1:18">
      <c r="A135" s="804"/>
      <c r="B135" s="804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4"/>
      <c r="R135" s="804"/>
    </row>
    <row r="136" spans="1:18">
      <c r="A136" s="804"/>
      <c r="B136" s="804"/>
      <c r="C136" s="804"/>
      <c r="D136" s="804"/>
      <c r="E136" s="804"/>
      <c r="F136" s="804"/>
      <c r="G136" s="804"/>
      <c r="H136" s="804"/>
      <c r="I136" s="804"/>
      <c r="J136" s="804"/>
      <c r="K136" s="804"/>
      <c r="L136" s="804"/>
      <c r="M136" s="804"/>
      <c r="N136" s="804"/>
      <c r="O136" s="804"/>
      <c r="P136" s="804"/>
      <c r="Q136" s="804"/>
      <c r="R136" s="804"/>
    </row>
    <row r="137" spans="1:18">
      <c r="A137" s="804"/>
      <c r="B137" s="804"/>
      <c r="C137" s="804"/>
      <c r="D137" s="804"/>
      <c r="E137" s="804"/>
      <c r="F137" s="804"/>
      <c r="G137" s="804"/>
      <c r="H137" s="804"/>
      <c r="I137" s="804"/>
      <c r="J137" s="804"/>
      <c r="K137" s="804"/>
      <c r="L137" s="804"/>
      <c r="M137" s="804"/>
      <c r="N137" s="804"/>
      <c r="O137" s="804"/>
      <c r="P137" s="804"/>
      <c r="Q137" s="804"/>
      <c r="R137" s="804"/>
    </row>
    <row r="138" spans="1:18">
      <c r="A138" s="804"/>
      <c r="B138" s="804"/>
      <c r="C138" s="804"/>
      <c r="D138" s="804"/>
      <c r="E138" s="804"/>
      <c r="F138" s="804"/>
      <c r="G138" s="804"/>
      <c r="H138" s="804"/>
      <c r="I138" s="804"/>
      <c r="J138" s="804"/>
      <c r="K138" s="804"/>
      <c r="L138" s="804"/>
      <c r="M138" s="804"/>
      <c r="N138" s="804"/>
      <c r="O138" s="804"/>
      <c r="P138" s="804"/>
      <c r="Q138" s="804"/>
      <c r="R138" s="804"/>
    </row>
    <row r="139" spans="1:18">
      <c r="A139" s="804"/>
      <c r="B139" s="804"/>
      <c r="C139" s="804"/>
      <c r="D139" s="804"/>
      <c r="E139" s="804"/>
      <c r="F139" s="804"/>
      <c r="G139" s="804"/>
      <c r="H139" s="804"/>
      <c r="I139" s="804"/>
      <c r="J139" s="804"/>
      <c r="K139" s="804"/>
      <c r="L139" s="804"/>
      <c r="M139" s="804"/>
      <c r="N139" s="804"/>
      <c r="O139" s="804"/>
      <c r="P139" s="804"/>
      <c r="Q139" s="804"/>
      <c r="R139" s="804"/>
    </row>
    <row r="140" spans="1:18">
      <c r="A140" s="804"/>
      <c r="B140" s="804"/>
      <c r="C140" s="804"/>
      <c r="D140" s="804"/>
      <c r="E140" s="804"/>
      <c r="F140" s="804"/>
      <c r="G140" s="804"/>
      <c r="H140" s="804"/>
      <c r="I140" s="804"/>
      <c r="J140" s="804"/>
      <c r="K140" s="804"/>
      <c r="L140" s="804"/>
      <c r="M140" s="804"/>
      <c r="N140" s="804"/>
      <c r="O140" s="804"/>
      <c r="P140" s="804"/>
      <c r="Q140" s="804"/>
      <c r="R140" s="804"/>
    </row>
    <row r="141" spans="1:18">
      <c r="A141" s="804"/>
      <c r="B141" s="804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</row>
    <row r="142" spans="1:18">
      <c r="A142" s="804"/>
      <c r="B142" s="804"/>
      <c r="C142" s="804"/>
      <c r="D142" s="804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804"/>
      <c r="P142" s="804"/>
      <c r="Q142" s="804"/>
      <c r="R142" s="804"/>
    </row>
    <row r="143" spans="1:18">
      <c r="A143" s="804"/>
      <c r="B143" s="804"/>
      <c r="C143" s="804"/>
      <c r="D143" s="804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804"/>
      <c r="P143" s="804"/>
      <c r="Q143" s="804"/>
      <c r="R143" s="804"/>
    </row>
    <row r="144" spans="1:18">
      <c r="A144" s="804"/>
      <c r="B144" s="804"/>
      <c r="C144" s="804"/>
      <c r="D144" s="804"/>
      <c r="E144" s="804"/>
      <c r="F144" s="804"/>
      <c r="G144" s="804"/>
      <c r="H144" s="804"/>
      <c r="I144" s="804"/>
      <c r="J144" s="804"/>
      <c r="K144" s="804"/>
      <c r="L144" s="804"/>
      <c r="M144" s="804"/>
      <c r="N144" s="804"/>
      <c r="O144" s="804"/>
      <c r="P144" s="804"/>
      <c r="Q144" s="804"/>
      <c r="R144" s="804"/>
    </row>
    <row r="145" spans="1:18">
      <c r="A145" s="804"/>
      <c r="B145" s="804"/>
      <c r="C145" s="804"/>
      <c r="D145" s="804"/>
      <c r="E145" s="804"/>
      <c r="F145" s="804"/>
      <c r="G145" s="804"/>
      <c r="H145" s="804"/>
      <c r="I145" s="804"/>
      <c r="J145" s="804"/>
      <c r="K145" s="804"/>
      <c r="L145" s="804"/>
      <c r="M145" s="804"/>
      <c r="N145" s="804"/>
      <c r="O145" s="804"/>
      <c r="P145" s="804"/>
      <c r="Q145" s="804"/>
      <c r="R145" s="804"/>
    </row>
    <row r="146" spans="1:18">
      <c r="A146" s="804"/>
      <c r="B146" s="804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</row>
    <row r="147" spans="1:18">
      <c r="A147" s="804"/>
      <c r="B147" s="804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</row>
    <row r="148" spans="1:18">
      <c r="A148" s="804"/>
      <c r="B148" s="804"/>
      <c r="C148" s="804"/>
      <c r="D148" s="804"/>
      <c r="E148" s="804"/>
      <c r="F148" s="804"/>
      <c r="G148" s="804"/>
      <c r="H148" s="804"/>
      <c r="I148" s="804"/>
      <c r="J148" s="804"/>
      <c r="K148" s="804"/>
      <c r="L148" s="804"/>
      <c r="M148" s="804"/>
      <c r="N148" s="804"/>
      <c r="O148" s="804"/>
      <c r="P148" s="804"/>
      <c r="Q148" s="804"/>
      <c r="R148" s="804"/>
    </row>
    <row r="149" spans="1:18">
      <c r="A149" s="804"/>
      <c r="B149" s="804"/>
      <c r="C149" s="804"/>
      <c r="D149" s="804"/>
      <c r="E149" s="804"/>
      <c r="F149" s="804"/>
      <c r="G149" s="804"/>
      <c r="H149" s="804"/>
      <c r="I149" s="804"/>
      <c r="J149" s="804"/>
      <c r="K149" s="804"/>
      <c r="L149" s="804"/>
      <c r="M149" s="804"/>
      <c r="N149" s="804"/>
      <c r="O149" s="804"/>
      <c r="P149" s="804"/>
      <c r="Q149" s="804"/>
      <c r="R149" s="804"/>
    </row>
    <row r="150" spans="1:18">
      <c r="A150" s="804"/>
      <c r="B150" s="804"/>
      <c r="C150" s="804"/>
      <c r="D150" s="804"/>
      <c r="E150" s="804"/>
      <c r="F150" s="804"/>
      <c r="G150" s="804"/>
      <c r="H150" s="804"/>
      <c r="I150" s="804"/>
      <c r="J150" s="804"/>
      <c r="K150" s="804"/>
      <c r="L150" s="804"/>
      <c r="M150" s="804"/>
      <c r="N150" s="804"/>
      <c r="O150" s="804"/>
      <c r="P150" s="804"/>
      <c r="Q150" s="804"/>
      <c r="R150" s="804"/>
    </row>
    <row r="151" spans="1:18">
      <c r="A151" s="804"/>
      <c r="B151" s="804"/>
      <c r="C151" s="804"/>
      <c r="D151" s="804"/>
      <c r="E151" s="804"/>
      <c r="F151" s="804"/>
      <c r="G151" s="804"/>
      <c r="H151" s="804"/>
      <c r="I151" s="804"/>
      <c r="J151" s="804"/>
      <c r="K151" s="804"/>
      <c r="L151" s="804"/>
      <c r="M151" s="804"/>
      <c r="N151" s="804"/>
      <c r="O151" s="804"/>
      <c r="P151" s="804"/>
      <c r="Q151" s="804"/>
      <c r="R151" s="804"/>
    </row>
    <row r="152" spans="1:18">
      <c r="A152" s="804"/>
      <c r="B152" s="804"/>
      <c r="C152" s="804"/>
      <c r="D152" s="804"/>
      <c r="E152" s="804"/>
      <c r="F152" s="804"/>
      <c r="G152" s="804"/>
      <c r="H152" s="804"/>
      <c r="I152" s="804"/>
      <c r="J152" s="804"/>
      <c r="K152" s="804"/>
      <c r="L152" s="804"/>
      <c r="M152" s="804"/>
      <c r="N152" s="804"/>
      <c r="O152" s="804"/>
      <c r="P152" s="804"/>
      <c r="Q152" s="804"/>
      <c r="R152" s="804"/>
    </row>
    <row r="153" spans="1:18">
      <c r="A153" s="804"/>
      <c r="B153" s="804"/>
      <c r="C153" s="804"/>
      <c r="D153" s="804"/>
      <c r="E153" s="804"/>
      <c r="F153" s="804"/>
      <c r="G153" s="804"/>
      <c r="H153" s="804"/>
      <c r="I153" s="804"/>
      <c r="J153" s="804"/>
      <c r="K153" s="804"/>
      <c r="L153" s="804"/>
      <c r="M153" s="804"/>
      <c r="N153" s="804"/>
      <c r="O153" s="804"/>
      <c r="P153" s="804"/>
      <c r="Q153" s="804"/>
      <c r="R153" s="804"/>
    </row>
    <row r="154" spans="1:18">
      <c r="A154" s="804"/>
      <c r="B154" s="804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</row>
    <row r="155" spans="1:18">
      <c r="A155" s="804"/>
      <c r="B155" s="804"/>
      <c r="C155" s="804"/>
      <c r="D155" s="804"/>
      <c r="E155" s="804"/>
      <c r="F155" s="804"/>
      <c r="G155" s="804"/>
      <c r="H155" s="804"/>
      <c r="I155" s="804"/>
      <c r="J155" s="804"/>
      <c r="K155" s="804"/>
      <c r="L155" s="804"/>
      <c r="M155" s="804"/>
      <c r="N155" s="804"/>
      <c r="O155" s="804"/>
      <c r="P155" s="804"/>
      <c r="Q155" s="804"/>
      <c r="R155" s="804"/>
    </row>
    <row r="156" spans="1:18">
      <c r="A156" s="804"/>
      <c r="B156" s="804"/>
      <c r="C156" s="804"/>
      <c r="D156" s="804"/>
      <c r="E156" s="804"/>
      <c r="F156" s="804"/>
      <c r="G156" s="804"/>
      <c r="H156" s="804"/>
      <c r="I156" s="804"/>
      <c r="J156" s="804"/>
      <c r="K156" s="804"/>
      <c r="L156" s="804"/>
      <c r="M156" s="804"/>
      <c r="N156" s="804"/>
      <c r="O156" s="804"/>
      <c r="P156" s="804"/>
      <c r="Q156" s="804"/>
      <c r="R156" s="804"/>
    </row>
  </sheetData>
  <mergeCells count="49">
    <mergeCell ref="AD3:AF3"/>
    <mergeCell ref="AF4:AF5"/>
    <mergeCell ref="AG4:AG5"/>
    <mergeCell ref="AH4:AH5"/>
    <mergeCell ref="B46:H46"/>
    <mergeCell ref="B4:B5"/>
    <mergeCell ref="P4:P5"/>
    <mergeCell ref="Q4:Q5"/>
    <mergeCell ref="AA4:AA5"/>
    <mergeCell ref="AB4:AB5"/>
    <mergeCell ref="AC4:AC5"/>
    <mergeCell ref="X3:AB3"/>
    <mergeCell ref="Y4:Y5"/>
    <mergeCell ref="J46:K46"/>
    <mergeCell ref="Y46:Z46"/>
    <mergeCell ref="AA46:AB46"/>
    <mergeCell ref="B2:R2"/>
    <mergeCell ref="F3:G3"/>
    <mergeCell ref="M3:O3"/>
    <mergeCell ref="C4:C5"/>
    <mergeCell ref="G4:G5"/>
    <mergeCell ref="D4:D5"/>
    <mergeCell ref="I3:K3"/>
    <mergeCell ref="H4:H5"/>
    <mergeCell ref="F4:F5"/>
    <mergeCell ref="E4:E5"/>
    <mergeCell ref="R4:R5"/>
    <mergeCell ref="O4:O5"/>
    <mergeCell ref="AM4:AM5"/>
    <mergeCell ref="AN4:AN5"/>
    <mergeCell ref="AI4:AI5"/>
    <mergeCell ref="AL4:AL5"/>
    <mergeCell ref="V4:V5"/>
    <mergeCell ref="W4:W5"/>
    <mergeCell ref="X4:X5"/>
    <mergeCell ref="Z4:Z5"/>
    <mergeCell ref="AJ4:AJ5"/>
    <mergeCell ref="AK4:AK5"/>
    <mergeCell ref="AC46:AD46"/>
    <mergeCell ref="A4:A5"/>
    <mergeCell ref="U4:U5"/>
    <mergeCell ref="I4:I5"/>
    <mergeCell ref="J4:J5"/>
    <mergeCell ref="K4:K5"/>
    <mergeCell ref="L4:L5"/>
    <mergeCell ref="S4:S5"/>
    <mergeCell ref="T4:T5"/>
    <mergeCell ref="L46:M46"/>
    <mergeCell ref="N46:O46"/>
  </mergeCells>
  <phoneticPr fontId="0" type="noConversion"/>
  <printOptions horizontalCentered="1"/>
  <pageMargins left="0.25" right="0" top="0.83" bottom="0.42" header="0.24" footer="0.31"/>
  <pageSetup paperSize="5" scale="37" firstPageNumber="48" orientation="landscape" useFirstPageNumber="1" r:id="rId1"/>
  <headerFooter alignWithMargins="0">
    <oddHeader xml:space="preserve">&amp;L&amp;"Arial,Bold"&amp;22Table 5B-2:  FY2012-13 MFP Budget Letter (May 2013)
Recovery School District (Allocations for School Boards and Type 5 Charters other than Orleans Parish)&amp;R
</oddHeader>
    <oddFooter>&amp;R&amp;12&amp;P</oddFooter>
  </headerFooter>
  <colBreaks count="1" manualBreakCount="1">
    <brk id="2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view="pageBreakPreview" zoomScale="6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36" sqref="E36"/>
    </sheetView>
  </sheetViews>
  <sheetFormatPr defaultColWidth="9.140625" defaultRowHeight="12.75"/>
  <cols>
    <col min="1" max="1" width="7.5703125" style="1157" bestFit="1" customWidth="1"/>
    <col min="2" max="2" width="37.42578125" style="1157" customWidth="1"/>
    <col min="3" max="3" width="11.140625" style="1157" customWidth="1"/>
    <col min="4" max="4" width="11.85546875" style="1157" customWidth="1"/>
    <col min="5" max="5" width="19.85546875" style="1157" customWidth="1"/>
    <col min="6" max="6" width="13.7109375" style="1157" customWidth="1"/>
    <col min="7" max="7" width="19.140625" style="1157" customWidth="1"/>
    <col min="8" max="8" width="20.7109375" style="1157" customWidth="1"/>
    <col min="9" max="9" width="19.85546875" style="1157" customWidth="1"/>
    <col min="10" max="10" width="17" style="1157" customWidth="1"/>
    <col min="11" max="11" width="19" style="1157" customWidth="1"/>
    <col min="12" max="12" width="19.5703125" style="1157" customWidth="1"/>
    <col min="13" max="13" width="18.140625" style="1157" customWidth="1"/>
    <col min="14" max="14" width="20.140625" style="1157" customWidth="1"/>
    <col min="15" max="15" width="10.7109375" style="1157" customWidth="1"/>
    <col min="16" max="16" width="12.28515625" style="1157" customWidth="1"/>
    <col min="17" max="17" width="19.28515625" style="1157" customWidth="1"/>
    <col min="18" max="18" width="20.140625" style="1157" customWidth="1"/>
    <col min="19" max="19" width="18.42578125" style="1157" customWidth="1"/>
    <col min="20" max="20" width="19.140625" style="1157" customWidth="1"/>
    <col min="21" max="16384" width="9.140625" style="1157"/>
  </cols>
  <sheetData>
    <row r="1" spans="1:20" ht="26.25" customHeight="1">
      <c r="B1" s="1630" t="s">
        <v>1349</v>
      </c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</row>
    <row r="2" spans="1:20" ht="23.25">
      <c r="B2" s="1632" t="s">
        <v>1431</v>
      </c>
      <c r="C2" s="1632"/>
      <c r="D2" s="1632"/>
      <c r="E2" s="1632"/>
      <c r="F2" s="1632"/>
      <c r="G2" s="1632"/>
      <c r="H2" s="1632"/>
      <c r="I2" s="1632"/>
      <c r="J2" s="1632"/>
      <c r="K2" s="1632"/>
      <c r="L2" s="1632"/>
      <c r="M2" s="1632"/>
      <c r="N2" s="1632"/>
      <c r="O2" s="1632"/>
      <c r="P2" s="1632"/>
      <c r="Q2" s="1632"/>
      <c r="R2" s="1632"/>
      <c r="S2" s="1632"/>
    </row>
    <row r="3" spans="1:20" ht="18.75" customHeight="1">
      <c r="B3" s="2008"/>
      <c r="C3" s="2008"/>
      <c r="D3" s="2008"/>
      <c r="E3" s="2008"/>
      <c r="F3" s="2008"/>
      <c r="G3" s="2008"/>
      <c r="H3" s="2008"/>
      <c r="I3" s="2008"/>
      <c r="J3" s="2008"/>
      <c r="K3" s="2008"/>
      <c r="L3" s="2008"/>
      <c r="M3" s="2008"/>
      <c r="N3" s="2008"/>
      <c r="O3" s="2008"/>
      <c r="P3" s="2008"/>
      <c r="Q3" s="2008"/>
      <c r="R3" s="1633"/>
      <c r="S3" s="1633"/>
    </row>
    <row r="4" spans="1:20" ht="23.25" hidden="1">
      <c r="B4" s="2009"/>
      <c r="C4" s="2009"/>
      <c r="D4" s="2009"/>
      <c r="E4" s="2009"/>
      <c r="F4" s="2009"/>
      <c r="G4" s="2009"/>
      <c r="H4" s="2009"/>
      <c r="I4" s="2009"/>
      <c r="J4" s="2009"/>
      <c r="K4" s="2009"/>
      <c r="L4" s="2009"/>
      <c r="M4" s="2009"/>
      <c r="N4" s="2009"/>
      <c r="O4" s="2009"/>
      <c r="P4" s="2009"/>
      <c r="Q4" s="2009"/>
      <c r="R4" s="1634"/>
      <c r="S4" s="1634"/>
    </row>
    <row r="5" spans="1:20" ht="18">
      <c r="B5" s="1635"/>
      <c r="C5" s="1635"/>
      <c r="D5" s="1635"/>
      <c r="E5" s="1635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7"/>
      <c r="R5" s="1637"/>
      <c r="S5" s="1637"/>
    </row>
    <row r="6" spans="1:20" ht="63" customHeight="1">
      <c r="A6" s="2010" t="s">
        <v>203</v>
      </c>
      <c r="B6" s="2010" t="s">
        <v>1350</v>
      </c>
      <c r="C6" s="1996" t="s">
        <v>1351</v>
      </c>
      <c r="D6" s="2013" t="s">
        <v>1352</v>
      </c>
      <c r="E6" s="2016" t="s">
        <v>1353</v>
      </c>
      <c r="F6" s="2019" t="s">
        <v>1354</v>
      </c>
      <c r="G6" s="2020"/>
      <c r="H6" s="1996" t="s">
        <v>1355</v>
      </c>
      <c r="I6" s="1638"/>
      <c r="J6" s="1638"/>
      <c r="K6" s="1638"/>
      <c r="L6" s="1996" t="s">
        <v>1356</v>
      </c>
      <c r="M6" s="1996" t="s">
        <v>1357</v>
      </c>
      <c r="N6" s="1996" t="s">
        <v>1358</v>
      </c>
      <c r="O6" s="2002" t="s">
        <v>1359</v>
      </c>
      <c r="P6" s="2005" t="s">
        <v>1360</v>
      </c>
      <c r="Q6" s="1996" t="s">
        <v>1361</v>
      </c>
      <c r="R6" s="1996" t="s">
        <v>1404</v>
      </c>
      <c r="S6" s="1996" t="s">
        <v>1362</v>
      </c>
      <c r="T6" s="1996" t="s">
        <v>1363</v>
      </c>
    </row>
    <row r="7" spans="1:20" ht="53.25" customHeight="1">
      <c r="A7" s="2011"/>
      <c r="B7" s="2011"/>
      <c r="C7" s="1997"/>
      <c r="D7" s="2014"/>
      <c r="E7" s="2017"/>
      <c r="F7" s="1999" t="s">
        <v>1364</v>
      </c>
      <c r="G7" s="1999" t="s">
        <v>1365</v>
      </c>
      <c r="H7" s="1997"/>
      <c r="I7" s="1639"/>
      <c r="J7" s="1639"/>
      <c r="K7" s="1639"/>
      <c r="L7" s="1997"/>
      <c r="M7" s="1997"/>
      <c r="N7" s="1997"/>
      <c r="O7" s="2003"/>
      <c r="P7" s="2006"/>
      <c r="Q7" s="1997"/>
      <c r="R7" s="1997"/>
      <c r="S7" s="1997"/>
      <c r="T7" s="1997"/>
    </row>
    <row r="8" spans="1:20" ht="127.5" customHeight="1">
      <c r="A8" s="2012"/>
      <c r="B8" s="2012"/>
      <c r="C8" s="1998"/>
      <c r="D8" s="2015"/>
      <c r="E8" s="2018"/>
      <c r="F8" s="2000"/>
      <c r="G8" s="2001"/>
      <c r="H8" s="1998"/>
      <c r="I8" s="1640" t="s">
        <v>1366</v>
      </c>
      <c r="J8" s="1640" t="s">
        <v>1367</v>
      </c>
      <c r="K8" s="1640" t="s">
        <v>1368</v>
      </c>
      <c r="L8" s="1998"/>
      <c r="M8" s="1998"/>
      <c r="N8" s="1998"/>
      <c r="O8" s="2004"/>
      <c r="P8" s="2007"/>
      <c r="Q8" s="1998"/>
      <c r="R8" s="1998"/>
      <c r="S8" s="1998"/>
      <c r="T8" s="1998"/>
    </row>
    <row r="9" spans="1:20">
      <c r="A9" s="1641"/>
      <c r="B9" s="1641"/>
      <c r="C9" s="1642">
        <v>1</v>
      </c>
      <c r="D9" s="1642">
        <f t="shared" ref="D9:Q9" si="0">C9+1</f>
        <v>2</v>
      </c>
      <c r="E9" s="1642">
        <f t="shared" si="0"/>
        <v>3</v>
      </c>
      <c r="F9" s="1642">
        <f t="shared" si="0"/>
        <v>4</v>
      </c>
      <c r="G9" s="1642">
        <f t="shared" si="0"/>
        <v>5</v>
      </c>
      <c r="H9" s="1642">
        <f t="shared" si="0"/>
        <v>6</v>
      </c>
      <c r="I9" s="1642"/>
      <c r="J9" s="1642"/>
      <c r="K9" s="1642"/>
      <c r="L9" s="1642"/>
      <c r="M9" s="1642">
        <f>H9+1</f>
        <v>7</v>
      </c>
      <c r="N9" s="1642">
        <f t="shared" si="0"/>
        <v>8</v>
      </c>
      <c r="O9" s="1642">
        <f t="shared" si="0"/>
        <v>9</v>
      </c>
      <c r="P9" s="1642">
        <f t="shared" si="0"/>
        <v>10</v>
      </c>
      <c r="Q9" s="1642">
        <f t="shared" si="0"/>
        <v>11</v>
      </c>
      <c r="R9" s="1642"/>
      <c r="S9" s="1642"/>
      <c r="T9" s="1642">
        <f>Q9+1</f>
        <v>12</v>
      </c>
    </row>
    <row r="10" spans="1:20" ht="52.5" customHeight="1">
      <c r="A10" s="1643" t="s">
        <v>750</v>
      </c>
      <c r="B10" s="1643" t="s">
        <v>1369</v>
      </c>
      <c r="C10" s="1644">
        <v>332</v>
      </c>
      <c r="D10" s="1645">
        <f>'Table 3 Levels 1&amp;2'!AL72+'[14]FY2012-13 Final'!$K$72</f>
        <v>9519.9609010774075</v>
      </c>
      <c r="E10" s="1646">
        <f>C10*D10</f>
        <v>3160627.0191576993</v>
      </c>
      <c r="F10" s="1646">
        <v>716.29552188552179</v>
      </c>
      <c r="G10" s="1646">
        <f>C10*F10</f>
        <v>237810.11326599325</v>
      </c>
      <c r="H10" s="1646">
        <f>ROUND(E10+G10,0)</f>
        <v>3398437</v>
      </c>
      <c r="I10" s="1646">
        <f>'[1]Midyear Adjustment Summary'!C86</f>
        <v>10236.25642296293</v>
      </c>
      <c r="J10" s="1646">
        <f>'[1]Midyear Adjustment Summary'!D86</f>
        <v>-71653.794960740503</v>
      </c>
      <c r="K10" s="1646">
        <f>I10+J10</f>
        <v>-61417.538537777575</v>
      </c>
      <c r="L10" s="1646">
        <f>H10+K10</f>
        <v>3337019.4614622225</v>
      </c>
      <c r="M10" s="1646">
        <f>-ROUND(L10*0.25%,0)</f>
        <v>-8343</v>
      </c>
      <c r="N10" s="1646">
        <f>SUM(L10:M10)</f>
        <v>3328676.4614622225</v>
      </c>
      <c r="O10" s="1647">
        <v>8</v>
      </c>
      <c r="P10" s="1646">
        <v>0</v>
      </c>
      <c r="Q10" s="1648">
        <f>SUM(N10:P10)</f>
        <v>3328684.4614622225</v>
      </c>
      <c r="R10" s="1648">
        <f>[3]MFP!DT97</f>
        <v>2653500</v>
      </c>
      <c r="S10" s="1648">
        <f>Q10-R10</f>
        <v>675184.46146222251</v>
      </c>
      <c r="T10" s="1648">
        <f>ROUND(S10/2,0)</f>
        <v>337592</v>
      </c>
    </row>
    <row r="11" spans="1:20" ht="52.5" customHeight="1">
      <c r="A11" s="1649" t="s">
        <v>751</v>
      </c>
      <c r="B11" s="1649" t="s">
        <v>1370</v>
      </c>
      <c r="C11" s="1644">
        <v>368</v>
      </c>
      <c r="D11" s="1645">
        <f>'Table 3 Levels 1&amp;2'!AL58+'[14]FY2012-13 Final'!$K$58</f>
        <v>8518.8748353683095</v>
      </c>
      <c r="E11" s="1646">
        <f t="shared" ref="E11:E17" si="1">C11*D11</f>
        <v>3134945.9394155378</v>
      </c>
      <c r="F11" s="1646">
        <v>598.40363440561384</v>
      </c>
      <c r="G11" s="1646">
        <f t="shared" ref="G11:G17" si="2">C11*F11</f>
        <v>220212.53746126589</v>
      </c>
      <c r="H11" s="1646">
        <f t="shared" ref="H11:H17" si="3">ROUND(E11+G11,0)</f>
        <v>3355158</v>
      </c>
      <c r="I11" s="1646">
        <f>'[1]Midyear Adjustment Summary'!C87</f>
        <v>36469.11387909569</v>
      </c>
      <c r="J11" s="1646">
        <f>'[1]Midyear Adjustment Summary'!D87</f>
        <v>-50145.031583756572</v>
      </c>
      <c r="K11" s="1646">
        <f t="shared" ref="K11:K17" si="4">I11+J11</f>
        <v>-13675.917704660882</v>
      </c>
      <c r="L11" s="1646">
        <f t="shared" ref="L11:L17" si="5">H11+K11</f>
        <v>3341482.0822953391</v>
      </c>
      <c r="M11" s="1646">
        <f t="shared" ref="M11:M17" si="6">-ROUND(L11*0.25%,0)</f>
        <v>-8354</v>
      </c>
      <c r="N11" s="1646">
        <f t="shared" ref="N11:N17" si="7">SUM(L11:M11)</f>
        <v>3333128.0822953391</v>
      </c>
      <c r="O11" s="1647">
        <v>0</v>
      </c>
      <c r="P11" s="1646">
        <v>0</v>
      </c>
      <c r="Q11" s="1648">
        <f t="shared" ref="Q11:Q17" si="8">SUM(N11:P11)</f>
        <v>3333128.0822953391</v>
      </c>
      <c r="R11" s="1648">
        <f>[3]MFP!DT98</f>
        <v>2723772</v>
      </c>
      <c r="S11" s="1648">
        <f t="shared" ref="S11:S17" si="9">Q11-R11</f>
        <v>609356.08229533909</v>
      </c>
      <c r="T11" s="1648">
        <f t="shared" ref="T11:T17" si="10">ROUND(S11/2,0)</f>
        <v>304678</v>
      </c>
    </row>
    <row r="12" spans="1:20" ht="52.5" customHeight="1">
      <c r="A12" s="1650" t="s">
        <v>752</v>
      </c>
      <c r="B12" s="1650" t="s">
        <v>1371</v>
      </c>
      <c r="C12" s="1644">
        <v>624</v>
      </c>
      <c r="D12" s="1645">
        <f>'Table 3 Levels 1&amp;2'!AL43+'[14]FY2012-13 Final'!$D$43</f>
        <v>7638.7546828904688</v>
      </c>
      <c r="E12" s="1646">
        <f t="shared" si="1"/>
        <v>4766582.9221236529</v>
      </c>
      <c r="F12" s="1646">
        <v>714.81015756302509</v>
      </c>
      <c r="G12" s="1646">
        <f t="shared" si="2"/>
        <v>446041.53831932764</v>
      </c>
      <c r="H12" s="1646">
        <f t="shared" si="3"/>
        <v>5212624</v>
      </c>
      <c r="I12" s="1646">
        <f>'[1]Midyear Adjustment Summary'!C88</f>
        <v>994074.21601396566</v>
      </c>
      <c r="J12" s="1646">
        <f>'[1]Midyear Adjustment Summary'!D88</f>
        <v>-33414.259361813973</v>
      </c>
      <c r="K12" s="1646">
        <f t="shared" si="4"/>
        <v>960659.95665215165</v>
      </c>
      <c r="L12" s="1646">
        <f t="shared" si="5"/>
        <v>6173283.9566521514</v>
      </c>
      <c r="M12" s="1646">
        <f t="shared" si="6"/>
        <v>-15433</v>
      </c>
      <c r="N12" s="1646">
        <f t="shared" si="7"/>
        <v>6157850.9566521514</v>
      </c>
      <c r="O12" s="1647">
        <v>0</v>
      </c>
      <c r="P12" s="1646">
        <f>'Table 4A Stipends'!G74</f>
        <v>96000</v>
      </c>
      <c r="Q12" s="1648">
        <f t="shared" si="8"/>
        <v>6253850.9566521514</v>
      </c>
      <c r="R12" s="1648">
        <f>[3]MFP!DT99+96000+8454</f>
        <v>5262980</v>
      </c>
      <c r="S12" s="1648">
        <f t="shared" si="9"/>
        <v>990870.95665215142</v>
      </c>
      <c r="T12" s="1648">
        <f t="shared" si="10"/>
        <v>495435</v>
      </c>
    </row>
    <row r="13" spans="1:20" ht="52.5" customHeight="1">
      <c r="A13" s="1649" t="s">
        <v>753</v>
      </c>
      <c r="B13" s="1649" t="s">
        <v>1372</v>
      </c>
      <c r="C13" s="1644">
        <v>681</v>
      </c>
      <c r="D13" s="1645">
        <f>'Table 3 Levels 1&amp;2'!AL12+'[14]FY2012-13 Final'!$K$12</f>
        <v>6393.1095033692254</v>
      </c>
      <c r="E13" s="1646">
        <f t="shared" si="1"/>
        <v>4353707.5717944428</v>
      </c>
      <c r="F13" s="1646">
        <v>536.12413544332276</v>
      </c>
      <c r="G13" s="1646">
        <f t="shared" si="2"/>
        <v>365100.53623690282</v>
      </c>
      <c r="H13" s="1646">
        <f t="shared" si="3"/>
        <v>4718808</v>
      </c>
      <c r="I13" s="1646">
        <f>'[1]Midyear Adjustment Summary'!C89</f>
        <v>103938.50458218821</v>
      </c>
      <c r="J13" s="1646">
        <f>'[1]Midyear Adjustment Summary'!D89</f>
        <v>-6929.2336388125477</v>
      </c>
      <c r="K13" s="1646">
        <f t="shared" si="4"/>
        <v>97009.270943375654</v>
      </c>
      <c r="L13" s="1646">
        <f t="shared" si="5"/>
        <v>4815817.2709433753</v>
      </c>
      <c r="M13" s="1646">
        <f t="shared" si="6"/>
        <v>-12040</v>
      </c>
      <c r="N13" s="1646">
        <f t="shared" si="7"/>
        <v>4803777.2709433753</v>
      </c>
      <c r="O13" s="1647">
        <v>0</v>
      </c>
      <c r="P13" s="1646">
        <v>0</v>
      </c>
      <c r="Q13" s="1648">
        <f t="shared" si="8"/>
        <v>4803777.2709433753</v>
      </c>
      <c r="R13" s="1648">
        <f>[3]MFP!DT100+8454</f>
        <v>3808842</v>
      </c>
      <c r="S13" s="1648">
        <f t="shared" si="9"/>
        <v>994935.2709433753</v>
      </c>
      <c r="T13" s="1648">
        <f t="shared" si="10"/>
        <v>497468</v>
      </c>
    </row>
    <row r="14" spans="1:20" ht="52.5" customHeight="1">
      <c r="A14" s="1649" t="s">
        <v>754</v>
      </c>
      <c r="B14" s="1649" t="s">
        <v>1373</v>
      </c>
      <c r="C14" s="1644">
        <v>652</v>
      </c>
      <c r="D14" s="1645">
        <f>'Table 3 Levels 1&amp;2'!AL49+'[14]FY2012-13 Final'!$K$49</f>
        <v>8140.3837602759822</v>
      </c>
      <c r="E14" s="1646">
        <f t="shared" si="1"/>
        <v>5307530.2116999403</v>
      </c>
      <c r="F14" s="1646">
        <v>527.02354414153262</v>
      </c>
      <c r="G14" s="1646">
        <f t="shared" si="2"/>
        <v>343619.35078027926</v>
      </c>
      <c r="H14" s="1646">
        <f t="shared" si="3"/>
        <v>5651150</v>
      </c>
      <c r="I14" s="1646">
        <f>'[1]Midyear Adjustment Summary'!C90</f>
        <v>234019.99721927289</v>
      </c>
      <c r="J14" s="1646">
        <f>'[1]Midyear Adjustment Summary'!D90</f>
        <v>-17334.81460883503</v>
      </c>
      <c r="K14" s="1646">
        <f t="shared" si="4"/>
        <v>216685.18261043786</v>
      </c>
      <c r="L14" s="1646">
        <f t="shared" si="5"/>
        <v>5867835.1826104382</v>
      </c>
      <c r="M14" s="1646">
        <f t="shared" si="6"/>
        <v>-14670</v>
      </c>
      <c r="N14" s="1646">
        <f t="shared" si="7"/>
        <v>5853165.1826104382</v>
      </c>
      <c r="O14" s="1647">
        <v>0</v>
      </c>
      <c r="P14" s="1646">
        <v>0</v>
      </c>
      <c r="Q14" s="1648">
        <f t="shared" si="8"/>
        <v>5853165.1826104382</v>
      </c>
      <c r="R14" s="1648">
        <f>[3]MFP!DT101</f>
        <v>4650012</v>
      </c>
      <c r="S14" s="1648">
        <f t="shared" si="9"/>
        <v>1203153.1826104382</v>
      </c>
      <c r="T14" s="1648">
        <f t="shared" si="10"/>
        <v>601577</v>
      </c>
    </row>
    <row r="15" spans="1:20" ht="52.5" customHeight="1">
      <c r="A15" s="1649" t="s">
        <v>755</v>
      </c>
      <c r="B15" s="1649" t="s">
        <v>1374</v>
      </c>
      <c r="C15" s="1644">
        <v>915</v>
      </c>
      <c r="D15" s="1646">
        <f>'Table 3 Levels 1&amp;2'!AL45+'[14]FY2012-13 Final'!$K$45</f>
        <v>13228.922053737697</v>
      </c>
      <c r="E15" s="1646">
        <f t="shared" si="1"/>
        <v>12104463.679169992</v>
      </c>
      <c r="F15" s="1646">
        <v>788.90242015830813</v>
      </c>
      <c r="G15" s="1646">
        <f t="shared" si="2"/>
        <v>721845.71444485197</v>
      </c>
      <c r="H15" s="1646">
        <f t="shared" si="3"/>
        <v>12826309</v>
      </c>
      <c r="I15" s="1646">
        <f>'[1]Midyear Adjustment Summary'!C91</f>
        <v>784998.17053817632</v>
      </c>
      <c r="J15" s="1646">
        <f>'[1]Midyear Adjustment Summary'!D91</f>
        <v>-140178.24473896006</v>
      </c>
      <c r="K15" s="1646">
        <f t="shared" si="4"/>
        <v>644819.92579921626</v>
      </c>
      <c r="L15" s="1646">
        <f t="shared" si="5"/>
        <v>13471128.925799217</v>
      </c>
      <c r="M15" s="1646">
        <f t="shared" si="6"/>
        <v>-33678</v>
      </c>
      <c r="N15" s="1646">
        <f t="shared" si="7"/>
        <v>13437450.925799217</v>
      </c>
      <c r="O15" s="1647">
        <v>0</v>
      </c>
      <c r="P15" s="1646">
        <v>0</v>
      </c>
      <c r="Q15" s="1648">
        <f t="shared" si="8"/>
        <v>13437450.925799217</v>
      </c>
      <c r="R15" s="1648">
        <f>[3]MFP!DT102+8454</f>
        <v>8550242</v>
      </c>
      <c r="S15" s="1648">
        <f t="shared" si="9"/>
        <v>4887208.9257992171</v>
      </c>
      <c r="T15" s="1648">
        <f t="shared" si="10"/>
        <v>2443604</v>
      </c>
    </row>
    <row r="16" spans="1:20" ht="52.5" customHeight="1">
      <c r="A16" s="1643" t="s">
        <v>756</v>
      </c>
      <c r="B16" s="1643" t="s">
        <v>1375</v>
      </c>
      <c r="C16" s="1644">
        <v>399</v>
      </c>
      <c r="D16" s="1646">
        <f>'Table 3 Levels 1&amp;2'!AL43+'[14]FY2012-13 Final'!$K$43</f>
        <v>8326.7546828904688</v>
      </c>
      <c r="E16" s="1646">
        <f t="shared" si="1"/>
        <v>3322375.118473297</v>
      </c>
      <c r="F16" s="1646">
        <v>705.7643831168831</v>
      </c>
      <c r="G16" s="1646">
        <f t="shared" si="2"/>
        <v>281599.98886363633</v>
      </c>
      <c r="H16" s="1646">
        <f t="shared" si="3"/>
        <v>3603975</v>
      </c>
      <c r="I16" s="1646">
        <f>'[1]Midyear Adjustment Summary'!C92</f>
        <v>180650.38132014702</v>
      </c>
      <c r="J16" s="1646">
        <f>'[1]Midyear Adjustment Summary'!D92</f>
        <v>176134.12178714335</v>
      </c>
      <c r="K16" s="1646">
        <f t="shared" si="4"/>
        <v>356784.50310729037</v>
      </c>
      <c r="L16" s="1646">
        <f t="shared" si="5"/>
        <v>3960759.5031072902</v>
      </c>
      <c r="M16" s="1646">
        <f t="shared" si="6"/>
        <v>-9902</v>
      </c>
      <c r="N16" s="1646">
        <f t="shared" si="7"/>
        <v>3950857.5031072902</v>
      </c>
      <c r="O16" s="1647">
        <v>0</v>
      </c>
      <c r="P16" s="1646">
        <v>0</v>
      </c>
      <c r="Q16" s="1648">
        <f t="shared" si="8"/>
        <v>3950857.5031072902</v>
      </c>
      <c r="R16" s="1648">
        <f>[3]MFP!DT103</f>
        <v>3127494</v>
      </c>
      <c r="S16" s="1648">
        <f t="shared" si="9"/>
        <v>823363.50310729025</v>
      </c>
      <c r="T16" s="1648">
        <f t="shared" si="10"/>
        <v>411682</v>
      </c>
    </row>
    <row r="17" spans="1:20" ht="52.5" customHeight="1">
      <c r="A17" s="1649" t="s">
        <v>757</v>
      </c>
      <c r="B17" s="1649" t="s">
        <v>1376</v>
      </c>
      <c r="C17" s="1651">
        <v>102</v>
      </c>
      <c r="D17" s="1648">
        <f>'Table 3 Levels 1&amp;2'!AL36+'[14]FY2012-13 Final'!$K$36</f>
        <v>8369.7852148385191</v>
      </c>
      <c r="E17" s="1648">
        <f t="shared" si="1"/>
        <v>853718.09191352897</v>
      </c>
      <c r="F17" s="1648">
        <v>659.21180998497243</v>
      </c>
      <c r="G17" s="1648">
        <f t="shared" si="2"/>
        <v>67239.604618467187</v>
      </c>
      <c r="H17" s="1646">
        <f t="shared" si="3"/>
        <v>920958</v>
      </c>
      <c r="I17" s="1646">
        <f>'[1]Midyear Adjustment Summary'!C93</f>
        <v>63202.979173764441</v>
      </c>
      <c r="J17" s="1646">
        <f>'[1]Midyear Adjustment Summary'!D93</f>
        <v>18057.994049646983</v>
      </c>
      <c r="K17" s="1646">
        <f t="shared" si="4"/>
        <v>81260.97322341142</v>
      </c>
      <c r="L17" s="1646">
        <f t="shared" si="5"/>
        <v>1002218.9732234115</v>
      </c>
      <c r="M17" s="1646">
        <f t="shared" si="6"/>
        <v>-2506</v>
      </c>
      <c r="N17" s="1646">
        <f t="shared" si="7"/>
        <v>999712.97322341148</v>
      </c>
      <c r="O17" s="1647">
        <v>0</v>
      </c>
      <c r="P17" s="1646">
        <v>0</v>
      </c>
      <c r="Q17" s="1648">
        <f t="shared" si="8"/>
        <v>999712.97322341148</v>
      </c>
      <c r="R17" s="1648">
        <f>[3]MFP!DT104+8454</f>
        <v>810414</v>
      </c>
      <c r="S17" s="1648">
        <f t="shared" si="9"/>
        <v>189298.97322341148</v>
      </c>
      <c r="T17" s="1648">
        <f t="shared" si="10"/>
        <v>94649</v>
      </c>
    </row>
    <row r="18" spans="1:20" ht="52.5" customHeight="1">
      <c r="A18" s="1643"/>
      <c r="B18" s="1643" t="s">
        <v>1377</v>
      </c>
      <c r="C18" s="1652">
        <f>SUM(C10:C17)</f>
        <v>4073</v>
      </c>
      <c r="D18" s="1653"/>
      <c r="E18" s="1653">
        <f>SUM(E10:E17)</f>
        <v>37003950.553748094</v>
      </c>
      <c r="F18" s="1653"/>
      <c r="G18" s="1653">
        <f t="shared" ref="G18:T18" si="11">SUM(G10:G17)</f>
        <v>2683469.3839907246</v>
      </c>
      <c r="H18" s="1653">
        <f t="shared" si="11"/>
        <v>39687419</v>
      </c>
      <c r="I18" s="1653">
        <f t="shared" si="11"/>
        <v>2407589.6191495731</v>
      </c>
      <c r="J18" s="1653">
        <f t="shared" si="11"/>
        <v>-125463.26305612837</v>
      </c>
      <c r="K18" s="1653">
        <f t="shared" si="11"/>
        <v>2282126.3560934449</v>
      </c>
      <c r="L18" s="1653">
        <f t="shared" si="11"/>
        <v>41969545.356093436</v>
      </c>
      <c r="M18" s="1653">
        <f t="shared" si="11"/>
        <v>-104926</v>
      </c>
      <c r="N18" s="1653">
        <f t="shared" si="11"/>
        <v>41864619.356093436</v>
      </c>
      <c r="O18" s="1653">
        <f t="shared" si="11"/>
        <v>8</v>
      </c>
      <c r="P18" s="1653">
        <f t="shared" si="11"/>
        <v>96000</v>
      </c>
      <c r="Q18" s="1654">
        <f t="shared" si="11"/>
        <v>41960627.356093436</v>
      </c>
      <c r="R18" s="1654">
        <f t="shared" si="11"/>
        <v>31587256</v>
      </c>
      <c r="S18" s="1654">
        <f t="shared" si="11"/>
        <v>10373371.356093444</v>
      </c>
      <c r="T18" s="1654">
        <f t="shared" si="11"/>
        <v>5186685</v>
      </c>
    </row>
    <row r="19" spans="1:20" ht="22.5" customHeight="1">
      <c r="A19" s="1655"/>
      <c r="B19" s="1655"/>
      <c r="C19" s="1656"/>
      <c r="D19" s="1657"/>
      <c r="E19" s="1656"/>
      <c r="F19" s="1656"/>
      <c r="G19" s="1656"/>
      <c r="H19" s="1656"/>
      <c r="I19" s="1656"/>
      <c r="J19" s="1656"/>
      <c r="K19" s="1656"/>
      <c r="L19" s="1656"/>
      <c r="M19" s="1656"/>
      <c r="N19" s="1656"/>
      <c r="O19" s="1656"/>
      <c r="P19" s="1656"/>
      <c r="Q19" s="1658"/>
      <c r="R19" s="1658"/>
      <c r="S19" s="1658"/>
      <c r="T19" s="1658"/>
    </row>
    <row r="20" spans="1:20" ht="34.5" customHeight="1">
      <c r="A20" s="1659"/>
      <c r="B20" s="1659" t="s">
        <v>1378</v>
      </c>
      <c r="C20" s="1651"/>
      <c r="D20" s="1646"/>
      <c r="E20" s="1646"/>
      <c r="F20" s="1646"/>
      <c r="G20" s="1646"/>
      <c r="H20" s="1646"/>
      <c r="I20" s="1646"/>
      <c r="J20" s="1646"/>
      <c r="K20" s="1646"/>
      <c r="L20" s="1646"/>
      <c r="M20" s="1646">
        <f>-M18</f>
        <v>104926</v>
      </c>
      <c r="N20" s="1646">
        <f>M20</f>
        <v>104926</v>
      </c>
      <c r="O20" s="1647"/>
      <c r="P20" s="1646"/>
      <c r="Q20" s="1648">
        <f>N20</f>
        <v>104926</v>
      </c>
      <c r="R20" s="1648">
        <v>61497</v>
      </c>
      <c r="S20" s="1648">
        <f>Q20-R20</f>
        <v>43429</v>
      </c>
      <c r="T20" s="1648"/>
    </row>
    <row r="21" spans="1:20" ht="18">
      <c r="A21" s="1655"/>
      <c r="B21" s="1655"/>
      <c r="C21" s="1656"/>
      <c r="D21" s="1657"/>
      <c r="E21" s="1656"/>
      <c r="F21" s="1656"/>
      <c r="G21" s="1656"/>
      <c r="H21" s="1656"/>
      <c r="I21" s="1656"/>
      <c r="J21" s="1656"/>
      <c r="K21" s="1656"/>
      <c r="L21" s="1656"/>
      <c r="M21" s="1656"/>
      <c r="N21" s="1656"/>
      <c r="O21" s="1656"/>
      <c r="P21" s="1656"/>
      <c r="Q21" s="1658"/>
      <c r="R21" s="1658"/>
      <c r="S21" s="1658"/>
      <c r="T21" s="1658"/>
    </row>
    <row r="22" spans="1:20" ht="18">
      <c r="A22" s="1660"/>
      <c r="B22" s="1660" t="s">
        <v>1379</v>
      </c>
      <c r="C22" s="1652">
        <f>SUM(C18:C20)</f>
        <v>4073</v>
      </c>
      <c r="D22" s="1653"/>
      <c r="E22" s="1653">
        <f t="shared" ref="E22:P22" si="12">SUM(E18:E20)</f>
        <v>37003950.553748094</v>
      </c>
      <c r="F22" s="1653"/>
      <c r="G22" s="1653">
        <f t="shared" si="12"/>
        <v>2683469.3839907246</v>
      </c>
      <c r="H22" s="1653">
        <f t="shared" si="12"/>
        <v>39687419</v>
      </c>
      <c r="I22" s="1653"/>
      <c r="J22" s="1653"/>
      <c r="K22" s="1653"/>
      <c r="L22" s="1653"/>
      <c r="M22" s="1653">
        <f t="shared" si="12"/>
        <v>0</v>
      </c>
      <c r="N22" s="1653">
        <f t="shared" si="12"/>
        <v>41969545.356093436</v>
      </c>
      <c r="O22" s="1653">
        <f t="shared" si="12"/>
        <v>8</v>
      </c>
      <c r="P22" s="1653">
        <f t="shared" si="12"/>
        <v>96000</v>
      </c>
      <c r="Q22" s="1653">
        <f>SUM(Q18:Q20)</f>
        <v>42065553.356093436</v>
      </c>
      <c r="R22" s="1653"/>
      <c r="S22" s="1653"/>
      <c r="T22" s="1653"/>
    </row>
    <row r="23" spans="1:20" ht="15">
      <c r="B23" s="1655"/>
      <c r="C23" s="1661"/>
      <c r="D23" s="1662"/>
      <c r="E23" s="1661"/>
      <c r="F23" s="1661"/>
      <c r="G23" s="1661"/>
      <c r="H23" s="1661"/>
      <c r="I23" s="1661"/>
      <c r="J23" s="1661"/>
      <c r="K23" s="1661"/>
      <c r="L23" s="1661"/>
      <c r="M23" s="1661"/>
      <c r="N23" s="1661"/>
      <c r="O23" s="1661"/>
      <c r="P23" s="1661"/>
      <c r="Q23" s="1663"/>
      <c r="R23" s="1663"/>
      <c r="S23" s="1663"/>
    </row>
    <row r="24" spans="1:20" ht="2.25" customHeight="1">
      <c r="B24" s="1655"/>
      <c r="C24" s="1661"/>
      <c r="D24" s="1662"/>
      <c r="E24" s="1661"/>
      <c r="F24" s="1661"/>
      <c r="G24" s="1661"/>
      <c r="H24" s="1094"/>
      <c r="I24" s="1094"/>
      <c r="J24" s="1094"/>
      <c r="K24" s="1094"/>
      <c r="L24" s="1094"/>
      <c r="M24" s="1094" t="s">
        <v>1425</v>
      </c>
      <c r="N24" s="1094"/>
      <c r="O24" s="1664"/>
      <c r="P24" s="1094"/>
      <c r="Q24" s="1663"/>
      <c r="R24" s="1663"/>
      <c r="S24" s="1663"/>
    </row>
    <row r="25" spans="1:20" ht="18" hidden="1">
      <c r="B25" s="1705"/>
      <c r="C25" s="1705"/>
      <c r="D25" s="1705"/>
      <c r="E25" s="1705"/>
      <c r="F25" s="1705"/>
      <c r="G25" s="1705"/>
      <c r="H25" s="1705"/>
      <c r="I25" s="1705"/>
      <c r="J25" s="1705"/>
      <c r="K25" s="1705"/>
      <c r="L25" s="1705" t="s">
        <v>1426</v>
      </c>
      <c r="M25" s="1094">
        <v>104926</v>
      </c>
      <c r="N25" s="1705"/>
      <c r="O25" s="1705"/>
      <c r="P25" s="1705"/>
      <c r="Q25" s="1663"/>
      <c r="R25" s="1663"/>
      <c r="S25" s="1663"/>
    </row>
    <row r="26" spans="1:20" ht="15" hidden="1">
      <c r="B26" s="1655"/>
      <c r="C26" s="1661"/>
      <c r="D26" s="1662"/>
      <c r="E26" s="1661"/>
      <c r="F26" s="1661"/>
      <c r="G26" s="1661"/>
      <c r="H26" s="1094"/>
      <c r="I26" s="1094"/>
      <c r="J26" s="1094"/>
      <c r="K26" s="1094"/>
      <c r="L26" s="1094" t="s">
        <v>1427</v>
      </c>
      <c r="M26" s="1730">
        <f>-61497-34144</f>
        <v>-95641</v>
      </c>
      <c r="N26" s="1094"/>
      <c r="O26" s="1664"/>
      <c r="P26" s="1094"/>
      <c r="Q26" s="1663"/>
      <c r="R26" s="1663"/>
      <c r="S26" s="1663"/>
    </row>
    <row r="27" spans="1:20" hidden="1">
      <c r="B27" s="1655"/>
      <c r="C27" s="1661"/>
      <c r="D27" s="1662"/>
      <c r="E27" s="1661"/>
      <c r="F27" s="1661"/>
      <c r="G27" s="1661"/>
      <c r="H27" s="1094"/>
      <c r="I27" s="1094"/>
      <c r="J27" s="1094"/>
      <c r="K27" s="1094"/>
      <c r="L27" s="1094" t="s">
        <v>1428</v>
      </c>
      <c r="M27" s="1672">
        <f>SUM(M25:M26)</f>
        <v>9285</v>
      </c>
      <c r="N27" s="1094"/>
      <c r="O27" s="1664"/>
      <c r="P27" s="1094"/>
      <c r="Q27" s="1665"/>
      <c r="R27" s="1665"/>
      <c r="S27" s="1665"/>
    </row>
    <row r="28" spans="1:20" hidden="1">
      <c r="B28" s="1666"/>
      <c r="C28" s="1661"/>
      <c r="D28" s="1662"/>
      <c r="E28" s="1661"/>
      <c r="F28" s="1661"/>
      <c r="G28" s="1661"/>
      <c r="H28" s="1094"/>
      <c r="I28" s="1094"/>
      <c r="J28" s="1094"/>
      <c r="K28" s="1094"/>
      <c r="L28" s="1094"/>
      <c r="N28" s="1094"/>
      <c r="O28" s="1094"/>
      <c r="P28" s="1094"/>
      <c r="Q28" s="1661"/>
      <c r="R28" s="1661"/>
      <c r="S28" s="1661"/>
    </row>
    <row r="29" spans="1:20" hidden="1">
      <c r="B29" s="1667"/>
      <c r="C29" s="1668"/>
      <c r="D29" s="1669"/>
      <c r="E29" s="1668"/>
      <c r="F29" s="1668"/>
      <c r="G29" s="1668"/>
      <c r="H29" s="1668"/>
      <c r="I29" s="1668"/>
      <c r="J29" s="1668"/>
      <c r="K29" s="1668"/>
      <c r="L29" s="1668"/>
      <c r="N29" s="1668"/>
      <c r="O29" s="1668"/>
      <c r="P29" s="1668"/>
      <c r="Q29" s="1670"/>
      <c r="R29" s="1670"/>
      <c r="S29" s="1670"/>
    </row>
    <row r="30" spans="1:20">
      <c r="B30" s="1671"/>
      <c r="C30" s="1671"/>
      <c r="D30" s="1671"/>
      <c r="E30" s="1672"/>
      <c r="F30" s="1672"/>
      <c r="G30" s="1672"/>
      <c r="H30" s="1672"/>
      <c r="I30" s="1672"/>
      <c r="J30" s="1672"/>
      <c r="K30" s="1672"/>
      <c r="L30" s="1672"/>
      <c r="N30" s="1672"/>
      <c r="O30" s="1672"/>
      <c r="P30" s="1672"/>
      <c r="Q30" s="1671"/>
      <c r="R30" s="1671"/>
      <c r="S30" s="1671"/>
    </row>
    <row r="31" spans="1:20">
      <c r="B31" s="1671"/>
      <c r="C31" s="1671"/>
      <c r="D31" s="1671"/>
      <c r="E31" s="1672"/>
      <c r="F31" s="1672"/>
      <c r="G31" s="1672"/>
      <c r="H31" s="1672"/>
      <c r="I31" s="1672"/>
      <c r="J31" s="1672"/>
      <c r="K31" s="1672"/>
      <c r="L31" s="1672"/>
      <c r="M31" s="1672"/>
      <c r="N31" s="1672"/>
      <c r="O31" s="1672"/>
      <c r="P31" s="1672"/>
      <c r="Q31" s="1671"/>
      <c r="R31" s="1671"/>
      <c r="S31" s="1671"/>
    </row>
    <row r="32" spans="1:20">
      <c r="B32" s="1671"/>
      <c r="C32" s="1671"/>
      <c r="D32" s="1671"/>
      <c r="E32" s="1671"/>
      <c r="F32" s="1671"/>
      <c r="G32" s="1671"/>
      <c r="H32" s="1671"/>
      <c r="I32" s="1671"/>
      <c r="J32" s="1671"/>
      <c r="K32" s="1671"/>
      <c r="L32" s="1671"/>
      <c r="M32" s="1671"/>
      <c r="N32" s="1671"/>
      <c r="O32" s="1671"/>
      <c r="P32" s="1671"/>
      <c r="Q32" s="1671"/>
      <c r="R32" s="1671"/>
      <c r="S32" s="1671"/>
    </row>
    <row r="33" spans="2:19">
      <c r="B33" s="1671"/>
      <c r="C33" s="1671"/>
      <c r="D33" s="1671"/>
      <c r="E33" s="1671"/>
      <c r="F33" s="1671"/>
      <c r="G33" s="1671"/>
      <c r="H33" s="1671"/>
      <c r="I33" s="1671"/>
      <c r="J33" s="1671"/>
      <c r="K33" s="1671"/>
      <c r="L33" s="1671"/>
      <c r="M33" s="1671"/>
      <c r="N33" s="1671"/>
      <c r="O33" s="1671"/>
      <c r="P33" s="1671"/>
      <c r="Q33" s="1671"/>
      <c r="R33" s="1671"/>
      <c r="S33" s="1671"/>
    </row>
    <row r="34" spans="2:19">
      <c r="B34" s="1671"/>
      <c r="C34" s="1671"/>
      <c r="D34" s="1671"/>
      <c r="E34" s="1671"/>
      <c r="F34" s="1671"/>
      <c r="G34" s="1671"/>
      <c r="H34" s="1671"/>
      <c r="I34" s="1671"/>
      <c r="J34" s="1671"/>
      <c r="K34" s="1671"/>
      <c r="L34" s="1671"/>
      <c r="M34" s="1671"/>
      <c r="N34" s="1671"/>
      <c r="O34" s="1671"/>
      <c r="P34" s="1671"/>
      <c r="Q34" s="1671"/>
      <c r="R34" s="1671"/>
      <c r="S34" s="1671"/>
    </row>
  </sheetData>
  <mergeCells count="20">
    <mergeCell ref="B3:Q3"/>
    <mergeCell ref="B4:Q4"/>
    <mergeCell ref="A6:A8"/>
    <mergeCell ref="B6:B8"/>
    <mergeCell ref="C6:C8"/>
    <mergeCell ref="D6:D8"/>
    <mergeCell ref="E6:E8"/>
    <mergeCell ref="F6:G6"/>
    <mergeCell ref="H6:H8"/>
    <mergeCell ref="L6:L8"/>
    <mergeCell ref="S6:S8"/>
    <mergeCell ref="T6:T8"/>
    <mergeCell ref="F7:F8"/>
    <mergeCell ref="G7:G8"/>
    <mergeCell ref="M6:M8"/>
    <mergeCell ref="N6:N8"/>
    <mergeCell ref="O6:O8"/>
    <mergeCell ref="P6:P8"/>
    <mergeCell ref="Q6:Q8"/>
    <mergeCell ref="R6:R8"/>
  </mergeCells>
  <printOptions horizontalCentered="1"/>
  <pageMargins left="0.25" right="0.25" top="0.54" bottom="0.18" header="0.17" footer="0.17"/>
  <pageSetup paperSize="5" scale="45" firstPageNumber="31" orientation="landscape" useFirstPageNumber="1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7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customWidth="1"/>
    <col min="4" max="4" width="17" customWidth="1"/>
    <col min="5" max="5" width="10.140625" bestFit="1" customWidth="1"/>
    <col min="6" max="6" width="12" customWidth="1"/>
    <col min="7" max="7" width="12.5703125" bestFit="1" customWidth="1"/>
    <col min="8" max="8" width="11.85546875" bestFit="1" customWidth="1"/>
    <col min="9" max="11" width="12.28515625" customWidth="1"/>
    <col min="12" max="12" width="15.5703125" customWidth="1"/>
    <col min="13" max="13" width="12.28515625" customWidth="1"/>
    <col min="14" max="14" width="12" bestFit="1" customWidth="1"/>
    <col min="15" max="15" width="13.42578125" bestFit="1" customWidth="1"/>
    <col min="16" max="16" width="14" customWidth="1"/>
    <col min="17" max="17" width="10.42578125" bestFit="1" customWidth="1"/>
    <col min="18" max="18" width="14" customWidth="1"/>
    <col min="19" max="19" width="11" customWidth="1"/>
    <col min="20" max="20" width="14.42578125" bestFit="1" customWidth="1"/>
    <col min="21" max="21" width="11" bestFit="1" customWidth="1"/>
    <col min="22" max="22" width="15.7109375" customWidth="1"/>
    <col min="23" max="23" width="13.85546875" bestFit="1" customWidth="1"/>
    <col min="24" max="26" width="13.85546875" customWidth="1"/>
    <col min="27" max="27" width="13.42578125" customWidth="1"/>
    <col min="28" max="28" width="10.85546875" bestFit="1" customWidth="1"/>
    <col min="29" max="29" width="12" bestFit="1" customWidth="1"/>
    <col min="30" max="30" width="13.42578125" bestFit="1" customWidth="1"/>
    <col min="31" max="31" width="13.140625" customWidth="1"/>
    <col min="32" max="32" width="11.5703125" bestFit="1" customWidth="1"/>
    <col min="33" max="33" width="13.140625" customWidth="1"/>
    <col min="34" max="34" width="12" customWidth="1"/>
    <col min="35" max="35" width="12.5703125" customWidth="1"/>
    <col min="36" max="36" width="12.140625" customWidth="1"/>
    <col min="37" max="37" width="2.5703125" customWidth="1"/>
    <col min="38" max="39" width="0" hidden="1" customWidth="1"/>
    <col min="40" max="40" width="13.85546875" hidden="1" customWidth="1"/>
    <col min="41" max="41" width="11.85546875" hidden="1" customWidth="1"/>
  </cols>
  <sheetData>
    <row r="1" spans="1:41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1" ht="45" customHeight="1">
      <c r="A2" s="2021" t="s">
        <v>1012</v>
      </c>
      <c r="B2" s="2022"/>
      <c r="C2" s="1899" t="s">
        <v>1002</v>
      </c>
      <c r="D2" s="1900"/>
      <c r="E2" s="1900"/>
      <c r="F2" s="1900"/>
      <c r="G2" s="1900"/>
      <c r="H2" s="1900"/>
      <c r="I2" s="1900"/>
      <c r="J2" s="1900"/>
      <c r="K2" s="1900"/>
      <c r="L2" s="1900"/>
      <c r="M2" s="2034" t="s">
        <v>1002</v>
      </c>
      <c r="N2" s="2034"/>
      <c r="O2" s="2034"/>
      <c r="P2" s="2034"/>
      <c r="Q2" s="2034"/>
      <c r="R2" s="2034"/>
      <c r="S2" s="2034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1" ht="132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1191</v>
      </c>
      <c r="K3" s="2027" t="s">
        <v>1189</v>
      </c>
      <c r="L3" s="2028" t="s">
        <v>1205</v>
      </c>
      <c r="M3" s="1199" t="s">
        <v>723</v>
      </c>
      <c r="N3" s="1911" t="s">
        <v>1204</v>
      </c>
      <c r="O3" s="1911" t="s">
        <v>990</v>
      </c>
      <c r="P3" s="1911" t="s">
        <v>1119</v>
      </c>
      <c r="Q3" s="1911" t="s">
        <v>1329</v>
      </c>
      <c r="R3" s="1911" t="s">
        <v>1325</v>
      </c>
      <c r="S3" s="1913" t="s">
        <v>1120</v>
      </c>
      <c r="T3" s="1917" t="s">
        <v>1265</v>
      </c>
      <c r="U3" s="2033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201" t="s">
        <v>724</v>
      </c>
      <c r="AC3" s="1917" t="s">
        <v>725</v>
      </c>
      <c r="AD3" s="1917" t="s">
        <v>990</v>
      </c>
      <c r="AE3" s="1917" t="s">
        <v>1122</v>
      </c>
      <c r="AF3" s="1917" t="s">
        <v>1330</v>
      </c>
      <c r="AG3" s="1917" t="s">
        <v>1403</v>
      </c>
      <c r="AH3" s="1917" t="s">
        <v>1123</v>
      </c>
      <c r="AI3" s="1915"/>
      <c r="AJ3" s="1915"/>
    </row>
    <row r="4" spans="1:41" ht="42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91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1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" si="1">E5+1</f>
        <v>4</v>
      </c>
      <c r="G5" s="966">
        <f t="shared" ref="G5" si="2">F5+1</f>
        <v>5</v>
      </c>
      <c r="H5" s="966">
        <f t="shared" ref="H5" si="3">G5+1</f>
        <v>6</v>
      </c>
      <c r="I5" s="966">
        <f t="shared" ref="I5" si="4">H5+1</f>
        <v>7</v>
      </c>
      <c r="J5" s="966">
        <f t="shared" ref="J5" si="5">I5+1</f>
        <v>8</v>
      </c>
      <c r="K5" s="966">
        <f t="shared" ref="K5" si="6">J5+1</f>
        <v>9</v>
      </c>
      <c r="L5" s="966">
        <f t="shared" ref="L5" si="7">K5+1</f>
        <v>10</v>
      </c>
      <c r="M5" s="966">
        <f t="shared" ref="M5" si="8">L5+1</f>
        <v>11</v>
      </c>
      <c r="N5" s="966">
        <f t="shared" ref="N5" si="9">M5+1</f>
        <v>12</v>
      </c>
      <c r="O5" s="966">
        <f t="shared" ref="O5" si="10">N5+1</f>
        <v>13</v>
      </c>
      <c r="P5" s="966">
        <f t="shared" ref="P5" si="11">O5+1</f>
        <v>14</v>
      </c>
      <c r="Q5" s="966">
        <f t="shared" ref="Q5" si="12">P5+1</f>
        <v>15</v>
      </c>
      <c r="R5" s="966">
        <f t="shared" ref="R5" si="13">Q5+1</f>
        <v>16</v>
      </c>
      <c r="S5" s="966">
        <f t="shared" ref="S5:T5" si="14">R5+1</f>
        <v>17</v>
      </c>
      <c r="T5" s="966">
        <f t="shared" si="14"/>
        <v>18</v>
      </c>
      <c r="U5" s="966">
        <f t="shared" ref="U5" si="15">T5+1</f>
        <v>19</v>
      </c>
      <c r="V5" s="966">
        <f t="shared" ref="V5" si="16">U5+1</f>
        <v>20</v>
      </c>
      <c r="W5" s="966">
        <f t="shared" ref="W5" si="17">V5+1</f>
        <v>21</v>
      </c>
      <c r="X5" s="966">
        <f t="shared" ref="X5" si="18">W5+1</f>
        <v>22</v>
      </c>
      <c r="Y5" s="966">
        <f t="shared" ref="Y5" si="19">X5+1</f>
        <v>23</v>
      </c>
      <c r="Z5" s="966">
        <f t="shared" ref="Z5" si="20">Y5+1</f>
        <v>24</v>
      </c>
      <c r="AA5" s="966">
        <f t="shared" ref="AA5" si="21">Z5+1</f>
        <v>25</v>
      </c>
      <c r="AB5" s="966">
        <f t="shared" ref="AB5" si="22">AA5+1</f>
        <v>26</v>
      </c>
      <c r="AC5" s="966">
        <f t="shared" ref="AC5" si="23">AB5+1</f>
        <v>27</v>
      </c>
      <c r="AD5" s="966">
        <f t="shared" ref="AD5" si="24">AC5+1</f>
        <v>28</v>
      </c>
      <c r="AE5" s="966">
        <f t="shared" ref="AE5" si="25">AD5+1</f>
        <v>29</v>
      </c>
      <c r="AF5" s="966">
        <f t="shared" ref="AF5" si="26">AE5+1</f>
        <v>30</v>
      </c>
      <c r="AG5" s="966">
        <f t="shared" ref="AG5" si="27">AF5+1</f>
        <v>31</v>
      </c>
      <c r="AH5" s="966">
        <f t="shared" ref="AH5" si="28">AG5+1</f>
        <v>32</v>
      </c>
      <c r="AI5" s="966">
        <f t="shared" ref="AI5" si="29">AH5+1</f>
        <v>33</v>
      </c>
      <c r="AJ5" s="966">
        <f t="shared" ref="AJ5" si="30">AI5+1</f>
        <v>34</v>
      </c>
    </row>
    <row r="6" spans="1:41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1">
      <c r="A7" s="968">
        <v>1</v>
      </c>
      <c r="B7" s="969" t="s">
        <v>102</v>
      </c>
      <c r="C7" s="970">
        <f>'Table 8 2.1.12 MFP Funded'!T4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Madison Prep'!K7</f>
        <v>0</v>
      </c>
      <c r="J7" s="1414">
        <f>'[1]Feb midyear Madison Prep'!K7</f>
        <v>0</v>
      </c>
      <c r="K7" s="1414">
        <f>I7+J7</f>
        <v>0</v>
      </c>
      <c r="L7" s="972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N7+O7</f>
        <v>0</v>
      </c>
      <c r="Q7" s="972">
        <v>0</v>
      </c>
      <c r="R7" s="1213">
        <f>P7-Q7</f>
        <v>0</v>
      </c>
      <c r="S7" s="1213">
        <f>R7/2</f>
        <v>0</v>
      </c>
      <c r="T7" s="1029">
        <f>'[14]FY2012-13 Final'!K8</f>
        <v>2115</v>
      </c>
      <c r="U7" s="973">
        <f t="shared" ref="U7:U38" si="31">C7*T7</f>
        <v>0</v>
      </c>
      <c r="V7" s="1354">
        <f>'[20]Oct midyear Madison Prep'!E7</f>
        <v>0</v>
      </c>
      <c r="W7" s="1348">
        <f>V7*T7</f>
        <v>0</v>
      </c>
      <c r="X7" s="1466">
        <f>'[20]Feb midyear Madison Prep'!E7</f>
        <v>0</v>
      </c>
      <c r="Y7" s="1348">
        <f>X7*(T7*0.5)</f>
        <v>0</v>
      </c>
      <c r="Z7" s="1348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1214">
        <v>0</v>
      </c>
      <c r="AE7" s="1214">
        <f>SUM(AC7:AD7)</f>
        <v>0</v>
      </c>
      <c r="AF7" s="1214">
        <v>0</v>
      </c>
      <c r="AG7" s="1214">
        <f>AE7-AF7</f>
        <v>0</v>
      </c>
      <c r="AH7" s="1214">
        <f>AG7/2</f>
        <v>0</v>
      </c>
      <c r="AI7" s="1447">
        <f>P7+AE7</f>
        <v>0</v>
      </c>
      <c r="AJ7" s="1447">
        <f t="shared" ref="AJ7:AJ38" si="32">S7+AH7</f>
        <v>0</v>
      </c>
      <c r="AL7" s="49">
        <f t="shared" ref="AL7:AL38" si="33">AB7</f>
        <v>0</v>
      </c>
      <c r="AM7" s="49">
        <f>-'[22]Table 5C1A-Madison Prep'!AN7</f>
        <v>0</v>
      </c>
      <c r="AN7" s="49">
        <f>-'[21]Table 5C1A-Madison Prep'!P7</f>
        <v>0</v>
      </c>
      <c r="AO7" s="49">
        <f>SUM(AL7:AM7)</f>
        <v>0</v>
      </c>
    </row>
    <row r="8" spans="1:41">
      <c r="A8" s="975">
        <v>2</v>
      </c>
      <c r="B8" s="976" t="s">
        <v>103</v>
      </c>
      <c r="C8" s="1168">
        <f>'Table 8 2.1.12 MFP Funded'!T5</f>
        <v>0</v>
      </c>
      <c r="D8" s="978">
        <f>'Table 3 Levels 1&amp;2'!AL9</f>
        <v>6149.545926426621</v>
      </c>
      <c r="E8" s="1072">
        <f t="shared" ref="E8:E71" si="34">C8*D8</f>
        <v>0</v>
      </c>
      <c r="F8" s="1072">
        <f>'Table 4 Level 3'!P7</f>
        <v>842.32</v>
      </c>
      <c r="G8" s="1072">
        <f t="shared" ref="G8:G71" si="35">C8*F8</f>
        <v>0</v>
      </c>
      <c r="H8" s="1030">
        <f t="shared" ref="H8:H71" si="36">E8+G8</f>
        <v>0</v>
      </c>
      <c r="I8" s="1415">
        <f>'[1]Oct midyear Madison Prep'!K8</f>
        <v>0</v>
      </c>
      <c r="J8" s="1415">
        <f>'[1]Feb midyear Madison Prep'!K8</f>
        <v>0</v>
      </c>
      <c r="K8" s="1415">
        <f t="shared" ref="K8:K71" si="37">I8+J8</f>
        <v>0</v>
      </c>
      <c r="L8" s="1030">
        <f t="shared" ref="L8:L71" si="38">H8+K8</f>
        <v>0</v>
      </c>
      <c r="M8" s="1082">
        <f t="shared" ref="M8:M71" si="39">-(0.25%*L8)</f>
        <v>0</v>
      </c>
      <c r="N8" s="1030">
        <f t="shared" ref="N8:N71" si="40">SUM(L8:M8)</f>
        <v>0</v>
      </c>
      <c r="O8" s="1030">
        <v>0</v>
      </c>
      <c r="P8" s="1030">
        <f t="shared" ref="P8:P71" si="41">N8+O8</f>
        <v>0</v>
      </c>
      <c r="Q8" s="1030">
        <v>0</v>
      </c>
      <c r="R8" s="1434">
        <f t="shared" ref="R8:R71" si="42">P8-Q8</f>
        <v>0</v>
      </c>
      <c r="S8" s="1434">
        <f t="shared" ref="S8:S71" si="43">R8/2</f>
        <v>0</v>
      </c>
      <c r="T8" s="1029">
        <f>'[14]FY2012-13 Final'!K9</f>
        <v>2584</v>
      </c>
      <c r="U8" s="1031">
        <f t="shared" si="31"/>
        <v>0</v>
      </c>
      <c r="V8" s="1439">
        <f>'[20]Oct midyear Madison Prep'!E8</f>
        <v>0</v>
      </c>
      <c r="W8" s="1349">
        <f t="shared" ref="W8:W71" si="44">V8*T8</f>
        <v>0</v>
      </c>
      <c r="X8" s="1474">
        <f>'[20]Feb midyear Madison Prep'!E8</f>
        <v>0</v>
      </c>
      <c r="Y8" s="1470">
        <f t="shared" ref="Y8:Y71" si="45">X8*(T8*0.5)</f>
        <v>0</v>
      </c>
      <c r="Z8" s="1468">
        <f t="shared" ref="Z8:Z71" si="46">W8+Y8</f>
        <v>0</v>
      </c>
      <c r="AA8" s="1031">
        <f t="shared" ref="AA8:AA71" si="47">U8+Z8</f>
        <v>0</v>
      </c>
      <c r="AB8" s="1090">
        <f t="shared" ref="AB8:AB71" si="48">-(0.25%*AA8)</f>
        <v>0</v>
      </c>
      <c r="AC8" s="1031">
        <f t="shared" ref="AC8:AC71" si="49">SUM(AA8:AB8)</f>
        <v>0</v>
      </c>
      <c r="AD8" s="1448">
        <v>0</v>
      </c>
      <c r="AE8" s="1448">
        <f t="shared" ref="AE8:AE71" si="50">SUM(AC8:AD8)</f>
        <v>0</v>
      </c>
      <c r="AF8" s="1448">
        <v>0</v>
      </c>
      <c r="AG8" s="1448">
        <f t="shared" ref="AG8:AG71" si="51">AE8-AF8</f>
        <v>0</v>
      </c>
      <c r="AH8" s="1448">
        <f t="shared" ref="AH8:AH71" si="52">AG8/2</f>
        <v>0</v>
      </c>
      <c r="AI8" s="1449">
        <f t="shared" ref="AI8:AI71" si="53">P8+AE8</f>
        <v>0</v>
      </c>
      <c r="AJ8" s="1449">
        <f t="shared" si="32"/>
        <v>0</v>
      </c>
      <c r="AL8" s="49">
        <f t="shared" si="33"/>
        <v>0</v>
      </c>
      <c r="AM8" s="49">
        <f>-'[22]Table 5C1A-Madison Prep'!AN8</f>
        <v>0</v>
      </c>
      <c r="AN8" s="49">
        <f>-'[21]Table 5C1A-Madison Prep'!P8</f>
        <v>0</v>
      </c>
      <c r="AO8" s="49">
        <f t="shared" ref="AO8:AO71" si="54">SUM(AL8:AM8)</f>
        <v>0</v>
      </c>
    </row>
    <row r="9" spans="1:41">
      <c r="A9" s="975">
        <v>3</v>
      </c>
      <c r="B9" s="976" t="s">
        <v>104</v>
      </c>
      <c r="C9" s="1168">
        <f>'Table 8 2.1.12 MFP Funded'!T6</f>
        <v>0</v>
      </c>
      <c r="D9" s="978">
        <f>'Table 3 Levels 1&amp;2'!AL10</f>
        <v>4340.9401078757892</v>
      </c>
      <c r="E9" s="1072">
        <f t="shared" si="34"/>
        <v>0</v>
      </c>
      <c r="F9" s="1072">
        <f>'Table 4 Level 3'!P8</f>
        <v>596.84</v>
      </c>
      <c r="G9" s="1072">
        <f t="shared" si="35"/>
        <v>0</v>
      </c>
      <c r="H9" s="1030">
        <f t="shared" si="36"/>
        <v>0</v>
      </c>
      <c r="I9" s="1415">
        <f>'[1]Oct midyear Madison Prep'!K9</f>
        <v>0</v>
      </c>
      <c r="J9" s="1415">
        <f>'[1]Feb midyear Madison Prep'!K9</f>
        <v>0</v>
      </c>
      <c r="K9" s="1415">
        <f t="shared" si="37"/>
        <v>0</v>
      </c>
      <c r="L9" s="1030">
        <f t="shared" si="38"/>
        <v>0</v>
      </c>
      <c r="M9" s="1082">
        <f t="shared" si="39"/>
        <v>0</v>
      </c>
      <c r="N9" s="1030">
        <f t="shared" si="40"/>
        <v>0</v>
      </c>
      <c r="O9" s="1030">
        <v>0</v>
      </c>
      <c r="P9" s="1030">
        <f t="shared" si="41"/>
        <v>0</v>
      </c>
      <c r="Q9" s="1030">
        <v>0</v>
      </c>
      <c r="R9" s="1434">
        <f t="shared" si="42"/>
        <v>0</v>
      </c>
      <c r="S9" s="1434">
        <f t="shared" si="43"/>
        <v>0</v>
      </c>
      <c r="T9" s="1029">
        <f>'[14]FY2012-13 Final'!K10</f>
        <v>4977</v>
      </c>
      <c r="U9" s="1031">
        <f t="shared" si="31"/>
        <v>0</v>
      </c>
      <c r="V9" s="1439">
        <f>'[20]Oct midyear Madison Prep'!E9</f>
        <v>0</v>
      </c>
      <c r="W9" s="1349">
        <f t="shared" si="44"/>
        <v>0</v>
      </c>
      <c r="X9" s="1474">
        <f>'[20]Feb midyear Madison Prep'!E9</f>
        <v>0</v>
      </c>
      <c r="Y9" s="1470">
        <f t="shared" si="45"/>
        <v>0</v>
      </c>
      <c r="Z9" s="1468">
        <f t="shared" si="46"/>
        <v>0</v>
      </c>
      <c r="AA9" s="1031">
        <f t="shared" si="47"/>
        <v>0</v>
      </c>
      <c r="AB9" s="1090">
        <f t="shared" si="48"/>
        <v>0</v>
      </c>
      <c r="AC9" s="1031">
        <f t="shared" si="49"/>
        <v>0</v>
      </c>
      <c r="AD9" s="1448">
        <v>0</v>
      </c>
      <c r="AE9" s="1448">
        <f t="shared" si="50"/>
        <v>0</v>
      </c>
      <c r="AF9" s="1448">
        <v>0</v>
      </c>
      <c r="AG9" s="1448">
        <f t="shared" si="51"/>
        <v>0</v>
      </c>
      <c r="AH9" s="1448">
        <f t="shared" si="52"/>
        <v>0</v>
      </c>
      <c r="AI9" s="1449">
        <f t="shared" si="53"/>
        <v>0</v>
      </c>
      <c r="AJ9" s="1449">
        <f t="shared" si="32"/>
        <v>0</v>
      </c>
      <c r="AL9" s="49">
        <f t="shared" si="33"/>
        <v>0</v>
      </c>
      <c r="AM9" s="49">
        <f>-'[22]Table 5C1A-Madison Prep'!AN9</f>
        <v>0</v>
      </c>
      <c r="AN9" s="49">
        <f>-'[21]Table 5C1A-Madison Prep'!P9</f>
        <v>0</v>
      </c>
      <c r="AO9" s="49">
        <f t="shared" si="54"/>
        <v>0</v>
      </c>
    </row>
    <row r="10" spans="1:41">
      <c r="A10" s="975">
        <v>4</v>
      </c>
      <c r="B10" s="976" t="s">
        <v>105</v>
      </c>
      <c r="C10" s="1168">
        <f>'Table 8 2.1.12 MFP Funded'!T7</f>
        <v>0</v>
      </c>
      <c r="D10" s="978">
        <f>'Table 3 Levels 1&amp;2'!AL11</f>
        <v>6077.3708498182023</v>
      </c>
      <c r="E10" s="1072">
        <f t="shared" si="34"/>
        <v>0</v>
      </c>
      <c r="F10" s="1072">
        <f>'Table 4 Level 3'!P9</f>
        <v>585.76</v>
      </c>
      <c r="G10" s="1072">
        <f t="shared" si="35"/>
        <v>0</v>
      </c>
      <c r="H10" s="1030">
        <f t="shared" si="36"/>
        <v>0</v>
      </c>
      <c r="I10" s="1415">
        <f>'[1]Oct midyear Madison Prep'!K10</f>
        <v>0</v>
      </c>
      <c r="J10" s="1415">
        <f>'[1]Feb midyear Madison Prep'!K10</f>
        <v>0</v>
      </c>
      <c r="K10" s="1415">
        <f t="shared" si="37"/>
        <v>0</v>
      </c>
      <c r="L10" s="1030">
        <f t="shared" si="38"/>
        <v>0</v>
      </c>
      <c r="M10" s="1082">
        <f t="shared" si="39"/>
        <v>0</v>
      </c>
      <c r="N10" s="1030">
        <f t="shared" si="40"/>
        <v>0</v>
      </c>
      <c r="O10" s="1030">
        <v>0</v>
      </c>
      <c r="P10" s="1030">
        <f t="shared" si="41"/>
        <v>0</v>
      </c>
      <c r="Q10" s="1030">
        <v>0</v>
      </c>
      <c r="R10" s="1434">
        <f t="shared" si="42"/>
        <v>0</v>
      </c>
      <c r="S10" s="1434">
        <f t="shared" si="43"/>
        <v>0</v>
      </c>
      <c r="T10" s="1029">
        <f>'[14]FY2012-13 Final'!K11</f>
        <v>3455</v>
      </c>
      <c r="U10" s="1031">
        <f t="shared" si="31"/>
        <v>0</v>
      </c>
      <c r="V10" s="1439">
        <f>'[20]Oct midyear Madison Prep'!E10</f>
        <v>0</v>
      </c>
      <c r="W10" s="1349">
        <f t="shared" si="44"/>
        <v>0</v>
      </c>
      <c r="X10" s="1474">
        <f>'[20]Feb midyear Madison Prep'!E10</f>
        <v>0</v>
      </c>
      <c r="Y10" s="1470">
        <f t="shared" si="45"/>
        <v>0</v>
      </c>
      <c r="Z10" s="1468">
        <f t="shared" si="46"/>
        <v>0</v>
      </c>
      <c r="AA10" s="1031">
        <f t="shared" si="47"/>
        <v>0</v>
      </c>
      <c r="AB10" s="1090">
        <f t="shared" si="48"/>
        <v>0</v>
      </c>
      <c r="AC10" s="1031">
        <f t="shared" si="49"/>
        <v>0</v>
      </c>
      <c r="AD10" s="1448">
        <v>0</v>
      </c>
      <c r="AE10" s="1448">
        <f t="shared" si="50"/>
        <v>0</v>
      </c>
      <c r="AF10" s="1448">
        <v>0</v>
      </c>
      <c r="AG10" s="1448">
        <f t="shared" si="51"/>
        <v>0</v>
      </c>
      <c r="AH10" s="1448">
        <f t="shared" si="52"/>
        <v>0</v>
      </c>
      <c r="AI10" s="1449">
        <f t="shared" si="53"/>
        <v>0</v>
      </c>
      <c r="AJ10" s="1449">
        <f t="shared" si="32"/>
        <v>0</v>
      </c>
      <c r="AL10" s="49">
        <f t="shared" si="33"/>
        <v>0</v>
      </c>
      <c r="AM10" s="49">
        <f>-'[22]Table 5C1A-Madison Prep'!AN10</f>
        <v>0</v>
      </c>
      <c r="AN10" s="49">
        <f>-'[21]Table 5C1A-Madison Prep'!P10</f>
        <v>0</v>
      </c>
      <c r="AO10" s="49">
        <f t="shared" si="54"/>
        <v>0</v>
      </c>
    </row>
    <row r="11" spans="1:41">
      <c r="A11" s="979">
        <v>5</v>
      </c>
      <c r="B11" s="980" t="s">
        <v>106</v>
      </c>
      <c r="C11" s="1169">
        <f>'Table 8 2.1.12 MFP Funded'!T8</f>
        <v>0</v>
      </c>
      <c r="D11" s="982">
        <f>'Table 3 Levels 1&amp;2'!AL12</f>
        <v>4878.1095033692254</v>
      </c>
      <c r="E11" s="1073">
        <f t="shared" si="34"/>
        <v>0</v>
      </c>
      <c r="F11" s="1073">
        <f>'Table 4 Level 3'!P10</f>
        <v>555.91</v>
      </c>
      <c r="G11" s="1073">
        <f t="shared" si="35"/>
        <v>0</v>
      </c>
      <c r="H11" s="1033">
        <f t="shared" si="36"/>
        <v>0</v>
      </c>
      <c r="I11" s="1416">
        <f>'[1]Oct midyear Madison Prep'!K11</f>
        <v>0</v>
      </c>
      <c r="J11" s="1416">
        <f>'[1]Feb midyear Madison Prep'!K11</f>
        <v>0</v>
      </c>
      <c r="K11" s="1416">
        <f t="shared" si="37"/>
        <v>0</v>
      </c>
      <c r="L11" s="1033">
        <f t="shared" si="38"/>
        <v>0</v>
      </c>
      <c r="M11" s="1083">
        <f t="shared" si="39"/>
        <v>0</v>
      </c>
      <c r="N11" s="1033">
        <f t="shared" si="40"/>
        <v>0</v>
      </c>
      <c r="O11" s="1033">
        <v>0</v>
      </c>
      <c r="P11" s="1033">
        <f t="shared" si="41"/>
        <v>0</v>
      </c>
      <c r="Q11" s="1033">
        <v>0</v>
      </c>
      <c r="R11" s="1435">
        <f t="shared" si="42"/>
        <v>0</v>
      </c>
      <c r="S11" s="1435">
        <f t="shared" si="43"/>
        <v>0</v>
      </c>
      <c r="T11" s="1034">
        <f>'[14]FY2012-13 Final'!K12</f>
        <v>1515</v>
      </c>
      <c r="U11" s="1035">
        <f t="shared" si="31"/>
        <v>0</v>
      </c>
      <c r="V11" s="1440">
        <f>'[20]Oct midyear Madison Prep'!E11</f>
        <v>0</v>
      </c>
      <c r="W11" s="1350">
        <f t="shared" si="44"/>
        <v>0</v>
      </c>
      <c r="X11" s="1475">
        <f>'[20]Feb midyear Madison Prep'!E11</f>
        <v>0</v>
      </c>
      <c r="Y11" s="1471">
        <f t="shared" si="45"/>
        <v>0</v>
      </c>
      <c r="Z11" s="1469">
        <f t="shared" si="46"/>
        <v>0</v>
      </c>
      <c r="AA11" s="1035">
        <f t="shared" si="47"/>
        <v>0</v>
      </c>
      <c r="AB11" s="1091">
        <f t="shared" si="48"/>
        <v>0</v>
      </c>
      <c r="AC11" s="1035">
        <f t="shared" si="49"/>
        <v>0</v>
      </c>
      <c r="AD11" s="1450">
        <v>0</v>
      </c>
      <c r="AE11" s="1450">
        <f t="shared" si="50"/>
        <v>0</v>
      </c>
      <c r="AF11" s="1450">
        <v>0</v>
      </c>
      <c r="AG11" s="1450">
        <f t="shared" si="51"/>
        <v>0</v>
      </c>
      <c r="AH11" s="1450">
        <f t="shared" si="52"/>
        <v>0</v>
      </c>
      <c r="AI11" s="1451">
        <f t="shared" si="53"/>
        <v>0</v>
      </c>
      <c r="AJ11" s="1451">
        <f t="shared" si="32"/>
        <v>0</v>
      </c>
      <c r="AL11" s="49">
        <f t="shared" si="33"/>
        <v>0</v>
      </c>
      <c r="AM11" s="49">
        <f>-'[22]Table 5C1A-Madison Prep'!AN11</f>
        <v>0</v>
      </c>
      <c r="AN11" s="49">
        <f>-'[21]Table 5C1A-Madison Prep'!P11</f>
        <v>0</v>
      </c>
      <c r="AO11" s="49">
        <f t="shared" si="54"/>
        <v>0</v>
      </c>
    </row>
    <row r="12" spans="1:41">
      <c r="A12" s="968">
        <v>6</v>
      </c>
      <c r="B12" s="969" t="s">
        <v>107</v>
      </c>
      <c r="C12" s="1170">
        <f>'Table 8 2.1.12 MFP Funded'!T9</f>
        <v>0</v>
      </c>
      <c r="D12" s="971">
        <f>'Table 3 Levels 1&amp;2'!AL13</f>
        <v>5550.1901239384006</v>
      </c>
      <c r="E12" s="1071">
        <f t="shared" si="34"/>
        <v>0</v>
      </c>
      <c r="F12" s="1071">
        <f>'Table 4 Level 3'!P11</f>
        <v>545.4799999999999</v>
      </c>
      <c r="G12" s="1071">
        <f t="shared" si="35"/>
        <v>0</v>
      </c>
      <c r="H12" s="972">
        <f t="shared" si="36"/>
        <v>0</v>
      </c>
      <c r="I12" s="1414">
        <f>'[1]Oct midyear Madison Prep'!K12</f>
        <v>0</v>
      </c>
      <c r="J12" s="1414">
        <f>'[1]Feb midyear Madison Prep'!K12</f>
        <v>0</v>
      </c>
      <c r="K12" s="1414">
        <f t="shared" si="37"/>
        <v>0</v>
      </c>
      <c r="L12" s="972">
        <f t="shared" si="38"/>
        <v>0</v>
      </c>
      <c r="M12" s="1081">
        <f t="shared" si="39"/>
        <v>0</v>
      </c>
      <c r="N12" s="972">
        <f t="shared" si="40"/>
        <v>0</v>
      </c>
      <c r="O12" s="972">
        <v>0</v>
      </c>
      <c r="P12" s="972">
        <f t="shared" si="41"/>
        <v>0</v>
      </c>
      <c r="Q12" s="972">
        <v>0</v>
      </c>
      <c r="R12" s="1213">
        <f t="shared" si="42"/>
        <v>0</v>
      </c>
      <c r="S12" s="1213">
        <f t="shared" si="43"/>
        <v>0</v>
      </c>
      <c r="T12" s="1029">
        <f>'[14]FY2012-13 Final'!K13</f>
        <v>3579</v>
      </c>
      <c r="U12" s="973">
        <f t="shared" si="31"/>
        <v>0</v>
      </c>
      <c r="V12" s="1441">
        <f>'[20]Oct midyear Madison Prep'!E12</f>
        <v>0</v>
      </c>
      <c r="W12" s="1348">
        <f t="shared" si="44"/>
        <v>0</v>
      </c>
      <c r="X12" s="1466">
        <f>'[20]Feb midyear Madison Prep'!E12</f>
        <v>0</v>
      </c>
      <c r="Y12" s="1444">
        <f t="shared" si="45"/>
        <v>0</v>
      </c>
      <c r="Z12" s="1348">
        <f t="shared" si="46"/>
        <v>0</v>
      </c>
      <c r="AA12" s="973">
        <f t="shared" si="47"/>
        <v>0</v>
      </c>
      <c r="AB12" s="1089">
        <f t="shared" si="48"/>
        <v>0</v>
      </c>
      <c r="AC12" s="973">
        <f t="shared" si="49"/>
        <v>0</v>
      </c>
      <c r="AD12" s="1214">
        <v>0</v>
      </c>
      <c r="AE12" s="1214">
        <f t="shared" si="50"/>
        <v>0</v>
      </c>
      <c r="AF12" s="1214">
        <v>0</v>
      </c>
      <c r="AG12" s="1214">
        <f t="shared" si="51"/>
        <v>0</v>
      </c>
      <c r="AH12" s="1214">
        <f t="shared" si="52"/>
        <v>0</v>
      </c>
      <c r="AI12" s="1447">
        <f t="shared" si="53"/>
        <v>0</v>
      </c>
      <c r="AJ12" s="1447">
        <f t="shared" si="32"/>
        <v>0</v>
      </c>
      <c r="AL12" s="49">
        <f t="shared" si="33"/>
        <v>0</v>
      </c>
      <c r="AM12" s="49">
        <f>-'[22]Table 5C1A-Madison Prep'!AN12</f>
        <v>0</v>
      </c>
      <c r="AN12" s="49">
        <f>-'[21]Table 5C1A-Madison Prep'!P12</f>
        <v>0</v>
      </c>
      <c r="AO12" s="49">
        <f t="shared" si="54"/>
        <v>0</v>
      </c>
    </row>
    <row r="13" spans="1:41">
      <c r="A13" s="975">
        <v>7</v>
      </c>
      <c r="B13" s="976" t="s">
        <v>108</v>
      </c>
      <c r="C13" s="1168">
        <f>'Table 8 2.1.12 MFP Funded'!T10</f>
        <v>0</v>
      </c>
      <c r="D13" s="978">
        <f>'Table 3 Levels 1&amp;2'!AL14</f>
        <v>1550.5347159603245</v>
      </c>
      <c r="E13" s="1072">
        <f t="shared" si="34"/>
        <v>0</v>
      </c>
      <c r="F13" s="1072">
        <f>'Table 4 Level 3'!P12</f>
        <v>756.91999999999985</v>
      </c>
      <c r="G13" s="1072">
        <f t="shared" si="35"/>
        <v>0</v>
      </c>
      <c r="H13" s="1030">
        <f t="shared" si="36"/>
        <v>0</v>
      </c>
      <c r="I13" s="1415">
        <f>'[1]Oct midyear Madison Prep'!K13</f>
        <v>0</v>
      </c>
      <c r="J13" s="1415">
        <f>'[1]Feb midyear Madison Prep'!K13</f>
        <v>0</v>
      </c>
      <c r="K13" s="1415">
        <f t="shared" si="37"/>
        <v>0</v>
      </c>
      <c r="L13" s="1030">
        <f t="shared" si="38"/>
        <v>0</v>
      </c>
      <c r="M13" s="1082">
        <f t="shared" si="39"/>
        <v>0</v>
      </c>
      <c r="N13" s="1030">
        <f t="shared" si="40"/>
        <v>0</v>
      </c>
      <c r="O13" s="1030">
        <v>0</v>
      </c>
      <c r="P13" s="1030">
        <f t="shared" si="41"/>
        <v>0</v>
      </c>
      <c r="Q13" s="1030">
        <v>0</v>
      </c>
      <c r="R13" s="1434">
        <f t="shared" si="42"/>
        <v>0</v>
      </c>
      <c r="S13" s="1434">
        <f t="shared" si="43"/>
        <v>0</v>
      </c>
      <c r="T13" s="1029">
        <f>'[14]FY2012-13 Final'!K14</f>
        <v>12483</v>
      </c>
      <c r="U13" s="1031">
        <f t="shared" si="31"/>
        <v>0</v>
      </c>
      <c r="V13" s="1439">
        <f>'[20]Oct midyear Madison Prep'!E13</f>
        <v>0</v>
      </c>
      <c r="W13" s="1349">
        <f t="shared" si="44"/>
        <v>0</v>
      </c>
      <c r="X13" s="1474">
        <f>'[20]Feb midyear Madison Prep'!E13</f>
        <v>0</v>
      </c>
      <c r="Y13" s="1470">
        <f t="shared" si="45"/>
        <v>0</v>
      </c>
      <c r="Z13" s="1468">
        <f t="shared" si="46"/>
        <v>0</v>
      </c>
      <c r="AA13" s="1031">
        <f t="shared" si="47"/>
        <v>0</v>
      </c>
      <c r="AB13" s="1090">
        <f t="shared" si="48"/>
        <v>0</v>
      </c>
      <c r="AC13" s="1031">
        <f t="shared" si="49"/>
        <v>0</v>
      </c>
      <c r="AD13" s="1448">
        <v>0</v>
      </c>
      <c r="AE13" s="1448">
        <f t="shared" si="50"/>
        <v>0</v>
      </c>
      <c r="AF13" s="1448">
        <v>0</v>
      </c>
      <c r="AG13" s="1448">
        <f t="shared" si="51"/>
        <v>0</v>
      </c>
      <c r="AH13" s="1448">
        <f t="shared" si="52"/>
        <v>0</v>
      </c>
      <c r="AI13" s="1449">
        <f t="shared" si="53"/>
        <v>0</v>
      </c>
      <c r="AJ13" s="1449">
        <f t="shared" si="32"/>
        <v>0</v>
      </c>
      <c r="AL13" s="49">
        <f t="shared" si="33"/>
        <v>0</v>
      </c>
      <c r="AM13" s="49">
        <f>-'[22]Table 5C1A-Madison Prep'!AN13</f>
        <v>0</v>
      </c>
      <c r="AN13" s="49">
        <f>-'[21]Table 5C1A-Madison Prep'!P13</f>
        <v>0</v>
      </c>
      <c r="AO13" s="49">
        <f t="shared" si="54"/>
        <v>0</v>
      </c>
    </row>
    <row r="14" spans="1:41">
      <c r="A14" s="975">
        <v>8</v>
      </c>
      <c r="B14" s="976" t="s">
        <v>109</v>
      </c>
      <c r="C14" s="1168">
        <f>'Table 8 2.1.12 MFP Funded'!T11</f>
        <v>0</v>
      </c>
      <c r="D14" s="978">
        <f>'Table 3 Levels 1&amp;2'!AL15</f>
        <v>4054.7459475361657</v>
      </c>
      <c r="E14" s="1072">
        <f t="shared" si="34"/>
        <v>0</v>
      </c>
      <c r="F14" s="1072">
        <f>'Table 4 Level 3'!P13</f>
        <v>725.76</v>
      </c>
      <c r="G14" s="1072">
        <f t="shared" si="35"/>
        <v>0</v>
      </c>
      <c r="H14" s="1030">
        <f t="shared" si="36"/>
        <v>0</v>
      </c>
      <c r="I14" s="1415">
        <f>'[1]Oct midyear Madison Prep'!K14</f>
        <v>0</v>
      </c>
      <c r="J14" s="1415">
        <f>'[1]Feb midyear Madison Prep'!K14</f>
        <v>0</v>
      </c>
      <c r="K14" s="1415">
        <f t="shared" si="37"/>
        <v>0</v>
      </c>
      <c r="L14" s="1030">
        <f t="shared" si="38"/>
        <v>0</v>
      </c>
      <c r="M14" s="1082">
        <f t="shared" si="39"/>
        <v>0</v>
      </c>
      <c r="N14" s="1030">
        <f t="shared" si="40"/>
        <v>0</v>
      </c>
      <c r="O14" s="1030">
        <v>0</v>
      </c>
      <c r="P14" s="1030">
        <f t="shared" si="41"/>
        <v>0</v>
      </c>
      <c r="Q14" s="1030">
        <v>0</v>
      </c>
      <c r="R14" s="1434">
        <f t="shared" si="42"/>
        <v>0</v>
      </c>
      <c r="S14" s="1434">
        <f t="shared" si="43"/>
        <v>0</v>
      </c>
      <c r="T14" s="1029">
        <f>'[14]FY2012-13 Final'!K15</f>
        <v>4187</v>
      </c>
      <c r="U14" s="1031">
        <f t="shared" si="31"/>
        <v>0</v>
      </c>
      <c r="V14" s="1439">
        <f>'[20]Oct midyear Madison Prep'!E14</f>
        <v>0</v>
      </c>
      <c r="W14" s="1349">
        <f t="shared" si="44"/>
        <v>0</v>
      </c>
      <c r="X14" s="1474">
        <f>'[20]Feb midyear Madison Prep'!E14</f>
        <v>0</v>
      </c>
      <c r="Y14" s="1470">
        <f t="shared" si="45"/>
        <v>0</v>
      </c>
      <c r="Z14" s="1468">
        <f t="shared" si="46"/>
        <v>0</v>
      </c>
      <c r="AA14" s="1031">
        <f t="shared" si="47"/>
        <v>0</v>
      </c>
      <c r="AB14" s="1090">
        <f t="shared" si="48"/>
        <v>0</v>
      </c>
      <c r="AC14" s="1031">
        <f t="shared" si="49"/>
        <v>0</v>
      </c>
      <c r="AD14" s="1448">
        <v>0</v>
      </c>
      <c r="AE14" s="1448">
        <f t="shared" si="50"/>
        <v>0</v>
      </c>
      <c r="AF14" s="1448">
        <v>0</v>
      </c>
      <c r="AG14" s="1448">
        <f t="shared" si="51"/>
        <v>0</v>
      </c>
      <c r="AH14" s="1448">
        <f t="shared" si="52"/>
        <v>0</v>
      </c>
      <c r="AI14" s="1449">
        <f t="shared" si="53"/>
        <v>0</v>
      </c>
      <c r="AJ14" s="1449">
        <f t="shared" si="32"/>
        <v>0</v>
      </c>
      <c r="AL14" s="49">
        <f t="shared" si="33"/>
        <v>0</v>
      </c>
      <c r="AM14" s="49">
        <f>-'[22]Table 5C1A-Madison Prep'!AN14</f>
        <v>0</v>
      </c>
      <c r="AN14" s="49">
        <f>-'[21]Table 5C1A-Madison Prep'!P14</f>
        <v>0</v>
      </c>
      <c r="AO14" s="49">
        <f t="shared" si="54"/>
        <v>0</v>
      </c>
    </row>
    <row r="15" spans="1:41">
      <c r="A15" s="975">
        <v>9</v>
      </c>
      <c r="B15" s="976" t="s">
        <v>110</v>
      </c>
      <c r="C15" s="1168">
        <f>'Table 8 2.1.12 MFP Funded'!T12</f>
        <v>0</v>
      </c>
      <c r="D15" s="978">
        <f>'Table 3 Levels 1&amp;2'!AL16</f>
        <v>4287.1210280148016</v>
      </c>
      <c r="E15" s="1072">
        <f t="shared" si="34"/>
        <v>0</v>
      </c>
      <c r="F15" s="1072">
        <f>'Table 4 Level 3'!P14</f>
        <v>744.76</v>
      </c>
      <c r="G15" s="1072">
        <f t="shared" si="35"/>
        <v>0</v>
      </c>
      <c r="H15" s="1030">
        <f t="shared" si="36"/>
        <v>0</v>
      </c>
      <c r="I15" s="1415">
        <f>'[1]Oct midyear Madison Prep'!K15</f>
        <v>0</v>
      </c>
      <c r="J15" s="1415">
        <f>'[1]Feb midyear Madison Prep'!K15</f>
        <v>0</v>
      </c>
      <c r="K15" s="1415">
        <f t="shared" si="37"/>
        <v>0</v>
      </c>
      <c r="L15" s="1030">
        <f t="shared" si="38"/>
        <v>0</v>
      </c>
      <c r="M15" s="1082">
        <f t="shared" si="39"/>
        <v>0</v>
      </c>
      <c r="N15" s="1030">
        <f t="shared" si="40"/>
        <v>0</v>
      </c>
      <c r="O15" s="1030">
        <v>0</v>
      </c>
      <c r="P15" s="1030">
        <f t="shared" si="41"/>
        <v>0</v>
      </c>
      <c r="Q15" s="1030">
        <v>0</v>
      </c>
      <c r="R15" s="1434">
        <f t="shared" si="42"/>
        <v>0</v>
      </c>
      <c r="S15" s="1434">
        <f t="shared" si="43"/>
        <v>0</v>
      </c>
      <c r="T15" s="1029">
        <f>'[14]FY2012-13 Final'!K16</f>
        <v>4649</v>
      </c>
      <c r="U15" s="1031">
        <f t="shared" si="31"/>
        <v>0</v>
      </c>
      <c r="V15" s="1439">
        <f>'[20]Oct midyear Madison Prep'!E15</f>
        <v>0</v>
      </c>
      <c r="W15" s="1349">
        <f t="shared" si="44"/>
        <v>0</v>
      </c>
      <c r="X15" s="1474">
        <f>'[20]Feb midyear Madison Prep'!E15</f>
        <v>0</v>
      </c>
      <c r="Y15" s="1470">
        <f t="shared" si="45"/>
        <v>0</v>
      </c>
      <c r="Z15" s="1468">
        <f t="shared" si="46"/>
        <v>0</v>
      </c>
      <c r="AA15" s="1031">
        <f t="shared" si="47"/>
        <v>0</v>
      </c>
      <c r="AB15" s="1090">
        <f t="shared" si="48"/>
        <v>0</v>
      </c>
      <c r="AC15" s="1031">
        <f t="shared" si="49"/>
        <v>0</v>
      </c>
      <c r="AD15" s="1448">
        <v>0</v>
      </c>
      <c r="AE15" s="1448">
        <f t="shared" si="50"/>
        <v>0</v>
      </c>
      <c r="AF15" s="1448">
        <v>0</v>
      </c>
      <c r="AG15" s="1448">
        <f t="shared" si="51"/>
        <v>0</v>
      </c>
      <c r="AH15" s="1448">
        <f t="shared" si="52"/>
        <v>0</v>
      </c>
      <c r="AI15" s="1449">
        <f t="shared" si="53"/>
        <v>0</v>
      </c>
      <c r="AJ15" s="1449">
        <f t="shared" si="32"/>
        <v>0</v>
      </c>
      <c r="AL15" s="49">
        <f t="shared" si="33"/>
        <v>0</v>
      </c>
      <c r="AM15" s="49">
        <f>-'[22]Table 5C1A-Madison Prep'!AN15</f>
        <v>0</v>
      </c>
      <c r="AN15" s="49">
        <f>-'[21]Table 5C1A-Madison Prep'!P15</f>
        <v>0</v>
      </c>
      <c r="AO15" s="49">
        <f t="shared" si="54"/>
        <v>0</v>
      </c>
    </row>
    <row r="16" spans="1:41">
      <c r="A16" s="979">
        <v>10</v>
      </c>
      <c r="B16" s="980" t="s">
        <v>111</v>
      </c>
      <c r="C16" s="1169">
        <f>'Table 8 2.1.12 MFP Funded'!T13</f>
        <v>0</v>
      </c>
      <c r="D16" s="982">
        <f>'Table 3 Levels 1&amp;2'!AL17</f>
        <v>4320.1782742925079</v>
      </c>
      <c r="E16" s="1073">
        <f t="shared" si="34"/>
        <v>0</v>
      </c>
      <c r="F16" s="1073">
        <f>'Table 4 Level 3'!P15</f>
        <v>608.04000000000008</v>
      </c>
      <c r="G16" s="1073">
        <f t="shared" si="35"/>
        <v>0</v>
      </c>
      <c r="H16" s="1033">
        <f t="shared" si="36"/>
        <v>0</v>
      </c>
      <c r="I16" s="1416">
        <f>'[1]Oct midyear Madison Prep'!K16</f>
        <v>0</v>
      </c>
      <c r="J16" s="1416">
        <f>'[1]Feb midyear Madison Prep'!K16</f>
        <v>0</v>
      </c>
      <c r="K16" s="1416">
        <f t="shared" si="37"/>
        <v>0</v>
      </c>
      <c r="L16" s="1033">
        <f t="shared" si="38"/>
        <v>0</v>
      </c>
      <c r="M16" s="1083">
        <f t="shared" si="39"/>
        <v>0</v>
      </c>
      <c r="N16" s="1033">
        <f t="shared" si="40"/>
        <v>0</v>
      </c>
      <c r="O16" s="1033">
        <v>0</v>
      </c>
      <c r="P16" s="1033">
        <f t="shared" si="41"/>
        <v>0</v>
      </c>
      <c r="Q16" s="1033">
        <v>0</v>
      </c>
      <c r="R16" s="1435">
        <f t="shared" si="42"/>
        <v>0</v>
      </c>
      <c r="S16" s="1435">
        <f t="shared" si="43"/>
        <v>0</v>
      </c>
      <c r="T16" s="1034">
        <f>'[14]FY2012-13 Final'!K17</f>
        <v>4395</v>
      </c>
      <c r="U16" s="1035">
        <f t="shared" si="31"/>
        <v>0</v>
      </c>
      <c r="V16" s="1440">
        <f>'[20]Oct midyear Madison Prep'!E16</f>
        <v>0</v>
      </c>
      <c r="W16" s="1350">
        <f t="shared" si="44"/>
        <v>0</v>
      </c>
      <c r="X16" s="1475">
        <f>'[20]Feb midyear Madison Prep'!E16</f>
        <v>0</v>
      </c>
      <c r="Y16" s="1471">
        <f t="shared" si="45"/>
        <v>0</v>
      </c>
      <c r="Z16" s="1469">
        <f t="shared" si="46"/>
        <v>0</v>
      </c>
      <c r="AA16" s="1035">
        <f t="shared" si="47"/>
        <v>0</v>
      </c>
      <c r="AB16" s="1091">
        <f t="shared" si="48"/>
        <v>0</v>
      </c>
      <c r="AC16" s="1035">
        <f t="shared" si="49"/>
        <v>0</v>
      </c>
      <c r="AD16" s="1450">
        <v>0</v>
      </c>
      <c r="AE16" s="1450">
        <f t="shared" si="50"/>
        <v>0</v>
      </c>
      <c r="AF16" s="1450">
        <v>0</v>
      </c>
      <c r="AG16" s="1450">
        <f t="shared" si="51"/>
        <v>0</v>
      </c>
      <c r="AH16" s="1450">
        <f t="shared" si="52"/>
        <v>0</v>
      </c>
      <c r="AI16" s="1451">
        <f t="shared" si="53"/>
        <v>0</v>
      </c>
      <c r="AJ16" s="1451">
        <f t="shared" si="32"/>
        <v>0</v>
      </c>
      <c r="AL16" s="49">
        <f t="shared" si="33"/>
        <v>0</v>
      </c>
      <c r="AM16" s="49">
        <f>-'[22]Table 5C1A-Madison Prep'!AN16</f>
        <v>0</v>
      </c>
      <c r="AN16" s="49">
        <f>-'[21]Table 5C1A-Madison Prep'!P16</f>
        <v>0</v>
      </c>
      <c r="AO16" s="49">
        <f t="shared" si="54"/>
        <v>0</v>
      </c>
    </row>
    <row r="17" spans="1:41">
      <c r="A17" s="968">
        <v>11</v>
      </c>
      <c r="B17" s="969" t="s">
        <v>112</v>
      </c>
      <c r="C17" s="1170">
        <f>'Table 8 2.1.12 MFP Funded'!T14</f>
        <v>0</v>
      </c>
      <c r="D17" s="971">
        <f>'Table 3 Levels 1&amp;2'!AL18</f>
        <v>6754.8947842641273</v>
      </c>
      <c r="E17" s="1071">
        <f t="shared" si="34"/>
        <v>0</v>
      </c>
      <c r="F17" s="1071">
        <f>'Table 4 Level 3'!P16</f>
        <v>706.55</v>
      </c>
      <c r="G17" s="1071">
        <f t="shared" si="35"/>
        <v>0</v>
      </c>
      <c r="H17" s="972">
        <f t="shared" si="36"/>
        <v>0</v>
      </c>
      <c r="I17" s="1414">
        <f>'[1]Oct midyear Madison Prep'!K17</f>
        <v>0</v>
      </c>
      <c r="J17" s="1414">
        <f>'[1]Feb midyear Madison Prep'!K17</f>
        <v>0</v>
      </c>
      <c r="K17" s="1414">
        <f t="shared" si="37"/>
        <v>0</v>
      </c>
      <c r="L17" s="972">
        <f t="shared" si="38"/>
        <v>0</v>
      </c>
      <c r="M17" s="1081">
        <f t="shared" si="39"/>
        <v>0</v>
      </c>
      <c r="N17" s="972">
        <f t="shared" si="40"/>
        <v>0</v>
      </c>
      <c r="O17" s="972">
        <v>0</v>
      </c>
      <c r="P17" s="972">
        <f t="shared" si="41"/>
        <v>0</v>
      </c>
      <c r="Q17" s="972">
        <v>0</v>
      </c>
      <c r="R17" s="1213">
        <f t="shared" si="42"/>
        <v>0</v>
      </c>
      <c r="S17" s="1213">
        <f t="shared" si="43"/>
        <v>0</v>
      </c>
      <c r="T17" s="1029">
        <f>'[14]FY2012-13 Final'!K18</f>
        <v>3450</v>
      </c>
      <c r="U17" s="973">
        <f t="shared" si="31"/>
        <v>0</v>
      </c>
      <c r="V17" s="1441">
        <f>'[20]Oct midyear Madison Prep'!E17</f>
        <v>0</v>
      </c>
      <c r="W17" s="1348">
        <f t="shared" si="44"/>
        <v>0</v>
      </c>
      <c r="X17" s="1466">
        <f>'[20]Feb midyear Madison Prep'!E17</f>
        <v>0</v>
      </c>
      <c r="Y17" s="1444">
        <f t="shared" si="45"/>
        <v>0</v>
      </c>
      <c r="Z17" s="1348">
        <f t="shared" si="46"/>
        <v>0</v>
      </c>
      <c r="AA17" s="973">
        <f t="shared" si="47"/>
        <v>0</v>
      </c>
      <c r="AB17" s="1089">
        <f t="shared" si="48"/>
        <v>0</v>
      </c>
      <c r="AC17" s="973">
        <f t="shared" si="49"/>
        <v>0</v>
      </c>
      <c r="AD17" s="1214">
        <v>0</v>
      </c>
      <c r="AE17" s="1214">
        <f t="shared" si="50"/>
        <v>0</v>
      </c>
      <c r="AF17" s="1214">
        <v>0</v>
      </c>
      <c r="AG17" s="1214">
        <f t="shared" si="51"/>
        <v>0</v>
      </c>
      <c r="AH17" s="1214">
        <f t="shared" si="52"/>
        <v>0</v>
      </c>
      <c r="AI17" s="1447">
        <f t="shared" si="53"/>
        <v>0</v>
      </c>
      <c r="AJ17" s="1447">
        <f t="shared" si="32"/>
        <v>0</v>
      </c>
      <c r="AL17" s="49">
        <f t="shared" si="33"/>
        <v>0</v>
      </c>
      <c r="AM17" s="49">
        <f>-'[22]Table 5C1A-Madison Prep'!AN17</f>
        <v>0</v>
      </c>
      <c r="AN17" s="49">
        <f>-'[21]Table 5C1A-Madison Prep'!P17</f>
        <v>0</v>
      </c>
      <c r="AO17" s="49">
        <f t="shared" si="54"/>
        <v>0</v>
      </c>
    </row>
    <row r="18" spans="1:41">
      <c r="A18" s="975">
        <v>12</v>
      </c>
      <c r="B18" s="976" t="s">
        <v>113</v>
      </c>
      <c r="C18" s="1168">
        <f>'Table 8 2.1.12 MFP Funded'!T15</f>
        <v>0</v>
      </c>
      <c r="D18" s="978">
        <f>'Table 3 Levels 1&amp;2'!AL19</f>
        <v>1807.9873469387755</v>
      </c>
      <c r="E18" s="1072">
        <f t="shared" si="34"/>
        <v>0</v>
      </c>
      <c r="F18" s="1072">
        <f>'Table 4 Level 3'!P17</f>
        <v>1063.31</v>
      </c>
      <c r="G18" s="1072">
        <f t="shared" si="35"/>
        <v>0</v>
      </c>
      <c r="H18" s="1030">
        <f t="shared" si="36"/>
        <v>0</v>
      </c>
      <c r="I18" s="1415">
        <f>'[1]Oct midyear Madison Prep'!K18</f>
        <v>0</v>
      </c>
      <c r="J18" s="1415">
        <f>'[1]Feb midyear Madison Prep'!K18</f>
        <v>0</v>
      </c>
      <c r="K18" s="1415">
        <f t="shared" si="37"/>
        <v>0</v>
      </c>
      <c r="L18" s="1030">
        <f t="shared" si="38"/>
        <v>0</v>
      </c>
      <c r="M18" s="1082">
        <f t="shared" si="39"/>
        <v>0</v>
      </c>
      <c r="N18" s="1030">
        <f t="shared" si="40"/>
        <v>0</v>
      </c>
      <c r="O18" s="1030">
        <v>0</v>
      </c>
      <c r="P18" s="1030">
        <f t="shared" si="41"/>
        <v>0</v>
      </c>
      <c r="Q18" s="1030">
        <v>0</v>
      </c>
      <c r="R18" s="1434">
        <f t="shared" si="42"/>
        <v>0</v>
      </c>
      <c r="S18" s="1434">
        <f t="shared" si="43"/>
        <v>0</v>
      </c>
      <c r="T18" s="1029">
        <f>'[14]FY2012-13 Final'!K19</f>
        <v>12561</v>
      </c>
      <c r="U18" s="1031">
        <f t="shared" si="31"/>
        <v>0</v>
      </c>
      <c r="V18" s="1439">
        <f>'[20]Oct midyear Madison Prep'!E18</f>
        <v>0</v>
      </c>
      <c r="W18" s="1349">
        <f t="shared" si="44"/>
        <v>0</v>
      </c>
      <c r="X18" s="1474">
        <f>'[20]Feb midyear Madison Prep'!E18</f>
        <v>0</v>
      </c>
      <c r="Y18" s="1470">
        <f t="shared" si="45"/>
        <v>0</v>
      </c>
      <c r="Z18" s="1468">
        <f t="shared" si="46"/>
        <v>0</v>
      </c>
      <c r="AA18" s="1031">
        <f t="shared" si="47"/>
        <v>0</v>
      </c>
      <c r="AB18" s="1090">
        <f t="shared" si="48"/>
        <v>0</v>
      </c>
      <c r="AC18" s="1031">
        <f t="shared" si="49"/>
        <v>0</v>
      </c>
      <c r="AD18" s="1448">
        <v>0</v>
      </c>
      <c r="AE18" s="1448">
        <f t="shared" si="50"/>
        <v>0</v>
      </c>
      <c r="AF18" s="1448">
        <v>0</v>
      </c>
      <c r="AG18" s="1448">
        <f t="shared" si="51"/>
        <v>0</v>
      </c>
      <c r="AH18" s="1448">
        <f t="shared" si="52"/>
        <v>0</v>
      </c>
      <c r="AI18" s="1449">
        <f t="shared" si="53"/>
        <v>0</v>
      </c>
      <c r="AJ18" s="1449">
        <f t="shared" si="32"/>
        <v>0</v>
      </c>
      <c r="AL18" s="49">
        <f t="shared" si="33"/>
        <v>0</v>
      </c>
      <c r="AM18" s="49">
        <f>-'[22]Table 5C1A-Madison Prep'!AN18</f>
        <v>0</v>
      </c>
      <c r="AN18" s="49">
        <f>-'[21]Table 5C1A-Madison Prep'!P18</f>
        <v>0</v>
      </c>
      <c r="AO18" s="49">
        <f t="shared" si="54"/>
        <v>0</v>
      </c>
    </row>
    <row r="19" spans="1:41">
      <c r="A19" s="975">
        <v>13</v>
      </c>
      <c r="B19" s="976" t="s">
        <v>114</v>
      </c>
      <c r="C19" s="1168">
        <f>'Table 8 2.1.12 MFP Funded'!T16</f>
        <v>0</v>
      </c>
      <c r="D19" s="978">
        <f>'Table 3 Levels 1&amp;2'!AL20</f>
        <v>6143.511131744569</v>
      </c>
      <c r="E19" s="1072">
        <f t="shared" si="34"/>
        <v>0</v>
      </c>
      <c r="F19" s="1072">
        <f>'Table 4 Level 3'!P18</f>
        <v>749.43000000000006</v>
      </c>
      <c r="G19" s="1072">
        <f t="shared" si="35"/>
        <v>0</v>
      </c>
      <c r="H19" s="1030">
        <f t="shared" si="36"/>
        <v>0</v>
      </c>
      <c r="I19" s="1415">
        <f>'[1]Oct midyear Madison Prep'!K19</f>
        <v>0</v>
      </c>
      <c r="J19" s="1415">
        <f>'[1]Feb midyear Madison Prep'!K19</f>
        <v>0</v>
      </c>
      <c r="K19" s="1415">
        <f t="shared" si="37"/>
        <v>0</v>
      </c>
      <c r="L19" s="1030">
        <f t="shared" si="38"/>
        <v>0</v>
      </c>
      <c r="M19" s="1082">
        <f t="shared" si="39"/>
        <v>0</v>
      </c>
      <c r="N19" s="1030">
        <f t="shared" si="40"/>
        <v>0</v>
      </c>
      <c r="O19" s="1030">
        <v>0</v>
      </c>
      <c r="P19" s="1030">
        <f t="shared" si="41"/>
        <v>0</v>
      </c>
      <c r="Q19" s="1030">
        <v>0</v>
      </c>
      <c r="R19" s="1434">
        <f t="shared" si="42"/>
        <v>0</v>
      </c>
      <c r="S19" s="1434">
        <f t="shared" si="43"/>
        <v>0</v>
      </c>
      <c r="T19" s="1029">
        <f>'[14]FY2012-13 Final'!K20</f>
        <v>2538</v>
      </c>
      <c r="U19" s="1031">
        <f t="shared" si="31"/>
        <v>0</v>
      </c>
      <c r="V19" s="1439">
        <f>'[20]Oct midyear Madison Prep'!E19</f>
        <v>0</v>
      </c>
      <c r="W19" s="1349">
        <f t="shared" si="44"/>
        <v>0</v>
      </c>
      <c r="X19" s="1474">
        <f>'[20]Feb midyear Madison Prep'!E19</f>
        <v>0</v>
      </c>
      <c r="Y19" s="1470">
        <f t="shared" si="45"/>
        <v>0</v>
      </c>
      <c r="Z19" s="1468">
        <f t="shared" si="46"/>
        <v>0</v>
      </c>
      <c r="AA19" s="1031">
        <f t="shared" si="47"/>
        <v>0</v>
      </c>
      <c r="AB19" s="1090">
        <f t="shared" si="48"/>
        <v>0</v>
      </c>
      <c r="AC19" s="1031">
        <f t="shared" si="49"/>
        <v>0</v>
      </c>
      <c r="AD19" s="1448">
        <v>0</v>
      </c>
      <c r="AE19" s="1448">
        <f t="shared" si="50"/>
        <v>0</v>
      </c>
      <c r="AF19" s="1448">
        <v>0</v>
      </c>
      <c r="AG19" s="1448">
        <f t="shared" si="51"/>
        <v>0</v>
      </c>
      <c r="AH19" s="1448">
        <f t="shared" si="52"/>
        <v>0</v>
      </c>
      <c r="AI19" s="1449">
        <f t="shared" si="53"/>
        <v>0</v>
      </c>
      <c r="AJ19" s="1449">
        <f t="shared" si="32"/>
        <v>0</v>
      </c>
      <c r="AL19" s="49">
        <f t="shared" si="33"/>
        <v>0</v>
      </c>
      <c r="AM19" s="49">
        <f>-'[22]Table 5C1A-Madison Prep'!AN19</f>
        <v>0</v>
      </c>
      <c r="AN19" s="49">
        <f>-'[21]Table 5C1A-Madison Prep'!P19</f>
        <v>0</v>
      </c>
      <c r="AO19" s="49">
        <f t="shared" si="54"/>
        <v>0</v>
      </c>
    </row>
    <row r="20" spans="1:41">
      <c r="A20" s="975">
        <v>14</v>
      </c>
      <c r="B20" s="976" t="s">
        <v>115</v>
      </c>
      <c r="C20" s="1168">
        <f>'Table 8 2.1.12 MFP Funded'!T17</f>
        <v>0</v>
      </c>
      <c r="D20" s="978">
        <f>'Table 3 Levels 1&amp;2'!AL21</f>
        <v>5304.5609177528095</v>
      </c>
      <c r="E20" s="1072">
        <f t="shared" si="34"/>
        <v>0</v>
      </c>
      <c r="F20" s="1072">
        <f>'Table 4 Level 3'!P19</f>
        <v>809.9799999999999</v>
      </c>
      <c r="G20" s="1072">
        <f t="shared" si="35"/>
        <v>0</v>
      </c>
      <c r="H20" s="1030">
        <f t="shared" si="36"/>
        <v>0</v>
      </c>
      <c r="I20" s="1415">
        <f>'[1]Oct midyear Madison Prep'!K20</f>
        <v>0</v>
      </c>
      <c r="J20" s="1415">
        <f>'[1]Feb midyear Madison Prep'!K20</f>
        <v>0</v>
      </c>
      <c r="K20" s="1415">
        <f t="shared" si="37"/>
        <v>0</v>
      </c>
      <c r="L20" s="1030">
        <f t="shared" si="38"/>
        <v>0</v>
      </c>
      <c r="M20" s="1082">
        <f t="shared" si="39"/>
        <v>0</v>
      </c>
      <c r="N20" s="1030">
        <f t="shared" si="40"/>
        <v>0</v>
      </c>
      <c r="O20" s="1030">
        <v>0</v>
      </c>
      <c r="P20" s="1030">
        <f t="shared" si="41"/>
        <v>0</v>
      </c>
      <c r="Q20" s="1030">
        <v>0</v>
      </c>
      <c r="R20" s="1434">
        <f t="shared" si="42"/>
        <v>0</v>
      </c>
      <c r="S20" s="1434">
        <f t="shared" si="43"/>
        <v>0</v>
      </c>
      <c r="T20" s="1029">
        <f>'[14]FY2012-13 Final'!K21</f>
        <v>3890</v>
      </c>
      <c r="U20" s="1031">
        <f t="shared" si="31"/>
        <v>0</v>
      </c>
      <c r="V20" s="1439">
        <f>'[20]Oct midyear Madison Prep'!E20</f>
        <v>0</v>
      </c>
      <c r="W20" s="1349">
        <f t="shared" si="44"/>
        <v>0</v>
      </c>
      <c r="X20" s="1474">
        <f>'[20]Feb midyear Madison Prep'!E20</f>
        <v>0</v>
      </c>
      <c r="Y20" s="1470">
        <f t="shared" si="45"/>
        <v>0</v>
      </c>
      <c r="Z20" s="1468">
        <f t="shared" si="46"/>
        <v>0</v>
      </c>
      <c r="AA20" s="1031">
        <f t="shared" si="47"/>
        <v>0</v>
      </c>
      <c r="AB20" s="1090">
        <f t="shared" si="48"/>
        <v>0</v>
      </c>
      <c r="AC20" s="1031">
        <f t="shared" si="49"/>
        <v>0</v>
      </c>
      <c r="AD20" s="1448">
        <v>0</v>
      </c>
      <c r="AE20" s="1448">
        <f t="shared" si="50"/>
        <v>0</v>
      </c>
      <c r="AF20" s="1448">
        <v>0</v>
      </c>
      <c r="AG20" s="1448">
        <f t="shared" si="51"/>
        <v>0</v>
      </c>
      <c r="AH20" s="1448">
        <f t="shared" si="52"/>
        <v>0</v>
      </c>
      <c r="AI20" s="1449">
        <f t="shared" si="53"/>
        <v>0</v>
      </c>
      <c r="AJ20" s="1449">
        <f t="shared" si="32"/>
        <v>0</v>
      </c>
      <c r="AL20" s="49">
        <f t="shared" si="33"/>
        <v>0</v>
      </c>
      <c r="AM20" s="49">
        <f>-'[22]Table 5C1A-Madison Prep'!AN20</f>
        <v>0</v>
      </c>
      <c r="AN20" s="49">
        <f>-'[21]Table 5C1A-Madison Prep'!P20</f>
        <v>0</v>
      </c>
      <c r="AO20" s="49">
        <f t="shared" si="54"/>
        <v>0</v>
      </c>
    </row>
    <row r="21" spans="1:41">
      <c r="A21" s="979">
        <v>15</v>
      </c>
      <c r="B21" s="980" t="s">
        <v>116</v>
      </c>
      <c r="C21" s="1169">
        <f>'Table 8 2.1.12 MFP Funded'!T18</f>
        <v>0</v>
      </c>
      <c r="D21" s="982">
        <f>'Table 3 Levels 1&amp;2'!AL22</f>
        <v>5440.6588926253107</v>
      </c>
      <c r="E21" s="1073">
        <f t="shared" si="34"/>
        <v>0</v>
      </c>
      <c r="F21" s="1073">
        <f>'Table 4 Level 3'!P20</f>
        <v>553.79999999999995</v>
      </c>
      <c r="G21" s="1073">
        <f t="shared" si="35"/>
        <v>0</v>
      </c>
      <c r="H21" s="1033">
        <f t="shared" si="36"/>
        <v>0</v>
      </c>
      <c r="I21" s="1416">
        <f>'[1]Oct midyear Madison Prep'!K21</f>
        <v>0</v>
      </c>
      <c r="J21" s="1416">
        <f>'[1]Feb midyear Madison Prep'!K21</f>
        <v>0</v>
      </c>
      <c r="K21" s="1416">
        <f t="shared" si="37"/>
        <v>0</v>
      </c>
      <c r="L21" s="1033">
        <f t="shared" si="38"/>
        <v>0</v>
      </c>
      <c r="M21" s="1083">
        <f t="shared" si="39"/>
        <v>0</v>
      </c>
      <c r="N21" s="1033">
        <f t="shared" si="40"/>
        <v>0</v>
      </c>
      <c r="O21" s="1033">
        <v>0</v>
      </c>
      <c r="P21" s="1033">
        <f t="shared" si="41"/>
        <v>0</v>
      </c>
      <c r="Q21" s="1033">
        <v>0</v>
      </c>
      <c r="R21" s="1435">
        <f t="shared" si="42"/>
        <v>0</v>
      </c>
      <c r="S21" s="1435">
        <f t="shared" si="43"/>
        <v>0</v>
      </c>
      <c r="T21" s="1034">
        <f>'[14]FY2012-13 Final'!K22</f>
        <v>2752</v>
      </c>
      <c r="U21" s="1035">
        <f t="shared" si="31"/>
        <v>0</v>
      </c>
      <c r="V21" s="1440">
        <f>'[20]Oct midyear Madison Prep'!E21</f>
        <v>0</v>
      </c>
      <c r="W21" s="1350">
        <f t="shared" si="44"/>
        <v>0</v>
      </c>
      <c r="X21" s="1475">
        <f>'[20]Feb midyear Madison Prep'!E21</f>
        <v>0</v>
      </c>
      <c r="Y21" s="1471">
        <f t="shared" si="45"/>
        <v>0</v>
      </c>
      <c r="Z21" s="1469">
        <f t="shared" si="46"/>
        <v>0</v>
      </c>
      <c r="AA21" s="1035">
        <f t="shared" si="47"/>
        <v>0</v>
      </c>
      <c r="AB21" s="1091">
        <f t="shared" si="48"/>
        <v>0</v>
      </c>
      <c r="AC21" s="1035">
        <f t="shared" si="49"/>
        <v>0</v>
      </c>
      <c r="AD21" s="1450">
        <v>0</v>
      </c>
      <c r="AE21" s="1450">
        <f t="shared" si="50"/>
        <v>0</v>
      </c>
      <c r="AF21" s="1450">
        <v>0</v>
      </c>
      <c r="AG21" s="1450">
        <f t="shared" si="51"/>
        <v>0</v>
      </c>
      <c r="AH21" s="1450">
        <f t="shared" si="52"/>
        <v>0</v>
      </c>
      <c r="AI21" s="1451">
        <f t="shared" si="53"/>
        <v>0</v>
      </c>
      <c r="AJ21" s="1451">
        <f t="shared" si="32"/>
        <v>0</v>
      </c>
      <c r="AL21" s="49">
        <f t="shared" si="33"/>
        <v>0</v>
      </c>
      <c r="AM21" s="49">
        <f>-'[22]Table 5C1A-Madison Prep'!AN21</f>
        <v>0</v>
      </c>
      <c r="AN21" s="49">
        <f>-'[21]Table 5C1A-Madison Prep'!P21</f>
        <v>0</v>
      </c>
      <c r="AO21" s="49">
        <f t="shared" si="54"/>
        <v>0</v>
      </c>
    </row>
    <row r="22" spans="1:41">
      <c r="A22" s="968">
        <v>16</v>
      </c>
      <c r="B22" s="969" t="s">
        <v>117</v>
      </c>
      <c r="C22" s="1170">
        <f>'Table 8 2.1.12 MFP Funded'!T19</f>
        <v>0</v>
      </c>
      <c r="D22" s="971">
        <f>'Table 3 Levels 1&amp;2'!AL23</f>
        <v>1508.2103091706706</v>
      </c>
      <c r="E22" s="1071">
        <f t="shared" si="34"/>
        <v>0</v>
      </c>
      <c r="F22" s="1071">
        <f>'Table 4 Level 3'!P21</f>
        <v>686.73</v>
      </c>
      <c r="G22" s="1071">
        <f t="shared" si="35"/>
        <v>0</v>
      </c>
      <c r="H22" s="972">
        <f t="shared" si="36"/>
        <v>0</v>
      </c>
      <c r="I22" s="1414">
        <f>'[1]Oct midyear Madison Prep'!K22</f>
        <v>0</v>
      </c>
      <c r="J22" s="1414">
        <f>'[1]Feb midyear Madison Prep'!K22</f>
        <v>0</v>
      </c>
      <c r="K22" s="1414">
        <f t="shared" si="37"/>
        <v>0</v>
      </c>
      <c r="L22" s="972">
        <f t="shared" si="38"/>
        <v>0</v>
      </c>
      <c r="M22" s="1081">
        <f t="shared" si="39"/>
        <v>0</v>
      </c>
      <c r="N22" s="972">
        <f t="shared" si="40"/>
        <v>0</v>
      </c>
      <c r="O22" s="972">
        <v>0</v>
      </c>
      <c r="P22" s="972">
        <f t="shared" si="41"/>
        <v>0</v>
      </c>
      <c r="Q22" s="972">
        <v>0</v>
      </c>
      <c r="R22" s="1213">
        <f t="shared" si="42"/>
        <v>0</v>
      </c>
      <c r="S22" s="1213">
        <f t="shared" si="43"/>
        <v>0</v>
      </c>
      <c r="T22" s="1029">
        <f>'[14]FY2012-13 Final'!K23</f>
        <v>15097</v>
      </c>
      <c r="U22" s="973">
        <f t="shared" si="31"/>
        <v>0</v>
      </c>
      <c r="V22" s="1441">
        <f>'[20]Oct midyear Madison Prep'!E22</f>
        <v>0</v>
      </c>
      <c r="W22" s="1348">
        <f t="shared" si="44"/>
        <v>0</v>
      </c>
      <c r="X22" s="1466">
        <f>'[20]Feb midyear Madison Prep'!E22</f>
        <v>0</v>
      </c>
      <c r="Y22" s="1444">
        <f t="shared" si="45"/>
        <v>0</v>
      </c>
      <c r="Z22" s="1348">
        <f t="shared" si="46"/>
        <v>0</v>
      </c>
      <c r="AA22" s="973">
        <f t="shared" si="47"/>
        <v>0</v>
      </c>
      <c r="AB22" s="1089">
        <f t="shared" si="48"/>
        <v>0</v>
      </c>
      <c r="AC22" s="973">
        <f t="shared" si="49"/>
        <v>0</v>
      </c>
      <c r="AD22" s="1214">
        <v>0</v>
      </c>
      <c r="AE22" s="1214">
        <f t="shared" si="50"/>
        <v>0</v>
      </c>
      <c r="AF22" s="1214">
        <v>0</v>
      </c>
      <c r="AG22" s="1214">
        <f t="shared" si="51"/>
        <v>0</v>
      </c>
      <c r="AH22" s="1214">
        <f t="shared" si="52"/>
        <v>0</v>
      </c>
      <c r="AI22" s="1447">
        <f t="shared" si="53"/>
        <v>0</v>
      </c>
      <c r="AJ22" s="1447">
        <f t="shared" si="32"/>
        <v>0</v>
      </c>
      <c r="AL22" s="49">
        <f t="shared" si="33"/>
        <v>0</v>
      </c>
      <c r="AM22" s="49">
        <f>-'[22]Table 5C1A-Madison Prep'!AN22</f>
        <v>0</v>
      </c>
      <c r="AN22" s="49">
        <f>-'[21]Table 5C1A-Madison Prep'!P22</f>
        <v>0</v>
      </c>
      <c r="AO22" s="49">
        <f t="shared" si="54"/>
        <v>0</v>
      </c>
    </row>
    <row r="23" spans="1:41">
      <c r="A23" s="975">
        <v>17</v>
      </c>
      <c r="B23" s="976" t="s">
        <v>118</v>
      </c>
      <c r="C23" s="1168">
        <f>'Table 8 2.1.12 MFP Funded'!T20</f>
        <v>189</v>
      </c>
      <c r="D23" s="978">
        <f>'Table 3 Levels 1&amp;2'!AL24</f>
        <v>3395.7244841073689</v>
      </c>
      <c r="E23" s="1072">
        <f t="shared" si="34"/>
        <v>641791.92749629274</v>
      </c>
      <c r="F23" s="1072">
        <f>'Table 5B2_RSD_LA'!F7</f>
        <v>801.47762416806802</v>
      </c>
      <c r="G23" s="1072">
        <f t="shared" si="35"/>
        <v>151479.27096776487</v>
      </c>
      <c r="H23" s="1030">
        <f t="shared" si="36"/>
        <v>793271.19846405764</v>
      </c>
      <c r="I23" s="1415">
        <f>'[1]Oct midyear Madison Prep'!K23</f>
        <v>159493.68011446661</v>
      </c>
      <c r="J23" s="1415">
        <f>'[1]Feb midyear Madison Prep'!K23</f>
        <v>-44070.622136892089</v>
      </c>
      <c r="K23" s="1415">
        <f t="shared" si="37"/>
        <v>115423.05797757453</v>
      </c>
      <c r="L23" s="1030">
        <f t="shared" si="38"/>
        <v>908694.25644163217</v>
      </c>
      <c r="M23" s="1082">
        <f t="shared" si="39"/>
        <v>-2271.7356411040805</v>
      </c>
      <c r="N23" s="1030">
        <f t="shared" si="40"/>
        <v>906422.52080052812</v>
      </c>
      <c r="O23" s="1030">
        <v>3969.4057121774622</v>
      </c>
      <c r="P23" s="1030">
        <f t="shared" si="41"/>
        <v>910391.92651270563</v>
      </c>
      <c r="Q23" s="1030">
        <f>66128+80939+79686+79686+79686+79686+79686+79686+70808+70808+8454</f>
        <v>775253</v>
      </c>
      <c r="R23" s="1434">
        <f t="shared" si="42"/>
        <v>135138.92651270563</v>
      </c>
      <c r="S23" s="1434">
        <f t="shared" si="43"/>
        <v>67569.463256352814</v>
      </c>
      <c r="T23" s="1029">
        <f>'[14]FY2012-13 Final'!K24</f>
        <v>6601</v>
      </c>
      <c r="U23" s="1031">
        <f t="shared" si="31"/>
        <v>1247589</v>
      </c>
      <c r="V23" s="1439">
        <f>'[20]Oct midyear Madison Prep'!E23</f>
        <v>38</v>
      </c>
      <c r="W23" s="1349">
        <f t="shared" si="44"/>
        <v>250838</v>
      </c>
      <c r="X23" s="1474">
        <f>'[20]Feb midyear Madison Prep'!E23</f>
        <v>-21</v>
      </c>
      <c r="Y23" s="1470">
        <f t="shared" si="45"/>
        <v>-69310.5</v>
      </c>
      <c r="Z23" s="1468">
        <f t="shared" si="46"/>
        <v>181527.5</v>
      </c>
      <c r="AA23" s="1031">
        <f t="shared" si="47"/>
        <v>1429116.5</v>
      </c>
      <c r="AB23" s="1090">
        <f t="shared" si="48"/>
        <v>-3572.7912500000002</v>
      </c>
      <c r="AC23" s="1031">
        <f t="shared" si="49"/>
        <v>1425543.70875</v>
      </c>
      <c r="AD23" s="1448">
        <f>'[2]Adjusted Amounts'!$K102+'[2]Adjusted Amounts'!$P102</f>
        <v>6272</v>
      </c>
      <c r="AE23" s="1448">
        <f t="shared" si="50"/>
        <v>1431815.70875</v>
      </c>
      <c r="AF23" s="1448">
        <f>102532+125495+123552+123552+123552+123552+123552+123552+112920+112920</f>
        <v>1195179</v>
      </c>
      <c r="AG23" s="1448">
        <f t="shared" si="51"/>
        <v>236636.70874999999</v>
      </c>
      <c r="AH23" s="1448">
        <f t="shared" si="52"/>
        <v>118318.354375</v>
      </c>
      <c r="AI23" s="1449">
        <f t="shared" si="53"/>
        <v>2342207.6352627054</v>
      </c>
      <c r="AJ23" s="1449">
        <f t="shared" si="32"/>
        <v>185887.81763135281</v>
      </c>
      <c r="AL23" s="49">
        <f t="shared" si="33"/>
        <v>-3572.7912500000002</v>
      </c>
      <c r="AM23" s="49">
        <f>-'[22]Table 5C1A-Madison Prep'!AN23</f>
        <v>3545.7287500000002</v>
      </c>
      <c r="AN23" s="49">
        <f>-'[21]Table 5C1A-Madison Prep'!P23</f>
        <v>3067.9425000000001</v>
      </c>
      <c r="AO23" s="49">
        <f t="shared" si="54"/>
        <v>-27.0625</v>
      </c>
    </row>
    <row r="24" spans="1:41">
      <c r="A24" s="975">
        <v>18</v>
      </c>
      <c r="B24" s="976" t="s">
        <v>119</v>
      </c>
      <c r="C24" s="1168">
        <f>'Table 8 2.1.12 MFP Funded'!T21</f>
        <v>0</v>
      </c>
      <c r="D24" s="978">
        <f>'Table 3 Levels 1&amp;2'!AL25</f>
        <v>5811.9176591224677</v>
      </c>
      <c r="E24" s="1072">
        <f t="shared" si="34"/>
        <v>0</v>
      </c>
      <c r="F24" s="1072">
        <f>'Table 4 Level 3'!P23</f>
        <v>845.94999999999993</v>
      </c>
      <c r="G24" s="1072">
        <f t="shared" si="35"/>
        <v>0</v>
      </c>
      <c r="H24" s="1030">
        <f t="shared" si="36"/>
        <v>0</v>
      </c>
      <c r="I24" s="1415">
        <f>'[1]Oct midyear Madison Prep'!K24</f>
        <v>0</v>
      </c>
      <c r="J24" s="1415">
        <f>'[1]Feb midyear Madison Prep'!K24</f>
        <v>0</v>
      </c>
      <c r="K24" s="1415">
        <f t="shared" si="37"/>
        <v>0</v>
      </c>
      <c r="L24" s="1030">
        <f t="shared" si="38"/>
        <v>0</v>
      </c>
      <c r="M24" s="1082">
        <f t="shared" si="39"/>
        <v>0</v>
      </c>
      <c r="N24" s="1030">
        <f t="shared" si="40"/>
        <v>0</v>
      </c>
      <c r="O24" s="1030">
        <v>0</v>
      </c>
      <c r="P24" s="1030">
        <f t="shared" si="41"/>
        <v>0</v>
      </c>
      <c r="Q24" s="1030">
        <v>0</v>
      </c>
      <c r="R24" s="1434">
        <f t="shared" si="42"/>
        <v>0</v>
      </c>
      <c r="S24" s="1434">
        <f t="shared" si="43"/>
        <v>0</v>
      </c>
      <c r="T24" s="1029">
        <f>'[14]FY2012-13 Final'!K25</f>
        <v>2179</v>
      </c>
      <c r="U24" s="1031">
        <f t="shared" si="31"/>
        <v>0</v>
      </c>
      <c r="V24" s="1439">
        <f>'[20]Oct midyear Madison Prep'!E24</f>
        <v>0</v>
      </c>
      <c r="W24" s="1349">
        <f t="shared" si="44"/>
        <v>0</v>
      </c>
      <c r="X24" s="1474">
        <f>'[20]Feb midyear Madison Prep'!E24</f>
        <v>0</v>
      </c>
      <c r="Y24" s="1470">
        <f t="shared" si="45"/>
        <v>0</v>
      </c>
      <c r="Z24" s="1468">
        <f t="shared" si="46"/>
        <v>0</v>
      </c>
      <c r="AA24" s="1031">
        <f t="shared" si="47"/>
        <v>0</v>
      </c>
      <c r="AB24" s="1090">
        <f t="shared" si="48"/>
        <v>0</v>
      </c>
      <c r="AC24" s="1031">
        <f t="shared" si="49"/>
        <v>0</v>
      </c>
      <c r="AD24" s="1448">
        <v>0</v>
      </c>
      <c r="AE24" s="1448">
        <f t="shared" si="50"/>
        <v>0</v>
      </c>
      <c r="AF24" s="1448">
        <v>0</v>
      </c>
      <c r="AG24" s="1448">
        <f t="shared" si="51"/>
        <v>0</v>
      </c>
      <c r="AH24" s="1448">
        <f t="shared" si="52"/>
        <v>0</v>
      </c>
      <c r="AI24" s="1449">
        <f t="shared" si="53"/>
        <v>0</v>
      </c>
      <c r="AJ24" s="1449">
        <f t="shared" si="32"/>
        <v>0</v>
      </c>
      <c r="AL24" s="49">
        <f t="shared" si="33"/>
        <v>0</v>
      </c>
      <c r="AM24" s="49">
        <f>-'[22]Table 5C1A-Madison Prep'!AN24</f>
        <v>0</v>
      </c>
      <c r="AN24" s="49">
        <f>-'[21]Table 5C1A-Madison Prep'!P24</f>
        <v>0</v>
      </c>
      <c r="AO24" s="49">
        <f t="shared" si="54"/>
        <v>0</v>
      </c>
    </row>
    <row r="25" spans="1:41">
      <c r="A25" s="975">
        <v>19</v>
      </c>
      <c r="B25" s="976" t="s">
        <v>120</v>
      </c>
      <c r="C25" s="1168">
        <f>'Table 8 2.1.12 MFP Funded'!T22</f>
        <v>0</v>
      </c>
      <c r="D25" s="978">
        <f>'Table 3 Levels 1&amp;2'!AL26</f>
        <v>5201.7687653250778</v>
      </c>
      <c r="E25" s="1072">
        <f t="shared" si="34"/>
        <v>0</v>
      </c>
      <c r="F25" s="1072">
        <f>'Table 4 Level 3'!P24</f>
        <v>905.43</v>
      </c>
      <c r="G25" s="1072">
        <f t="shared" si="35"/>
        <v>0</v>
      </c>
      <c r="H25" s="1030">
        <f t="shared" si="36"/>
        <v>0</v>
      </c>
      <c r="I25" s="1415">
        <f>'[1]Oct midyear Madison Prep'!K25</f>
        <v>0</v>
      </c>
      <c r="J25" s="1415">
        <f>'[1]Feb midyear Madison Prep'!K25</f>
        <v>0</v>
      </c>
      <c r="K25" s="1415">
        <f t="shared" si="37"/>
        <v>0</v>
      </c>
      <c r="L25" s="1030">
        <f t="shared" si="38"/>
        <v>0</v>
      </c>
      <c r="M25" s="1082">
        <f t="shared" si="39"/>
        <v>0</v>
      </c>
      <c r="N25" s="1030">
        <f t="shared" si="40"/>
        <v>0</v>
      </c>
      <c r="O25" s="1030">
        <v>0</v>
      </c>
      <c r="P25" s="1030">
        <f t="shared" si="41"/>
        <v>0</v>
      </c>
      <c r="Q25" s="1030">
        <f>555*7-971-971</f>
        <v>1943</v>
      </c>
      <c r="R25" s="1434">
        <f t="shared" si="42"/>
        <v>-1943</v>
      </c>
      <c r="S25" s="1434">
        <f t="shared" si="43"/>
        <v>-971.5</v>
      </c>
      <c r="T25" s="1029">
        <f>'[14]FY2012-13 Final'!K26</f>
        <v>2736</v>
      </c>
      <c r="U25" s="1031">
        <f t="shared" si="31"/>
        <v>0</v>
      </c>
      <c r="V25" s="1439">
        <f>'[20]Oct midyear Madison Prep'!E25</f>
        <v>0</v>
      </c>
      <c r="W25" s="1349">
        <f t="shared" si="44"/>
        <v>0</v>
      </c>
      <c r="X25" s="1474">
        <f>'[20]Feb midyear Madison Prep'!E25</f>
        <v>0</v>
      </c>
      <c r="Y25" s="1470">
        <f t="shared" si="45"/>
        <v>0</v>
      </c>
      <c r="Z25" s="1468">
        <f t="shared" si="46"/>
        <v>0</v>
      </c>
      <c r="AA25" s="1031">
        <f t="shared" si="47"/>
        <v>0</v>
      </c>
      <c r="AB25" s="1090">
        <f t="shared" si="48"/>
        <v>0</v>
      </c>
      <c r="AC25" s="1031">
        <f t="shared" si="49"/>
        <v>0</v>
      </c>
      <c r="AD25" s="1448">
        <v>0</v>
      </c>
      <c r="AE25" s="1448">
        <f t="shared" si="50"/>
        <v>0</v>
      </c>
      <c r="AF25" s="1448">
        <f>206*7-361-361</f>
        <v>720</v>
      </c>
      <c r="AG25" s="1448">
        <f t="shared" si="51"/>
        <v>-720</v>
      </c>
      <c r="AH25" s="1448">
        <f t="shared" si="52"/>
        <v>-360</v>
      </c>
      <c r="AI25" s="1449">
        <f t="shared" si="53"/>
        <v>0</v>
      </c>
      <c r="AJ25" s="1449">
        <f t="shared" si="32"/>
        <v>-1331.5</v>
      </c>
      <c r="AL25" s="49">
        <f t="shared" si="33"/>
        <v>0</v>
      </c>
      <c r="AM25" s="49">
        <f>-'[22]Table 5C1A-Madison Prep'!AN25</f>
        <v>0</v>
      </c>
      <c r="AN25" s="49">
        <f>-'[21]Table 5C1A-Madison Prep'!P25</f>
        <v>0</v>
      </c>
      <c r="AO25" s="49">
        <f t="shared" si="54"/>
        <v>0</v>
      </c>
    </row>
    <row r="26" spans="1:41">
      <c r="A26" s="979">
        <v>20</v>
      </c>
      <c r="B26" s="980" t="s">
        <v>121</v>
      </c>
      <c r="C26" s="1169">
        <f>'Table 8 2.1.12 MFP Funded'!T23</f>
        <v>0</v>
      </c>
      <c r="D26" s="982">
        <f>'Table 3 Levels 1&amp;2'!AL27</f>
        <v>5446.6066076220959</v>
      </c>
      <c r="E26" s="1073">
        <f t="shared" si="34"/>
        <v>0</v>
      </c>
      <c r="F26" s="1073">
        <f>'Table 4 Level 3'!P25</f>
        <v>586.16999999999996</v>
      </c>
      <c r="G26" s="1073">
        <f t="shared" si="35"/>
        <v>0</v>
      </c>
      <c r="H26" s="1033">
        <f t="shared" si="36"/>
        <v>0</v>
      </c>
      <c r="I26" s="1416">
        <f>'[1]Oct midyear Madison Prep'!K26</f>
        <v>0</v>
      </c>
      <c r="J26" s="1416">
        <f>'[1]Feb midyear Madison Prep'!K26</f>
        <v>0</v>
      </c>
      <c r="K26" s="1416">
        <f t="shared" si="37"/>
        <v>0</v>
      </c>
      <c r="L26" s="1033">
        <f t="shared" si="38"/>
        <v>0</v>
      </c>
      <c r="M26" s="1083">
        <f t="shared" si="39"/>
        <v>0</v>
      </c>
      <c r="N26" s="1033">
        <f t="shared" si="40"/>
        <v>0</v>
      </c>
      <c r="O26" s="1033">
        <v>0</v>
      </c>
      <c r="P26" s="1033">
        <f t="shared" si="41"/>
        <v>0</v>
      </c>
      <c r="Q26" s="1033">
        <v>0</v>
      </c>
      <c r="R26" s="1435">
        <f t="shared" si="42"/>
        <v>0</v>
      </c>
      <c r="S26" s="1435">
        <f t="shared" si="43"/>
        <v>0</v>
      </c>
      <c r="T26" s="1034">
        <f>'[14]FY2012-13 Final'!K27</f>
        <v>2337</v>
      </c>
      <c r="U26" s="1035">
        <f t="shared" si="31"/>
        <v>0</v>
      </c>
      <c r="V26" s="1440">
        <f>'[20]Oct midyear Madison Prep'!E26</f>
        <v>0</v>
      </c>
      <c r="W26" s="1350">
        <f t="shared" si="44"/>
        <v>0</v>
      </c>
      <c r="X26" s="1475">
        <f>'[20]Feb midyear Madison Prep'!E26</f>
        <v>0</v>
      </c>
      <c r="Y26" s="1471">
        <f t="shared" si="45"/>
        <v>0</v>
      </c>
      <c r="Z26" s="1469">
        <f t="shared" si="46"/>
        <v>0</v>
      </c>
      <c r="AA26" s="1035">
        <f t="shared" si="47"/>
        <v>0</v>
      </c>
      <c r="AB26" s="1091">
        <f t="shared" si="48"/>
        <v>0</v>
      </c>
      <c r="AC26" s="1035">
        <f t="shared" si="49"/>
        <v>0</v>
      </c>
      <c r="AD26" s="1450">
        <v>0</v>
      </c>
      <c r="AE26" s="1450">
        <f t="shared" si="50"/>
        <v>0</v>
      </c>
      <c r="AF26" s="1450">
        <v>0</v>
      </c>
      <c r="AG26" s="1450">
        <f t="shared" si="51"/>
        <v>0</v>
      </c>
      <c r="AH26" s="1450">
        <f t="shared" si="52"/>
        <v>0</v>
      </c>
      <c r="AI26" s="1451">
        <f t="shared" si="53"/>
        <v>0</v>
      </c>
      <c r="AJ26" s="1451">
        <f t="shared" si="32"/>
        <v>0</v>
      </c>
      <c r="AL26" s="49">
        <f t="shared" si="33"/>
        <v>0</v>
      </c>
      <c r="AM26" s="49">
        <f>-'[22]Table 5C1A-Madison Prep'!AN26</f>
        <v>0</v>
      </c>
      <c r="AN26" s="49">
        <f>-'[21]Table 5C1A-Madison Prep'!P26</f>
        <v>0</v>
      </c>
      <c r="AO26" s="49">
        <f t="shared" si="54"/>
        <v>0</v>
      </c>
    </row>
    <row r="27" spans="1:41">
      <c r="A27" s="968">
        <v>21</v>
      </c>
      <c r="B27" s="969" t="s">
        <v>122</v>
      </c>
      <c r="C27" s="1170">
        <f>'Table 8 2.1.12 MFP Funded'!T24</f>
        <v>0</v>
      </c>
      <c r="D27" s="971">
        <f>'Table 3 Levels 1&amp;2'!AL28</f>
        <v>5761.9798531850847</v>
      </c>
      <c r="E27" s="1071">
        <f t="shared" si="34"/>
        <v>0</v>
      </c>
      <c r="F27" s="1071">
        <f>'Table 4 Level 3'!P26</f>
        <v>610.35</v>
      </c>
      <c r="G27" s="1071">
        <f t="shared" si="35"/>
        <v>0</v>
      </c>
      <c r="H27" s="972">
        <f t="shared" si="36"/>
        <v>0</v>
      </c>
      <c r="I27" s="1414">
        <f>'[1]Oct midyear Madison Prep'!K27</f>
        <v>0</v>
      </c>
      <c r="J27" s="1414">
        <f>'[1]Feb midyear Madison Prep'!K27</f>
        <v>0</v>
      </c>
      <c r="K27" s="1414">
        <f t="shared" si="37"/>
        <v>0</v>
      </c>
      <c r="L27" s="972">
        <f t="shared" si="38"/>
        <v>0</v>
      </c>
      <c r="M27" s="1081">
        <f t="shared" si="39"/>
        <v>0</v>
      </c>
      <c r="N27" s="972">
        <f t="shared" si="40"/>
        <v>0</v>
      </c>
      <c r="O27" s="972">
        <v>0</v>
      </c>
      <c r="P27" s="972">
        <f t="shared" si="41"/>
        <v>0</v>
      </c>
      <c r="Q27" s="972">
        <v>0</v>
      </c>
      <c r="R27" s="1213">
        <f t="shared" si="42"/>
        <v>0</v>
      </c>
      <c r="S27" s="1213">
        <f t="shared" si="43"/>
        <v>0</v>
      </c>
      <c r="T27" s="1029">
        <f>'[14]FY2012-13 Final'!K28</f>
        <v>2293</v>
      </c>
      <c r="U27" s="973">
        <f t="shared" si="31"/>
        <v>0</v>
      </c>
      <c r="V27" s="1441">
        <f>'[20]Oct midyear Madison Prep'!E27</f>
        <v>0</v>
      </c>
      <c r="W27" s="1348">
        <f t="shared" si="44"/>
        <v>0</v>
      </c>
      <c r="X27" s="1466">
        <f>'[20]Feb midyear Madison Prep'!E27</f>
        <v>0</v>
      </c>
      <c r="Y27" s="1444">
        <f t="shared" si="45"/>
        <v>0</v>
      </c>
      <c r="Z27" s="1348">
        <f t="shared" si="46"/>
        <v>0</v>
      </c>
      <c r="AA27" s="973">
        <f t="shared" si="47"/>
        <v>0</v>
      </c>
      <c r="AB27" s="1089">
        <f t="shared" si="48"/>
        <v>0</v>
      </c>
      <c r="AC27" s="973">
        <f t="shared" si="49"/>
        <v>0</v>
      </c>
      <c r="AD27" s="1214">
        <v>0</v>
      </c>
      <c r="AE27" s="1214">
        <f t="shared" si="50"/>
        <v>0</v>
      </c>
      <c r="AF27" s="1214">
        <v>0</v>
      </c>
      <c r="AG27" s="1214">
        <f t="shared" si="51"/>
        <v>0</v>
      </c>
      <c r="AH27" s="1214">
        <f t="shared" si="52"/>
        <v>0</v>
      </c>
      <c r="AI27" s="1447">
        <f t="shared" si="53"/>
        <v>0</v>
      </c>
      <c r="AJ27" s="1447">
        <f t="shared" si="32"/>
        <v>0</v>
      </c>
      <c r="AL27" s="49">
        <f t="shared" si="33"/>
        <v>0</v>
      </c>
      <c r="AM27" s="49">
        <f>-'[22]Table 5C1A-Madison Prep'!AN27</f>
        <v>0</v>
      </c>
      <c r="AN27" s="49">
        <f>-'[21]Table 5C1A-Madison Prep'!P27</f>
        <v>0</v>
      </c>
      <c r="AO27" s="49">
        <f t="shared" si="54"/>
        <v>0</v>
      </c>
    </row>
    <row r="28" spans="1:41">
      <c r="A28" s="975">
        <v>22</v>
      </c>
      <c r="B28" s="976" t="s">
        <v>123</v>
      </c>
      <c r="C28" s="1168">
        <f>'Table 8 2.1.12 MFP Funded'!T25</f>
        <v>0</v>
      </c>
      <c r="D28" s="978">
        <f>'Table 3 Levels 1&amp;2'!AL29</f>
        <v>6212.5932514983215</v>
      </c>
      <c r="E28" s="1072">
        <f t="shared" si="34"/>
        <v>0</v>
      </c>
      <c r="F28" s="1072">
        <f>'Table 4 Level 3'!P27</f>
        <v>496.36</v>
      </c>
      <c r="G28" s="1072">
        <f t="shared" si="35"/>
        <v>0</v>
      </c>
      <c r="H28" s="1030">
        <f t="shared" si="36"/>
        <v>0</v>
      </c>
      <c r="I28" s="1415">
        <f>'[1]Oct midyear Madison Prep'!K28</f>
        <v>0</v>
      </c>
      <c r="J28" s="1415">
        <f>'[1]Feb midyear Madison Prep'!K28</f>
        <v>0</v>
      </c>
      <c r="K28" s="1415">
        <f t="shared" si="37"/>
        <v>0</v>
      </c>
      <c r="L28" s="1030">
        <f t="shared" si="38"/>
        <v>0</v>
      </c>
      <c r="M28" s="1082">
        <f t="shared" si="39"/>
        <v>0</v>
      </c>
      <c r="N28" s="1030">
        <f t="shared" si="40"/>
        <v>0</v>
      </c>
      <c r="O28" s="1030">
        <v>0</v>
      </c>
      <c r="P28" s="1030">
        <f t="shared" si="41"/>
        <v>0</v>
      </c>
      <c r="Q28" s="1030">
        <v>0</v>
      </c>
      <c r="R28" s="1434">
        <f t="shared" si="42"/>
        <v>0</v>
      </c>
      <c r="S28" s="1434">
        <f t="shared" si="43"/>
        <v>0</v>
      </c>
      <c r="T28" s="1029">
        <f>'[14]FY2012-13 Final'!K29</f>
        <v>1412</v>
      </c>
      <c r="U28" s="1031">
        <f t="shared" si="31"/>
        <v>0</v>
      </c>
      <c r="V28" s="1439">
        <f>'[20]Oct midyear Madison Prep'!E28</f>
        <v>0</v>
      </c>
      <c r="W28" s="1349">
        <f t="shared" si="44"/>
        <v>0</v>
      </c>
      <c r="X28" s="1474">
        <f>'[20]Feb midyear Madison Prep'!E28</f>
        <v>0</v>
      </c>
      <c r="Y28" s="1470">
        <f t="shared" si="45"/>
        <v>0</v>
      </c>
      <c r="Z28" s="1468">
        <f t="shared" si="46"/>
        <v>0</v>
      </c>
      <c r="AA28" s="1031">
        <f t="shared" si="47"/>
        <v>0</v>
      </c>
      <c r="AB28" s="1090">
        <f t="shared" si="48"/>
        <v>0</v>
      </c>
      <c r="AC28" s="1031">
        <f t="shared" si="49"/>
        <v>0</v>
      </c>
      <c r="AD28" s="1448">
        <v>0</v>
      </c>
      <c r="AE28" s="1448">
        <f t="shared" si="50"/>
        <v>0</v>
      </c>
      <c r="AF28" s="1448">
        <v>0</v>
      </c>
      <c r="AG28" s="1448">
        <f t="shared" si="51"/>
        <v>0</v>
      </c>
      <c r="AH28" s="1448">
        <f t="shared" si="52"/>
        <v>0</v>
      </c>
      <c r="AI28" s="1449">
        <f t="shared" si="53"/>
        <v>0</v>
      </c>
      <c r="AJ28" s="1449">
        <f t="shared" si="32"/>
        <v>0</v>
      </c>
      <c r="AL28" s="49">
        <f t="shared" si="33"/>
        <v>0</v>
      </c>
      <c r="AM28" s="49">
        <f>-'[22]Table 5C1A-Madison Prep'!AN28</f>
        <v>0</v>
      </c>
      <c r="AN28" s="49">
        <f>-'[21]Table 5C1A-Madison Prep'!P28</f>
        <v>0</v>
      </c>
      <c r="AO28" s="49">
        <f t="shared" si="54"/>
        <v>0</v>
      </c>
    </row>
    <row r="29" spans="1:41">
      <c r="A29" s="975">
        <v>23</v>
      </c>
      <c r="B29" s="976" t="s">
        <v>124</v>
      </c>
      <c r="C29" s="1168">
        <f>'Table 8 2.1.12 MFP Funded'!T26</f>
        <v>0</v>
      </c>
      <c r="D29" s="978">
        <f>'Table 3 Levels 1&amp;2'!AL30</f>
        <v>4824.5074836036147</v>
      </c>
      <c r="E29" s="1072">
        <f t="shared" si="34"/>
        <v>0</v>
      </c>
      <c r="F29" s="1072">
        <f>'Table 4 Level 3'!P28</f>
        <v>688.58</v>
      </c>
      <c r="G29" s="1072">
        <f t="shared" si="35"/>
        <v>0</v>
      </c>
      <c r="H29" s="1030">
        <f t="shared" si="36"/>
        <v>0</v>
      </c>
      <c r="I29" s="1415">
        <f>'[1]Oct midyear Madison Prep'!K29</f>
        <v>0</v>
      </c>
      <c r="J29" s="1415">
        <f>'[1]Feb midyear Madison Prep'!K29</f>
        <v>0</v>
      </c>
      <c r="K29" s="1415">
        <f t="shared" si="37"/>
        <v>0</v>
      </c>
      <c r="L29" s="1030">
        <f t="shared" si="38"/>
        <v>0</v>
      </c>
      <c r="M29" s="1082">
        <f t="shared" si="39"/>
        <v>0</v>
      </c>
      <c r="N29" s="1030">
        <f t="shared" si="40"/>
        <v>0</v>
      </c>
      <c r="O29" s="1030">
        <v>0</v>
      </c>
      <c r="P29" s="1030">
        <f t="shared" si="41"/>
        <v>0</v>
      </c>
      <c r="Q29" s="1030">
        <v>0</v>
      </c>
      <c r="R29" s="1434">
        <f t="shared" si="42"/>
        <v>0</v>
      </c>
      <c r="S29" s="1434">
        <f t="shared" si="43"/>
        <v>0</v>
      </c>
      <c r="T29" s="1029">
        <f>'[14]FY2012-13 Final'!K30</f>
        <v>3278</v>
      </c>
      <c r="U29" s="1031">
        <f t="shared" si="31"/>
        <v>0</v>
      </c>
      <c r="V29" s="1439">
        <f>'[20]Oct midyear Madison Prep'!E29</f>
        <v>0</v>
      </c>
      <c r="W29" s="1349">
        <f t="shared" si="44"/>
        <v>0</v>
      </c>
      <c r="X29" s="1474">
        <f>'[20]Feb midyear Madison Prep'!E29</f>
        <v>0</v>
      </c>
      <c r="Y29" s="1470">
        <f t="shared" si="45"/>
        <v>0</v>
      </c>
      <c r="Z29" s="1468">
        <f t="shared" si="46"/>
        <v>0</v>
      </c>
      <c r="AA29" s="1031">
        <f t="shared" si="47"/>
        <v>0</v>
      </c>
      <c r="AB29" s="1090">
        <f t="shared" si="48"/>
        <v>0</v>
      </c>
      <c r="AC29" s="1031">
        <f t="shared" si="49"/>
        <v>0</v>
      </c>
      <c r="AD29" s="1448">
        <v>0</v>
      </c>
      <c r="AE29" s="1448">
        <f t="shared" si="50"/>
        <v>0</v>
      </c>
      <c r="AF29" s="1448">
        <v>0</v>
      </c>
      <c r="AG29" s="1448">
        <f t="shared" si="51"/>
        <v>0</v>
      </c>
      <c r="AH29" s="1448">
        <f t="shared" si="52"/>
        <v>0</v>
      </c>
      <c r="AI29" s="1449">
        <f t="shared" si="53"/>
        <v>0</v>
      </c>
      <c r="AJ29" s="1449">
        <f t="shared" si="32"/>
        <v>0</v>
      </c>
      <c r="AL29" s="49">
        <f t="shared" si="33"/>
        <v>0</v>
      </c>
      <c r="AM29" s="49">
        <f>-'[22]Table 5C1A-Madison Prep'!AN29</f>
        <v>0</v>
      </c>
      <c r="AN29" s="49">
        <f>-'[21]Table 5C1A-Madison Prep'!P29</f>
        <v>0</v>
      </c>
      <c r="AO29" s="49">
        <f t="shared" si="54"/>
        <v>0</v>
      </c>
    </row>
    <row r="30" spans="1:41">
      <c r="A30" s="975">
        <v>24</v>
      </c>
      <c r="B30" s="976" t="s">
        <v>125</v>
      </c>
      <c r="C30" s="1168">
        <f>'Table 8 2.1.12 MFP Funded'!T27</f>
        <v>0</v>
      </c>
      <c r="D30" s="978">
        <f>'Table 3 Levels 1&amp;2'!AL31</f>
        <v>2654.5104003578617</v>
      </c>
      <c r="E30" s="1072">
        <f t="shared" si="34"/>
        <v>0</v>
      </c>
      <c r="F30" s="1072">
        <f>'Table 4 Level 3'!P29</f>
        <v>854.24999999999989</v>
      </c>
      <c r="G30" s="1072">
        <f t="shared" si="35"/>
        <v>0</v>
      </c>
      <c r="H30" s="1030">
        <f t="shared" si="36"/>
        <v>0</v>
      </c>
      <c r="I30" s="1415">
        <f>'[1]Oct midyear Madison Prep'!K30</f>
        <v>0</v>
      </c>
      <c r="J30" s="1415">
        <f>'[1]Feb midyear Madison Prep'!K30</f>
        <v>0</v>
      </c>
      <c r="K30" s="1415">
        <f t="shared" si="37"/>
        <v>0</v>
      </c>
      <c r="L30" s="1030">
        <f t="shared" si="38"/>
        <v>0</v>
      </c>
      <c r="M30" s="1082">
        <f t="shared" si="39"/>
        <v>0</v>
      </c>
      <c r="N30" s="1030">
        <f t="shared" si="40"/>
        <v>0</v>
      </c>
      <c r="O30" s="1030">
        <v>0</v>
      </c>
      <c r="P30" s="1030">
        <f t="shared" si="41"/>
        <v>0</v>
      </c>
      <c r="Q30" s="1030">
        <f>318-32-32-32-32-32-32-32-32</f>
        <v>62</v>
      </c>
      <c r="R30" s="1434">
        <f t="shared" si="42"/>
        <v>-62</v>
      </c>
      <c r="S30" s="1434">
        <f t="shared" si="43"/>
        <v>-31</v>
      </c>
      <c r="T30" s="1029">
        <f>'[14]FY2012-13 Final'!K31</f>
        <v>9311</v>
      </c>
      <c r="U30" s="1031">
        <f t="shared" si="31"/>
        <v>0</v>
      </c>
      <c r="V30" s="1439">
        <f>'[20]Oct midyear Madison Prep'!E30</f>
        <v>0</v>
      </c>
      <c r="W30" s="1349">
        <f t="shared" si="44"/>
        <v>0</v>
      </c>
      <c r="X30" s="1474">
        <f>'[20]Feb midyear Madison Prep'!E30</f>
        <v>0</v>
      </c>
      <c r="Y30" s="1470">
        <f t="shared" si="45"/>
        <v>0</v>
      </c>
      <c r="Z30" s="1468">
        <f t="shared" si="46"/>
        <v>0</v>
      </c>
      <c r="AA30" s="1031">
        <f t="shared" si="47"/>
        <v>0</v>
      </c>
      <c r="AB30" s="1090">
        <f t="shared" si="48"/>
        <v>0</v>
      </c>
      <c r="AC30" s="1031">
        <f t="shared" si="49"/>
        <v>0</v>
      </c>
      <c r="AD30" s="1448">
        <v>0</v>
      </c>
      <c r="AE30" s="1448">
        <f t="shared" si="50"/>
        <v>0</v>
      </c>
      <c r="AF30" s="1448">
        <f>795-80-80-80-80-80-80-79-79</f>
        <v>157</v>
      </c>
      <c r="AG30" s="1448">
        <f t="shared" si="51"/>
        <v>-157</v>
      </c>
      <c r="AH30" s="1448">
        <f t="shared" si="52"/>
        <v>-78.5</v>
      </c>
      <c r="AI30" s="1449">
        <f t="shared" si="53"/>
        <v>0</v>
      </c>
      <c r="AJ30" s="1449">
        <f t="shared" si="32"/>
        <v>-109.5</v>
      </c>
      <c r="AL30" s="49">
        <f t="shared" si="33"/>
        <v>0</v>
      </c>
      <c r="AM30" s="49">
        <f>-'[22]Table 5C1A-Madison Prep'!AN30</f>
        <v>0</v>
      </c>
      <c r="AN30" s="49">
        <f>-'[21]Table 5C1A-Madison Prep'!P30</f>
        <v>0</v>
      </c>
      <c r="AO30" s="49">
        <f t="shared" si="54"/>
        <v>0</v>
      </c>
    </row>
    <row r="31" spans="1:41">
      <c r="A31" s="979">
        <v>25</v>
      </c>
      <c r="B31" s="980" t="s">
        <v>126</v>
      </c>
      <c r="C31" s="1169">
        <f>'Table 8 2.1.12 MFP Funded'!T28</f>
        <v>0</v>
      </c>
      <c r="D31" s="982">
        <f>'Table 3 Levels 1&amp;2'!AL32</f>
        <v>3876.6607101712493</v>
      </c>
      <c r="E31" s="1073">
        <f t="shared" si="34"/>
        <v>0</v>
      </c>
      <c r="F31" s="1073">
        <f>'Table 4 Level 3'!P30</f>
        <v>653.73</v>
      </c>
      <c r="G31" s="1073">
        <f t="shared" si="35"/>
        <v>0</v>
      </c>
      <c r="H31" s="1033">
        <f t="shared" si="36"/>
        <v>0</v>
      </c>
      <c r="I31" s="1416">
        <f>'[1]Oct midyear Madison Prep'!K31</f>
        <v>0</v>
      </c>
      <c r="J31" s="1416">
        <f>'[1]Feb midyear Madison Prep'!K31</f>
        <v>0</v>
      </c>
      <c r="K31" s="1416">
        <f t="shared" si="37"/>
        <v>0</v>
      </c>
      <c r="L31" s="1033">
        <f t="shared" si="38"/>
        <v>0</v>
      </c>
      <c r="M31" s="1083">
        <f t="shared" si="39"/>
        <v>0</v>
      </c>
      <c r="N31" s="1033">
        <f t="shared" si="40"/>
        <v>0</v>
      </c>
      <c r="O31" s="1033">
        <v>0</v>
      </c>
      <c r="P31" s="1033">
        <f t="shared" si="41"/>
        <v>0</v>
      </c>
      <c r="Q31" s="1033">
        <v>0</v>
      </c>
      <c r="R31" s="1435">
        <f t="shared" si="42"/>
        <v>0</v>
      </c>
      <c r="S31" s="1435">
        <f t="shared" si="43"/>
        <v>0</v>
      </c>
      <c r="T31" s="1034">
        <f>'[14]FY2012-13 Final'!K32</f>
        <v>5361</v>
      </c>
      <c r="U31" s="1035">
        <f t="shared" si="31"/>
        <v>0</v>
      </c>
      <c r="V31" s="1440">
        <f>'[20]Oct midyear Madison Prep'!E31</f>
        <v>0</v>
      </c>
      <c r="W31" s="1350">
        <f t="shared" si="44"/>
        <v>0</v>
      </c>
      <c r="X31" s="1475">
        <f>'[20]Feb midyear Madison Prep'!E31</f>
        <v>0</v>
      </c>
      <c r="Y31" s="1471">
        <f t="shared" si="45"/>
        <v>0</v>
      </c>
      <c r="Z31" s="1469">
        <f t="shared" si="46"/>
        <v>0</v>
      </c>
      <c r="AA31" s="1035">
        <f t="shared" si="47"/>
        <v>0</v>
      </c>
      <c r="AB31" s="1091">
        <f t="shared" si="48"/>
        <v>0</v>
      </c>
      <c r="AC31" s="1035">
        <f t="shared" si="49"/>
        <v>0</v>
      </c>
      <c r="AD31" s="1450">
        <v>0</v>
      </c>
      <c r="AE31" s="1450">
        <f t="shared" si="50"/>
        <v>0</v>
      </c>
      <c r="AF31" s="1450">
        <v>0</v>
      </c>
      <c r="AG31" s="1450">
        <f t="shared" si="51"/>
        <v>0</v>
      </c>
      <c r="AH31" s="1450">
        <f t="shared" si="52"/>
        <v>0</v>
      </c>
      <c r="AI31" s="1451">
        <f t="shared" si="53"/>
        <v>0</v>
      </c>
      <c r="AJ31" s="1451">
        <f t="shared" si="32"/>
        <v>0</v>
      </c>
      <c r="AL31" s="49">
        <f t="shared" si="33"/>
        <v>0</v>
      </c>
      <c r="AM31" s="49">
        <f>-'[22]Table 5C1A-Madison Prep'!AN31</f>
        <v>0</v>
      </c>
      <c r="AN31" s="49">
        <f>-'[21]Table 5C1A-Madison Prep'!P31</f>
        <v>0</v>
      </c>
      <c r="AO31" s="49">
        <f t="shared" si="54"/>
        <v>0</v>
      </c>
    </row>
    <row r="32" spans="1:41">
      <c r="A32" s="968">
        <v>26</v>
      </c>
      <c r="B32" s="969" t="s">
        <v>127</v>
      </c>
      <c r="C32" s="1170">
        <f>'Table 8 2.1.12 MFP Funded'!T29</f>
        <v>0</v>
      </c>
      <c r="D32" s="971">
        <f>'Table 3 Levels 1&amp;2'!AL33</f>
        <v>3130.9087022137969</v>
      </c>
      <c r="E32" s="1071">
        <f t="shared" si="34"/>
        <v>0</v>
      </c>
      <c r="F32" s="1071">
        <f>'Table 4 Level 3'!P31</f>
        <v>836.83</v>
      </c>
      <c r="G32" s="1071">
        <f t="shared" si="35"/>
        <v>0</v>
      </c>
      <c r="H32" s="972">
        <f t="shared" si="36"/>
        <v>0</v>
      </c>
      <c r="I32" s="1414">
        <f>'[1]Oct midyear Madison Prep'!K32</f>
        <v>0</v>
      </c>
      <c r="J32" s="1414">
        <f>'[1]Feb midyear Madison Prep'!K32</f>
        <v>0</v>
      </c>
      <c r="K32" s="1414">
        <f t="shared" si="37"/>
        <v>0</v>
      </c>
      <c r="L32" s="972">
        <f t="shared" si="38"/>
        <v>0</v>
      </c>
      <c r="M32" s="1081">
        <f t="shared" si="39"/>
        <v>0</v>
      </c>
      <c r="N32" s="972">
        <f t="shared" si="40"/>
        <v>0</v>
      </c>
      <c r="O32" s="972">
        <v>0</v>
      </c>
      <c r="P32" s="972">
        <f t="shared" si="41"/>
        <v>0</v>
      </c>
      <c r="Q32" s="972">
        <v>0</v>
      </c>
      <c r="R32" s="1213">
        <f t="shared" si="42"/>
        <v>0</v>
      </c>
      <c r="S32" s="1213">
        <f t="shared" si="43"/>
        <v>0</v>
      </c>
      <c r="T32" s="1029">
        <f>'[14]FY2012-13 Final'!K33</f>
        <v>5202</v>
      </c>
      <c r="U32" s="973">
        <f t="shared" si="31"/>
        <v>0</v>
      </c>
      <c r="V32" s="1441">
        <f>'[20]Oct midyear Madison Prep'!E32</f>
        <v>0</v>
      </c>
      <c r="W32" s="1348">
        <f t="shared" si="44"/>
        <v>0</v>
      </c>
      <c r="X32" s="1466">
        <f>'[20]Feb midyear Madison Prep'!E32</f>
        <v>0</v>
      </c>
      <c r="Y32" s="1444">
        <f t="shared" si="45"/>
        <v>0</v>
      </c>
      <c r="Z32" s="1348">
        <f t="shared" si="46"/>
        <v>0</v>
      </c>
      <c r="AA32" s="973">
        <f t="shared" si="47"/>
        <v>0</v>
      </c>
      <c r="AB32" s="1089">
        <f t="shared" si="48"/>
        <v>0</v>
      </c>
      <c r="AC32" s="973">
        <f t="shared" si="49"/>
        <v>0</v>
      </c>
      <c r="AD32" s="1214">
        <v>0</v>
      </c>
      <c r="AE32" s="1214">
        <f t="shared" si="50"/>
        <v>0</v>
      </c>
      <c r="AF32" s="1214">
        <v>0</v>
      </c>
      <c r="AG32" s="1214">
        <f t="shared" si="51"/>
        <v>0</v>
      </c>
      <c r="AH32" s="1214">
        <f t="shared" si="52"/>
        <v>0</v>
      </c>
      <c r="AI32" s="1447">
        <f t="shared" si="53"/>
        <v>0</v>
      </c>
      <c r="AJ32" s="1447">
        <f t="shared" si="32"/>
        <v>0</v>
      </c>
      <c r="AL32" s="49">
        <f t="shared" si="33"/>
        <v>0</v>
      </c>
      <c r="AM32" s="49">
        <f>-'[22]Table 5C1A-Madison Prep'!AN32</f>
        <v>0</v>
      </c>
      <c r="AN32" s="49">
        <f>-'[21]Table 5C1A-Madison Prep'!P32</f>
        <v>0</v>
      </c>
      <c r="AO32" s="49">
        <f t="shared" si="54"/>
        <v>0</v>
      </c>
    </row>
    <row r="33" spans="1:41">
      <c r="A33" s="975">
        <v>27</v>
      </c>
      <c r="B33" s="976" t="s">
        <v>128</v>
      </c>
      <c r="C33" s="1171">
        <f>'Table 8 2.1.12 MFP Funded'!T30</f>
        <v>0</v>
      </c>
      <c r="D33" s="984">
        <f>'Table 3 Levels 1&amp;2'!AL34</f>
        <v>5673.3097932359224</v>
      </c>
      <c r="E33" s="1074">
        <f t="shared" si="34"/>
        <v>0</v>
      </c>
      <c r="F33" s="1074">
        <f>'Table 4 Level 3'!P32</f>
        <v>693.06</v>
      </c>
      <c r="G33" s="1074">
        <f t="shared" si="35"/>
        <v>0</v>
      </c>
      <c r="H33" s="1037">
        <f t="shared" si="36"/>
        <v>0</v>
      </c>
      <c r="I33" s="1417">
        <f>'[1]Oct midyear Madison Prep'!K33</f>
        <v>0</v>
      </c>
      <c r="J33" s="1417">
        <f>'[1]Feb midyear Madison Prep'!K33</f>
        <v>0</v>
      </c>
      <c r="K33" s="1417">
        <f t="shared" si="37"/>
        <v>0</v>
      </c>
      <c r="L33" s="1037">
        <f t="shared" si="38"/>
        <v>0</v>
      </c>
      <c r="M33" s="1084">
        <f t="shared" si="39"/>
        <v>0</v>
      </c>
      <c r="N33" s="1037">
        <f t="shared" si="40"/>
        <v>0</v>
      </c>
      <c r="O33" s="1037">
        <v>0</v>
      </c>
      <c r="P33" s="1037">
        <f t="shared" si="41"/>
        <v>0</v>
      </c>
      <c r="Q33" s="1037">
        <v>0</v>
      </c>
      <c r="R33" s="1436">
        <f t="shared" si="42"/>
        <v>0</v>
      </c>
      <c r="S33" s="1436">
        <f t="shared" si="43"/>
        <v>0</v>
      </c>
      <c r="T33" s="1029">
        <f>'[14]FY2012-13 Final'!K34</f>
        <v>3093</v>
      </c>
      <c r="U33" s="1031">
        <f t="shared" si="31"/>
        <v>0</v>
      </c>
      <c r="V33" s="1439">
        <f>'[20]Oct midyear Madison Prep'!E33</f>
        <v>0</v>
      </c>
      <c r="W33" s="1349">
        <f t="shared" si="44"/>
        <v>0</v>
      </c>
      <c r="X33" s="1474">
        <f>'[20]Feb midyear Madison Prep'!E33</f>
        <v>0</v>
      </c>
      <c r="Y33" s="1470">
        <f t="shared" si="45"/>
        <v>0</v>
      </c>
      <c r="Z33" s="1468">
        <f t="shared" si="46"/>
        <v>0</v>
      </c>
      <c r="AA33" s="1031">
        <f t="shared" si="47"/>
        <v>0</v>
      </c>
      <c r="AB33" s="1090">
        <f t="shared" si="48"/>
        <v>0</v>
      </c>
      <c r="AC33" s="1031">
        <f t="shared" si="49"/>
        <v>0</v>
      </c>
      <c r="AD33" s="1448">
        <v>0</v>
      </c>
      <c r="AE33" s="1448">
        <f t="shared" si="50"/>
        <v>0</v>
      </c>
      <c r="AF33" s="1448">
        <v>0</v>
      </c>
      <c r="AG33" s="1448">
        <f t="shared" si="51"/>
        <v>0</v>
      </c>
      <c r="AH33" s="1448">
        <f t="shared" si="52"/>
        <v>0</v>
      </c>
      <c r="AI33" s="1449">
        <f t="shared" si="53"/>
        <v>0</v>
      </c>
      <c r="AJ33" s="1449">
        <f t="shared" si="32"/>
        <v>0</v>
      </c>
      <c r="AL33" s="49">
        <f t="shared" si="33"/>
        <v>0</v>
      </c>
      <c r="AM33" s="49">
        <f>-'[22]Table 5C1A-Madison Prep'!AN33</f>
        <v>0</v>
      </c>
      <c r="AN33" s="49">
        <f>-'[21]Table 5C1A-Madison Prep'!P33</f>
        <v>0</v>
      </c>
      <c r="AO33" s="49">
        <f t="shared" si="54"/>
        <v>0</v>
      </c>
    </row>
    <row r="34" spans="1:41">
      <c r="A34" s="975">
        <v>28</v>
      </c>
      <c r="B34" s="976" t="s">
        <v>129</v>
      </c>
      <c r="C34" s="1171">
        <f>'Table 8 2.1.12 MFP Funded'!T31</f>
        <v>0</v>
      </c>
      <c r="D34" s="984">
        <f>'Table 3 Levels 1&amp;2'!AL35</f>
        <v>3225.6961587092846</v>
      </c>
      <c r="E34" s="1074">
        <f t="shared" si="34"/>
        <v>0</v>
      </c>
      <c r="F34" s="1074">
        <f>'Table 4 Level 3'!P33</f>
        <v>694.4</v>
      </c>
      <c r="G34" s="1074">
        <f t="shared" si="35"/>
        <v>0</v>
      </c>
      <c r="H34" s="1037">
        <f t="shared" si="36"/>
        <v>0</v>
      </c>
      <c r="I34" s="1417">
        <f>'[1]Oct midyear Madison Prep'!K34</f>
        <v>0</v>
      </c>
      <c r="J34" s="1417">
        <f>'[1]Feb midyear Madison Prep'!K34</f>
        <v>0</v>
      </c>
      <c r="K34" s="1417">
        <f t="shared" si="37"/>
        <v>0</v>
      </c>
      <c r="L34" s="1037">
        <f t="shared" si="38"/>
        <v>0</v>
      </c>
      <c r="M34" s="1084">
        <f t="shared" si="39"/>
        <v>0</v>
      </c>
      <c r="N34" s="1037">
        <f t="shared" si="40"/>
        <v>0</v>
      </c>
      <c r="O34" s="1037">
        <v>0</v>
      </c>
      <c r="P34" s="1037">
        <f t="shared" si="41"/>
        <v>0</v>
      </c>
      <c r="Q34" s="1037">
        <v>0</v>
      </c>
      <c r="R34" s="1436">
        <f t="shared" si="42"/>
        <v>0</v>
      </c>
      <c r="S34" s="1436">
        <f t="shared" si="43"/>
        <v>0</v>
      </c>
      <c r="T34" s="1029">
        <f>'[14]FY2012-13 Final'!K35</f>
        <v>5338</v>
      </c>
      <c r="U34" s="1031">
        <f t="shared" si="31"/>
        <v>0</v>
      </c>
      <c r="V34" s="1439">
        <f>'[20]Oct midyear Madison Prep'!E34</f>
        <v>0</v>
      </c>
      <c r="W34" s="1349">
        <f t="shared" si="44"/>
        <v>0</v>
      </c>
      <c r="X34" s="1474">
        <f>'[20]Feb midyear Madison Prep'!E34</f>
        <v>0</v>
      </c>
      <c r="Y34" s="1470">
        <f t="shared" si="45"/>
        <v>0</v>
      </c>
      <c r="Z34" s="1468">
        <f t="shared" si="46"/>
        <v>0</v>
      </c>
      <c r="AA34" s="1031">
        <f t="shared" si="47"/>
        <v>0</v>
      </c>
      <c r="AB34" s="1090">
        <f t="shared" si="48"/>
        <v>0</v>
      </c>
      <c r="AC34" s="1031">
        <f t="shared" si="49"/>
        <v>0</v>
      </c>
      <c r="AD34" s="1448">
        <v>0</v>
      </c>
      <c r="AE34" s="1448">
        <f t="shared" si="50"/>
        <v>0</v>
      </c>
      <c r="AF34" s="1448">
        <v>0</v>
      </c>
      <c r="AG34" s="1448">
        <f t="shared" si="51"/>
        <v>0</v>
      </c>
      <c r="AH34" s="1448">
        <f t="shared" si="52"/>
        <v>0</v>
      </c>
      <c r="AI34" s="1449">
        <f t="shared" si="53"/>
        <v>0</v>
      </c>
      <c r="AJ34" s="1449">
        <f t="shared" si="32"/>
        <v>0</v>
      </c>
      <c r="AL34" s="49">
        <f t="shared" si="33"/>
        <v>0</v>
      </c>
      <c r="AM34" s="49">
        <f>-'[22]Table 5C1A-Madison Prep'!AN34</f>
        <v>0</v>
      </c>
      <c r="AN34" s="49">
        <f>-'[21]Table 5C1A-Madison Prep'!P34</f>
        <v>0</v>
      </c>
      <c r="AO34" s="49">
        <f t="shared" si="54"/>
        <v>0</v>
      </c>
    </row>
    <row r="35" spans="1:41">
      <c r="A35" s="975">
        <v>29</v>
      </c>
      <c r="B35" s="976" t="s">
        <v>130</v>
      </c>
      <c r="C35" s="1171">
        <f>'Table 8 2.1.12 MFP Funded'!T32</f>
        <v>0</v>
      </c>
      <c r="D35" s="984">
        <f>'Table 3 Levels 1&amp;2'!AL36</f>
        <v>3955.7852148385191</v>
      </c>
      <c r="E35" s="1074">
        <f t="shared" si="34"/>
        <v>0</v>
      </c>
      <c r="F35" s="1074">
        <f>'Table 4 Level 3'!P34</f>
        <v>754.94999999999993</v>
      </c>
      <c r="G35" s="1074">
        <f t="shared" si="35"/>
        <v>0</v>
      </c>
      <c r="H35" s="1037">
        <f t="shared" si="36"/>
        <v>0</v>
      </c>
      <c r="I35" s="1417">
        <f>'[1]Oct midyear Madison Prep'!K35</f>
        <v>0</v>
      </c>
      <c r="J35" s="1417">
        <f>'[1]Feb midyear Madison Prep'!K35</f>
        <v>0</v>
      </c>
      <c r="K35" s="1417">
        <f t="shared" si="37"/>
        <v>0</v>
      </c>
      <c r="L35" s="1037">
        <f t="shared" si="38"/>
        <v>0</v>
      </c>
      <c r="M35" s="1084">
        <f t="shared" si="39"/>
        <v>0</v>
      </c>
      <c r="N35" s="1037">
        <f t="shared" si="40"/>
        <v>0</v>
      </c>
      <c r="O35" s="1037">
        <v>0</v>
      </c>
      <c r="P35" s="1037">
        <f t="shared" si="41"/>
        <v>0</v>
      </c>
      <c r="Q35" s="1037">
        <v>0</v>
      </c>
      <c r="R35" s="1436">
        <f t="shared" si="42"/>
        <v>0</v>
      </c>
      <c r="S35" s="1436">
        <f t="shared" si="43"/>
        <v>0</v>
      </c>
      <c r="T35" s="1029">
        <f>'[14]FY2012-13 Final'!K36</f>
        <v>4414</v>
      </c>
      <c r="U35" s="1031">
        <f t="shared" si="31"/>
        <v>0</v>
      </c>
      <c r="V35" s="1439">
        <f>'[20]Oct midyear Madison Prep'!E35</f>
        <v>0</v>
      </c>
      <c r="W35" s="1349">
        <f t="shared" si="44"/>
        <v>0</v>
      </c>
      <c r="X35" s="1474">
        <f>'[20]Feb midyear Madison Prep'!E35</f>
        <v>0</v>
      </c>
      <c r="Y35" s="1470">
        <f t="shared" si="45"/>
        <v>0</v>
      </c>
      <c r="Z35" s="1468">
        <f t="shared" si="46"/>
        <v>0</v>
      </c>
      <c r="AA35" s="1031">
        <f t="shared" si="47"/>
        <v>0</v>
      </c>
      <c r="AB35" s="1090">
        <f t="shared" si="48"/>
        <v>0</v>
      </c>
      <c r="AC35" s="1031">
        <f t="shared" si="49"/>
        <v>0</v>
      </c>
      <c r="AD35" s="1448">
        <v>0</v>
      </c>
      <c r="AE35" s="1448">
        <f t="shared" si="50"/>
        <v>0</v>
      </c>
      <c r="AF35" s="1448">
        <v>0</v>
      </c>
      <c r="AG35" s="1448">
        <f t="shared" si="51"/>
        <v>0</v>
      </c>
      <c r="AH35" s="1448">
        <f t="shared" si="52"/>
        <v>0</v>
      </c>
      <c r="AI35" s="1449">
        <f t="shared" si="53"/>
        <v>0</v>
      </c>
      <c r="AJ35" s="1449">
        <f t="shared" si="32"/>
        <v>0</v>
      </c>
      <c r="AL35" s="49">
        <f t="shared" si="33"/>
        <v>0</v>
      </c>
      <c r="AM35" s="49">
        <f>-'[22]Table 5C1A-Madison Prep'!AN35</f>
        <v>0</v>
      </c>
      <c r="AN35" s="49">
        <f>-'[21]Table 5C1A-Madison Prep'!P35</f>
        <v>0</v>
      </c>
      <c r="AO35" s="49">
        <f t="shared" si="54"/>
        <v>0</v>
      </c>
    </row>
    <row r="36" spans="1:41">
      <c r="A36" s="979">
        <v>30</v>
      </c>
      <c r="B36" s="980" t="s">
        <v>131</v>
      </c>
      <c r="C36" s="1172">
        <f>'Table 8 2.1.12 MFP Funded'!T33</f>
        <v>0</v>
      </c>
      <c r="D36" s="986">
        <f>'Table 3 Levels 1&amp;2'!AL37</f>
        <v>5609.6361466464068</v>
      </c>
      <c r="E36" s="1075">
        <f t="shared" si="34"/>
        <v>0</v>
      </c>
      <c r="F36" s="1075">
        <f>'Table 4 Level 3'!P35</f>
        <v>727.17</v>
      </c>
      <c r="G36" s="1075">
        <f t="shared" si="35"/>
        <v>0</v>
      </c>
      <c r="H36" s="1038">
        <f t="shared" si="36"/>
        <v>0</v>
      </c>
      <c r="I36" s="1418">
        <f>'[1]Oct midyear Madison Prep'!K36</f>
        <v>0</v>
      </c>
      <c r="J36" s="1418">
        <f>'[1]Feb midyear Madison Prep'!K36</f>
        <v>0</v>
      </c>
      <c r="K36" s="1418">
        <f t="shared" si="37"/>
        <v>0</v>
      </c>
      <c r="L36" s="1038">
        <f t="shared" si="38"/>
        <v>0</v>
      </c>
      <c r="M36" s="1085">
        <f t="shared" si="39"/>
        <v>0</v>
      </c>
      <c r="N36" s="1038">
        <f t="shared" si="40"/>
        <v>0</v>
      </c>
      <c r="O36" s="1038">
        <v>0</v>
      </c>
      <c r="P36" s="1038">
        <f t="shared" si="41"/>
        <v>0</v>
      </c>
      <c r="Q36" s="1038">
        <v>0</v>
      </c>
      <c r="R36" s="1437">
        <f t="shared" si="42"/>
        <v>0</v>
      </c>
      <c r="S36" s="1437">
        <f t="shared" si="43"/>
        <v>0</v>
      </c>
      <c r="T36" s="1034">
        <f>'[14]FY2012-13 Final'!K37</f>
        <v>3703</v>
      </c>
      <c r="U36" s="1035">
        <f t="shared" si="31"/>
        <v>0</v>
      </c>
      <c r="V36" s="1440">
        <f>'[20]Oct midyear Madison Prep'!E36</f>
        <v>0</v>
      </c>
      <c r="W36" s="1350">
        <f t="shared" si="44"/>
        <v>0</v>
      </c>
      <c r="X36" s="1475">
        <f>'[20]Feb midyear Madison Prep'!E36</f>
        <v>0</v>
      </c>
      <c r="Y36" s="1471">
        <f t="shared" si="45"/>
        <v>0</v>
      </c>
      <c r="Z36" s="1469">
        <f t="shared" si="46"/>
        <v>0</v>
      </c>
      <c r="AA36" s="1035">
        <f t="shared" si="47"/>
        <v>0</v>
      </c>
      <c r="AB36" s="1091">
        <f t="shared" si="48"/>
        <v>0</v>
      </c>
      <c r="AC36" s="1035">
        <f t="shared" si="49"/>
        <v>0</v>
      </c>
      <c r="AD36" s="1450">
        <v>0</v>
      </c>
      <c r="AE36" s="1450">
        <f t="shared" si="50"/>
        <v>0</v>
      </c>
      <c r="AF36" s="1450">
        <v>0</v>
      </c>
      <c r="AG36" s="1450">
        <f t="shared" si="51"/>
        <v>0</v>
      </c>
      <c r="AH36" s="1450">
        <f t="shared" si="52"/>
        <v>0</v>
      </c>
      <c r="AI36" s="1451">
        <f t="shared" si="53"/>
        <v>0</v>
      </c>
      <c r="AJ36" s="1451">
        <f t="shared" si="32"/>
        <v>0</v>
      </c>
      <c r="AL36" s="49">
        <f t="shared" si="33"/>
        <v>0</v>
      </c>
      <c r="AM36" s="49">
        <f>-'[22]Table 5C1A-Madison Prep'!AN36</f>
        <v>0</v>
      </c>
      <c r="AN36" s="49">
        <f>-'[21]Table 5C1A-Madison Prep'!P36</f>
        <v>0</v>
      </c>
      <c r="AO36" s="49">
        <f t="shared" si="54"/>
        <v>0</v>
      </c>
    </row>
    <row r="37" spans="1:41">
      <c r="A37" s="968">
        <v>31</v>
      </c>
      <c r="B37" s="969" t="s">
        <v>132</v>
      </c>
      <c r="C37" s="1173">
        <f>'Table 8 2.1.12 MFP Funded'!T34</f>
        <v>0</v>
      </c>
      <c r="D37" s="988">
        <f>'Table 3 Levels 1&amp;2'!AL38</f>
        <v>4174.0937400224284</v>
      </c>
      <c r="E37" s="1076">
        <f t="shared" si="34"/>
        <v>0</v>
      </c>
      <c r="F37" s="1076">
        <f>'Table 4 Level 3'!P36</f>
        <v>620.83000000000004</v>
      </c>
      <c r="G37" s="1076">
        <f t="shared" si="35"/>
        <v>0</v>
      </c>
      <c r="H37" s="1039">
        <f t="shared" si="36"/>
        <v>0</v>
      </c>
      <c r="I37" s="1419">
        <f>'[1]Oct midyear Madison Prep'!K37</f>
        <v>0</v>
      </c>
      <c r="J37" s="1419">
        <f>'[1]Feb midyear Madison Prep'!K37</f>
        <v>0</v>
      </c>
      <c r="K37" s="1419">
        <f t="shared" si="37"/>
        <v>0</v>
      </c>
      <c r="L37" s="1039">
        <f t="shared" si="38"/>
        <v>0</v>
      </c>
      <c r="M37" s="1086">
        <f t="shared" si="39"/>
        <v>0</v>
      </c>
      <c r="N37" s="1039">
        <f t="shared" si="40"/>
        <v>0</v>
      </c>
      <c r="O37" s="1039">
        <v>0</v>
      </c>
      <c r="P37" s="1039">
        <f t="shared" si="41"/>
        <v>0</v>
      </c>
      <c r="Q37" s="1039">
        <v>0</v>
      </c>
      <c r="R37" s="1211">
        <f t="shared" si="42"/>
        <v>0</v>
      </c>
      <c r="S37" s="1211">
        <f t="shared" si="43"/>
        <v>0</v>
      </c>
      <c r="T37" s="1029">
        <f>'[14]FY2012-13 Final'!K38</f>
        <v>4709</v>
      </c>
      <c r="U37" s="973">
        <f t="shared" si="31"/>
        <v>0</v>
      </c>
      <c r="V37" s="1441">
        <f>'[20]Oct midyear Madison Prep'!E37</f>
        <v>0</v>
      </c>
      <c r="W37" s="1348">
        <f t="shared" si="44"/>
        <v>0</v>
      </c>
      <c r="X37" s="1466">
        <f>'[20]Feb midyear Madison Prep'!E37</f>
        <v>0</v>
      </c>
      <c r="Y37" s="1444">
        <f t="shared" si="45"/>
        <v>0</v>
      </c>
      <c r="Z37" s="1348">
        <f t="shared" si="46"/>
        <v>0</v>
      </c>
      <c r="AA37" s="973">
        <f t="shared" si="47"/>
        <v>0</v>
      </c>
      <c r="AB37" s="1089">
        <f t="shared" si="48"/>
        <v>0</v>
      </c>
      <c r="AC37" s="973">
        <f t="shared" si="49"/>
        <v>0</v>
      </c>
      <c r="AD37" s="1214">
        <v>0</v>
      </c>
      <c r="AE37" s="1214">
        <f t="shared" si="50"/>
        <v>0</v>
      </c>
      <c r="AF37" s="1214">
        <v>0</v>
      </c>
      <c r="AG37" s="1214">
        <f t="shared" si="51"/>
        <v>0</v>
      </c>
      <c r="AH37" s="1214">
        <f t="shared" si="52"/>
        <v>0</v>
      </c>
      <c r="AI37" s="1447">
        <f t="shared" si="53"/>
        <v>0</v>
      </c>
      <c r="AJ37" s="1447">
        <f t="shared" si="32"/>
        <v>0</v>
      </c>
      <c r="AL37" s="49">
        <f t="shared" si="33"/>
        <v>0</v>
      </c>
      <c r="AM37" s="49">
        <f>-'[22]Table 5C1A-Madison Prep'!AN37</f>
        <v>0</v>
      </c>
      <c r="AN37" s="49">
        <f>-'[21]Table 5C1A-Madison Prep'!P37</f>
        <v>0</v>
      </c>
      <c r="AO37" s="49">
        <f t="shared" si="54"/>
        <v>0</v>
      </c>
    </row>
    <row r="38" spans="1:41">
      <c r="A38" s="975">
        <v>32</v>
      </c>
      <c r="B38" s="976" t="s">
        <v>133</v>
      </c>
      <c r="C38" s="1171">
        <f>'Table 8 2.1.12 MFP Funded'!T35</f>
        <v>1</v>
      </c>
      <c r="D38" s="984">
        <f>'Table 3 Levels 1&amp;2'!AL39</f>
        <v>5486.1585166144778</v>
      </c>
      <c r="E38" s="1074">
        <f t="shared" si="34"/>
        <v>5486.1585166144778</v>
      </c>
      <c r="F38" s="1074">
        <f>'Table 4 Level 3'!P37</f>
        <v>559.77</v>
      </c>
      <c r="G38" s="1074">
        <f t="shared" si="35"/>
        <v>559.77</v>
      </c>
      <c r="H38" s="1037">
        <f t="shared" si="36"/>
        <v>6045.9285166144782</v>
      </c>
      <c r="I38" s="1417">
        <f>'[1]Oct midyear Madison Prep'!K38</f>
        <v>-6045.9285166144782</v>
      </c>
      <c r="J38" s="1417">
        <f>'[1]Feb midyear Madison Prep'!K38</f>
        <v>0</v>
      </c>
      <c r="K38" s="1417">
        <f t="shared" si="37"/>
        <v>-6045.9285166144782</v>
      </c>
      <c r="L38" s="1037">
        <f t="shared" si="38"/>
        <v>0</v>
      </c>
      <c r="M38" s="1084">
        <f t="shared" si="39"/>
        <v>0</v>
      </c>
      <c r="N38" s="1037">
        <f t="shared" si="40"/>
        <v>0</v>
      </c>
      <c r="O38" s="1037">
        <v>0</v>
      </c>
      <c r="P38" s="1037">
        <f t="shared" si="41"/>
        <v>0</v>
      </c>
      <c r="Q38" s="1037">
        <f>502-46-46-46-46-46-46-46-45-45</f>
        <v>90</v>
      </c>
      <c r="R38" s="1436">
        <f t="shared" si="42"/>
        <v>-90</v>
      </c>
      <c r="S38" s="1436">
        <f t="shared" si="43"/>
        <v>-45</v>
      </c>
      <c r="T38" s="1029">
        <f>'[14]FY2012-13 Final'!K39</f>
        <v>1967</v>
      </c>
      <c r="U38" s="1031">
        <f t="shared" si="31"/>
        <v>1967</v>
      </c>
      <c r="V38" s="1439">
        <f>'[20]Oct midyear Madison Prep'!E38</f>
        <v>-1</v>
      </c>
      <c r="W38" s="1443">
        <f t="shared" si="44"/>
        <v>-1967</v>
      </c>
      <c r="X38" s="1474">
        <f>'[20]Feb midyear Madison Prep'!E38</f>
        <v>0</v>
      </c>
      <c r="Y38" s="1470">
        <f t="shared" si="45"/>
        <v>0</v>
      </c>
      <c r="Z38" s="1470">
        <f t="shared" si="46"/>
        <v>-1967</v>
      </c>
      <c r="AA38" s="1031">
        <f t="shared" si="47"/>
        <v>0</v>
      </c>
      <c r="AB38" s="1090">
        <f t="shared" si="48"/>
        <v>0</v>
      </c>
      <c r="AC38" s="1031">
        <f t="shared" si="49"/>
        <v>0</v>
      </c>
      <c r="AD38" s="1448">
        <v>0</v>
      </c>
      <c r="AE38" s="1448">
        <f t="shared" si="50"/>
        <v>0</v>
      </c>
      <c r="AF38" s="1448">
        <f>165-15-15-15-15-15-15-15-15-15</f>
        <v>30</v>
      </c>
      <c r="AG38" s="1448">
        <f t="shared" si="51"/>
        <v>-30</v>
      </c>
      <c r="AH38" s="1448">
        <f t="shared" si="52"/>
        <v>-15</v>
      </c>
      <c r="AI38" s="1449">
        <f t="shared" si="53"/>
        <v>0</v>
      </c>
      <c r="AJ38" s="1449">
        <f t="shared" si="32"/>
        <v>-60</v>
      </c>
      <c r="AL38" s="49">
        <f t="shared" si="33"/>
        <v>0</v>
      </c>
      <c r="AM38" s="49">
        <f>-'[22]Table 5C1A-Madison Prep'!AN38</f>
        <v>0</v>
      </c>
      <c r="AN38" s="49">
        <f>-'[21]Table 5C1A-Madison Prep'!P38</f>
        <v>4.9474999999999998</v>
      </c>
      <c r="AO38" s="49">
        <f t="shared" si="54"/>
        <v>0</v>
      </c>
    </row>
    <row r="39" spans="1:41">
      <c r="A39" s="975">
        <v>33</v>
      </c>
      <c r="B39" s="976" t="s">
        <v>134</v>
      </c>
      <c r="C39" s="1171">
        <f>'Table 8 2.1.12 MFP Funded'!T36</f>
        <v>0</v>
      </c>
      <c r="D39" s="984">
        <f>'Table 3 Levels 1&amp;2'!AL40</f>
        <v>5393.8471941993575</v>
      </c>
      <c r="E39" s="1074">
        <f t="shared" si="34"/>
        <v>0</v>
      </c>
      <c r="F39" s="1074">
        <f>'Table 4 Level 3'!P38</f>
        <v>655.31000000000006</v>
      </c>
      <c r="G39" s="1074">
        <f t="shared" si="35"/>
        <v>0</v>
      </c>
      <c r="H39" s="1037">
        <f t="shared" si="36"/>
        <v>0</v>
      </c>
      <c r="I39" s="1417">
        <f>'[1]Oct midyear Madison Prep'!K39</f>
        <v>0</v>
      </c>
      <c r="J39" s="1417">
        <f>'[1]Feb midyear Madison Prep'!K39</f>
        <v>0</v>
      </c>
      <c r="K39" s="1417">
        <f t="shared" si="37"/>
        <v>0</v>
      </c>
      <c r="L39" s="1037">
        <f t="shared" si="38"/>
        <v>0</v>
      </c>
      <c r="M39" s="1084">
        <f t="shared" si="39"/>
        <v>0</v>
      </c>
      <c r="N39" s="1037">
        <f t="shared" si="40"/>
        <v>0</v>
      </c>
      <c r="O39" s="1037">
        <v>0</v>
      </c>
      <c r="P39" s="1037">
        <f t="shared" si="41"/>
        <v>0</v>
      </c>
      <c r="Q39" s="1037">
        <v>0</v>
      </c>
      <c r="R39" s="1436">
        <f t="shared" si="42"/>
        <v>0</v>
      </c>
      <c r="S39" s="1436">
        <f t="shared" si="43"/>
        <v>0</v>
      </c>
      <c r="T39" s="1029">
        <f>'[14]FY2012-13 Final'!K40</f>
        <v>2990</v>
      </c>
      <c r="U39" s="1031">
        <f t="shared" ref="U39:U70" si="55">C39*T39</f>
        <v>0</v>
      </c>
      <c r="V39" s="1439">
        <f>'[20]Oct midyear Madison Prep'!E39</f>
        <v>0</v>
      </c>
      <c r="W39" s="1349">
        <f t="shared" si="44"/>
        <v>0</v>
      </c>
      <c r="X39" s="1474">
        <f>'[20]Feb midyear Madison Prep'!E39</f>
        <v>0</v>
      </c>
      <c r="Y39" s="1470">
        <f t="shared" si="45"/>
        <v>0</v>
      </c>
      <c r="Z39" s="1468">
        <f t="shared" si="46"/>
        <v>0</v>
      </c>
      <c r="AA39" s="1031">
        <f t="shared" si="47"/>
        <v>0</v>
      </c>
      <c r="AB39" s="1090">
        <f t="shared" si="48"/>
        <v>0</v>
      </c>
      <c r="AC39" s="1031">
        <f t="shared" si="49"/>
        <v>0</v>
      </c>
      <c r="AD39" s="1448">
        <v>0</v>
      </c>
      <c r="AE39" s="1448">
        <f t="shared" si="50"/>
        <v>0</v>
      </c>
      <c r="AF39" s="1448">
        <v>0</v>
      </c>
      <c r="AG39" s="1448">
        <f t="shared" si="51"/>
        <v>0</v>
      </c>
      <c r="AH39" s="1448">
        <f t="shared" si="52"/>
        <v>0</v>
      </c>
      <c r="AI39" s="1449">
        <f t="shared" si="53"/>
        <v>0</v>
      </c>
      <c r="AJ39" s="1449">
        <f t="shared" ref="AJ39:AJ75" si="56">S39+AH39</f>
        <v>0</v>
      </c>
      <c r="AL39" s="49">
        <f t="shared" ref="AL39:AL75" si="57">AB39</f>
        <v>0</v>
      </c>
      <c r="AM39" s="49">
        <f>-'[22]Table 5C1A-Madison Prep'!AN39</f>
        <v>0</v>
      </c>
      <c r="AN39" s="49">
        <f>-'[21]Table 5C1A-Madison Prep'!P39</f>
        <v>0</v>
      </c>
      <c r="AO39" s="49">
        <f t="shared" si="54"/>
        <v>0</v>
      </c>
    </row>
    <row r="40" spans="1:41">
      <c r="A40" s="975">
        <v>34</v>
      </c>
      <c r="B40" s="976" t="s">
        <v>135</v>
      </c>
      <c r="C40" s="1171">
        <f>'Table 8 2.1.12 MFP Funded'!T37</f>
        <v>0</v>
      </c>
      <c r="D40" s="984">
        <f>'Table 3 Levels 1&amp;2'!AL41</f>
        <v>5864.3549473361072</v>
      </c>
      <c r="E40" s="1074">
        <f t="shared" si="34"/>
        <v>0</v>
      </c>
      <c r="F40" s="1074">
        <f>'Table 4 Level 3'!P39</f>
        <v>644.11000000000013</v>
      </c>
      <c r="G40" s="1074">
        <f t="shared" si="35"/>
        <v>0</v>
      </c>
      <c r="H40" s="1037">
        <f t="shared" si="36"/>
        <v>0</v>
      </c>
      <c r="I40" s="1417">
        <f>'[1]Oct midyear Madison Prep'!K40</f>
        <v>0</v>
      </c>
      <c r="J40" s="1417">
        <f>'[1]Feb midyear Madison Prep'!K40</f>
        <v>0</v>
      </c>
      <c r="K40" s="1417">
        <f t="shared" si="37"/>
        <v>0</v>
      </c>
      <c r="L40" s="1037">
        <f t="shared" si="38"/>
        <v>0</v>
      </c>
      <c r="M40" s="1084">
        <f t="shared" si="39"/>
        <v>0</v>
      </c>
      <c r="N40" s="1037">
        <f t="shared" si="40"/>
        <v>0</v>
      </c>
      <c r="O40" s="1037">
        <v>0</v>
      </c>
      <c r="P40" s="1037">
        <f t="shared" si="41"/>
        <v>0</v>
      </c>
      <c r="Q40" s="1037">
        <v>0</v>
      </c>
      <c r="R40" s="1436">
        <f t="shared" si="42"/>
        <v>0</v>
      </c>
      <c r="S40" s="1436">
        <f t="shared" si="43"/>
        <v>0</v>
      </c>
      <c r="T40" s="1029">
        <f>'[14]FY2012-13 Final'!K41</f>
        <v>2768</v>
      </c>
      <c r="U40" s="1031">
        <f t="shared" si="55"/>
        <v>0</v>
      </c>
      <c r="V40" s="1439">
        <f>'[20]Oct midyear Madison Prep'!E40</f>
        <v>0</v>
      </c>
      <c r="W40" s="1349">
        <f t="shared" si="44"/>
        <v>0</v>
      </c>
      <c r="X40" s="1474">
        <f>'[20]Feb midyear Madison Prep'!E40</f>
        <v>0</v>
      </c>
      <c r="Y40" s="1470">
        <f t="shared" si="45"/>
        <v>0</v>
      </c>
      <c r="Z40" s="1468">
        <f t="shared" si="46"/>
        <v>0</v>
      </c>
      <c r="AA40" s="1031">
        <f t="shared" si="47"/>
        <v>0</v>
      </c>
      <c r="AB40" s="1090">
        <f t="shared" si="48"/>
        <v>0</v>
      </c>
      <c r="AC40" s="1031">
        <f t="shared" si="49"/>
        <v>0</v>
      </c>
      <c r="AD40" s="1448">
        <v>0</v>
      </c>
      <c r="AE40" s="1448">
        <f t="shared" si="50"/>
        <v>0</v>
      </c>
      <c r="AF40" s="1448">
        <v>0</v>
      </c>
      <c r="AG40" s="1448">
        <f t="shared" si="51"/>
        <v>0</v>
      </c>
      <c r="AH40" s="1448">
        <f t="shared" si="52"/>
        <v>0</v>
      </c>
      <c r="AI40" s="1449">
        <f t="shared" si="53"/>
        <v>0</v>
      </c>
      <c r="AJ40" s="1449">
        <f t="shared" si="56"/>
        <v>0</v>
      </c>
      <c r="AL40" s="49">
        <f t="shared" si="57"/>
        <v>0</v>
      </c>
      <c r="AM40" s="49">
        <f>-'[22]Table 5C1A-Madison Prep'!AN40</f>
        <v>0</v>
      </c>
      <c r="AN40" s="49">
        <f>-'[21]Table 5C1A-Madison Prep'!P40</f>
        <v>0</v>
      </c>
      <c r="AO40" s="49">
        <f t="shared" si="54"/>
        <v>0</v>
      </c>
    </row>
    <row r="41" spans="1:41">
      <c r="A41" s="979">
        <v>35</v>
      </c>
      <c r="B41" s="980" t="s">
        <v>136</v>
      </c>
      <c r="C41" s="1172">
        <f>'Table 8 2.1.12 MFP Funded'!T38</f>
        <v>0</v>
      </c>
      <c r="D41" s="986">
        <f>'Table 3 Levels 1&amp;2'!AL42</f>
        <v>4848.8680115701454</v>
      </c>
      <c r="E41" s="1075">
        <f t="shared" si="34"/>
        <v>0</v>
      </c>
      <c r="F41" s="1075">
        <f>'Table 4 Level 3'!P40</f>
        <v>537.96</v>
      </c>
      <c r="G41" s="1075">
        <f t="shared" si="35"/>
        <v>0</v>
      </c>
      <c r="H41" s="1038">
        <f t="shared" si="36"/>
        <v>0</v>
      </c>
      <c r="I41" s="1418">
        <f>'[1]Oct midyear Madison Prep'!K41</f>
        <v>0</v>
      </c>
      <c r="J41" s="1418">
        <f>'[1]Feb midyear Madison Prep'!K41</f>
        <v>0</v>
      </c>
      <c r="K41" s="1418">
        <f t="shared" si="37"/>
        <v>0</v>
      </c>
      <c r="L41" s="1038">
        <f t="shared" si="38"/>
        <v>0</v>
      </c>
      <c r="M41" s="1085">
        <f t="shared" si="39"/>
        <v>0</v>
      </c>
      <c r="N41" s="1038">
        <f t="shared" si="40"/>
        <v>0</v>
      </c>
      <c r="O41" s="1038">
        <v>0</v>
      </c>
      <c r="P41" s="1038">
        <f t="shared" si="41"/>
        <v>0</v>
      </c>
      <c r="Q41" s="1038">
        <v>0</v>
      </c>
      <c r="R41" s="1437">
        <f t="shared" si="42"/>
        <v>0</v>
      </c>
      <c r="S41" s="1437">
        <f t="shared" si="43"/>
        <v>0</v>
      </c>
      <c r="T41" s="1034">
        <f>'[14]FY2012-13 Final'!K42</f>
        <v>3611</v>
      </c>
      <c r="U41" s="1035">
        <f t="shared" si="55"/>
        <v>0</v>
      </c>
      <c r="V41" s="1440">
        <f>'[20]Oct midyear Madison Prep'!E41</f>
        <v>0</v>
      </c>
      <c r="W41" s="1350">
        <f t="shared" si="44"/>
        <v>0</v>
      </c>
      <c r="X41" s="1475">
        <f>'[20]Feb midyear Madison Prep'!E41</f>
        <v>0</v>
      </c>
      <c r="Y41" s="1471">
        <f t="shared" si="45"/>
        <v>0</v>
      </c>
      <c r="Z41" s="1469">
        <f t="shared" si="46"/>
        <v>0</v>
      </c>
      <c r="AA41" s="1035">
        <f t="shared" si="47"/>
        <v>0</v>
      </c>
      <c r="AB41" s="1091">
        <f t="shared" si="48"/>
        <v>0</v>
      </c>
      <c r="AC41" s="1035">
        <f t="shared" si="49"/>
        <v>0</v>
      </c>
      <c r="AD41" s="1450">
        <v>0</v>
      </c>
      <c r="AE41" s="1450">
        <f t="shared" si="50"/>
        <v>0</v>
      </c>
      <c r="AF41" s="1450">
        <v>0</v>
      </c>
      <c r="AG41" s="1450">
        <f t="shared" si="51"/>
        <v>0</v>
      </c>
      <c r="AH41" s="1450">
        <f t="shared" si="52"/>
        <v>0</v>
      </c>
      <c r="AI41" s="1451">
        <f t="shared" si="53"/>
        <v>0</v>
      </c>
      <c r="AJ41" s="1451">
        <f t="shared" si="56"/>
        <v>0</v>
      </c>
      <c r="AL41" s="49">
        <f t="shared" si="57"/>
        <v>0</v>
      </c>
      <c r="AM41" s="49">
        <f>-'[22]Table 5C1A-Madison Prep'!AN41</f>
        <v>0</v>
      </c>
      <c r="AN41" s="49">
        <f>-'[21]Table 5C1A-Madison Prep'!P41</f>
        <v>0</v>
      </c>
      <c r="AO41" s="49">
        <f t="shared" si="54"/>
        <v>0</v>
      </c>
    </row>
    <row r="42" spans="1:41">
      <c r="A42" s="968">
        <v>36</v>
      </c>
      <c r="B42" s="969" t="s">
        <v>137</v>
      </c>
      <c r="C42" s="1173">
        <f>'Table 8 2.1.12 MFP Funded'!T39</f>
        <v>0</v>
      </c>
      <c r="D42" s="988">
        <f>'Table 3 Levels 1&amp;2'!AL43</f>
        <v>3442.7546828904692</v>
      </c>
      <c r="E42" s="1076">
        <f t="shared" si="34"/>
        <v>0</v>
      </c>
      <c r="F42" s="1076">
        <f>'Table 5B1_RSD_Orleans'!F78</f>
        <v>746.0335616438357</v>
      </c>
      <c r="G42" s="1076">
        <f t="shared" si="35"/>
        <v>0</v>
      </c>
      <c r="H42" s="1039">
        <f t="shared" si="36"/>
        <v>0</v>
      </c>
      <c r="I42" s="1419">
        <f>'[1]Oct midyear Madison Prep'!K42</f>
        <v>0</v>
      </c>
      <c r="J42" s="1419">
        <f>'[1]Feb midyear Madison Prep'!K42</f>
        <v>0</v>
      </c>
      <c r="K42" s="1419">
        <f t="shared" si="37"/>
        <v>0</v>
      </c>
      <c r="L42" s="1039">
        <f t="shared" si="38"/>
        <v>0</v>
      </c>
      <c r="M42" s="1086">
        <f t="shared" si="39"/>
        <v>0</v>
      </c>
      <c r="N42" s="1039">
        <f t="shared" si="40"/>
        <v>0</v>
      </c>
      <c r="O42" s="1039">
        <v>0</v>
      </c>
      <c r="P42" s="1039">
        <f t="shared" si="41"/>
        <v>0</v>
      </c>
      <c r="Q42" s="1039">
        <v>0</v>
      </c>
      <c r="R42" s="1211">
        <f t="shared" si="42"/>
        <v>0</v>
      </c>
      <c r="S42" s="1211">
        <f t="shared" si="43"/>
        <v>0</v>
      </c>
      <c r="T42" s="1029">
        <f>'[14]FY2012-13 Final'!K43</f>
        <v>4884</v>
      </c>
      <c r="U42" s="973">
        <f t="shared" si="55"/>
        <v>0</v>
      </c>
      <c r="V42" s="1441">
        <f>'[20]Oct midyear Madison Prep'!E42</f>
        <v>0</v>
      </c>
      <c r="W42" s="1348">
        <f t="shared" si="44"/>
        <v>0</v>
      </c>
      <c r="X42" s="1466">
        <f>'[20]Feb midyear Madison Prep'!E42</f>
        <v>0</v>
      </c>
      <c r="Y42" s="1444">
        <f t="shared" si="45"/>
        <v>0</v>
      </c>
      <c r="Z42" s="1348">
        <f t="shared" si="46"/>
        <v>0</v>
      </c>
      <c r="AA42" s="973">
        <f t="shared" si="47"/>
        <v>0</v>
      </c>
      <c r="AB42" s="1089">
        <f t="shared" si="48"/>
        <v>0</v>
      </c>
      <c r="AC42" s="973">
        <f t="shared" si="49"/>
        <v>0</v>
      </c>
      <c r="AD42" s="1214">
        <v>0</v>
      </c>
      <c r="AE42" s="1214">
        <f t="shared" si="50"/>
        <v>0</v>
      </c>
      <c r="AF42" s="1214">
        <v>0</v>
      </c>
      <c r="AG42" s="1214">
        <f t="shared" si="51"/>
        <v>0</v>
      </c>
      <c r="AH42" s="1214">
        <f t="shared" si="52"/>
        <v>0</v>
      </c>
      <c r="AI42" s="1447">
        <f t="shared" si="53"/>
        <v>0</v>
      </c>
      <c r="AJ42" s="1447">
        <f t="shared" si="56"/>
        <v>0</v>
      </c>
      <c r="AL42" s="49">
        <f t="shared" si="57"/>
        <v>0</v>
      </c>
      <c r="AM42" s="49">
        <f>-'[22]Table 5C1A-Madison Prep'!AN42</f>
        <v>0</v>
      </c>
      <c r="AN42" s="49">
        <f>-'[21]Table 5C1A-Madison Prep'!P42</f>
        <v>0</v>
      </c>
      <c r="AO42" s="49">
        <f t="shared" si="54"/>
        <v>0</v>
      </c>
    </row>
    <row r="43" spans="1:41">
      <c r="A43" s="975">
        <v>37</v>
      </c>
      <c r="B43" s="976" t="s">
        <v>138</v>
      </c>
      <c r="C43" s="1171">
        <f>'Table 8 2.1.12 MFP Funded'!T40</f>
        <v>0</v>
      </c>
      <c r="D43" s="984">
        <f>'Table 3 Levels 1&amp;2'!AL44</f>
        <v>5492.0643232073926</v>
      </c>
      <c r="E43" s="1074">
        <f t="shared" si="34"/>
        <v>0</v>
      </c>
      <c r="F43" s="1074">
        <f>'Table 4 Level 3'!P42</f>
        <v>653.61</v>
      </c>
      <c r="G43" s="1074">
        <f t="shared" si="35"/>
        <v>0</v>
      </c>
      <c r="H43" s="1037">
        <f t="shared" si="36"/>
        <v>0</v>
      </c>
      <c r="I43" s="1417">
        <f>'[1]Oct midyear Madison Prep'!K43</f>
        <v>0</v>
      </c>
      <c r="J43" s="1417">
        <f>'[1]Feb midyear Madison Prep'!K43</f>
        <v>0</v>
      </c>
      <c r="K43" s="1417">
        <f t="shared" si="37"/>
        <v>0</v>
      </c>
      <c r="L43" s="1037">
        <f t="shared" si="38"/>
        <v>0</v>
      </c>
      <c r="M43" s="1084">
        <f t="shared" si="39"/>
        <v>0</v>
      </c>
      <c r="N43" s="1037">
        <f t="shared" si="40"/>
        <v>0</v>
      </c>
      <c r="O43" s="1037">
        <v>0</v>
      </c>
      <c r="P43" s="1037">
        <f t="shared" si="41"/>
        <v>0</v>
      </c>
      <c r="Q43" s="1037">
        <v>0</v>
      </c>
      <c r="R43" s="1436">
        <f t="shared" si="42"/>
        <v>0</v>
      </c>
      <c r="S43" s="1436">
        <f t="shared" si="43"/>
        <v>0</v>
      </c>
      <c r="T43" s="1029">
        <f>'[14]FY2012-13 Final'!K44</f>
        <v>3128</v>
      </c>
      <c r="U43" s="1031">
        <f t="shared" si="55"/>
        <v>0</v>
      </c>
      <c r="V43" s="1439">
        <f>'[20]Oct midyear Madison Prep'!E43</f>
        <v>0</v>
      </c>
      <c r="W43" s="1349">
        <f t="shared" si="44"/>
        <v>0</v>
      </c>
      <c r="X43" s="1474">
        <f>'[20]Feb midyear Madison Prep'!E43</f>
        <v>0</v>
      </c>
      <c r="Y43" s="1470">
        <f t="shared" si="45"/>
        <v>0</v>
      </c>
      <c r="Z43" s="1468">
        <f t="shared" si="46"/>
        <v>0</v>
      </c>
      <c r="AA43" s="1031">
        <f t="shared" si="47"/>
        <v>0</v>
      </c>
      <c r="AB43" s="1090">
        <f t="shared" si="48"/>
        <v>0</v>
      </c>
      <c r="AC43" s="1031">
        <f t="shared" si="49"/>
        <v>0</v>
      </c>
      <c r="AD43" s="1448">
        <v>0</v>
      </c>
      <c r="AE43" s="1448">
        <f t="shared" si="50"/>
        <v>0</v>
      </c>
      <c r="AF43" s="1448">
        <v>0</v>
      </c>
      <c r="AG43" s="1448">
        <f t="shared" si="51"/>
        <v>0</v>
      </c>
      <c r="AH43" s="1448">
        <f t="shared" si="52"/>
        <v>0</v>
      </c>
      <c r="AI43" s="1449">
        <f t="shared" si="53"/>
        <v>0</v>
      </c>
      <c r="AJ43" s="1449">
        <f t="shared" si="56"/>
        <v>0</v>
      </c>
      <c r="AL43" s="49">
        <f t="shared" si="57"/>
        <v>0</v>
      </c>
      <c r="AM43" s="49">
        <f>-'[22]Table 5C1A-Madison Prep'!AN43</f>
        <v>0</v>
      </c>
      <c r="AN43" s="49">
        <f>-'[21]Table 5C1A-Madison Prep'!P43</f>
        <v>0</v>
      </c>
      <c r="AO43" s="49">
        <f t="shared" si="54"/>
        <v>0</v>
      </c>
    </row>
    <row r="44" spans="1:41">
      <c r="A44" s="975">
        <v>38</v>
      </c>
      <c r="B44" s="976" t="s">
        <v>139</v>
      </c>
      <c r="C44" s="1171">
        <f>'Table 8 2.1.12 MFP Funded'!T41</f>
        <v>0</v>
      </c>
      <c r="D44" s="984">
        <f>'Table 3 Levels 1&amp;2'!AL45</f>
        <v>2296.9220537376964</v>
      </c>
      <c r="E44" s="1074">
        <f t="shared" si="34"/>
        <v>0</v>
      </c>
      <c r="F44" s="1074">
        <f>'Table 4 Level 3'!P43</f>
        <v>829.92000000000007</v>
      </c>
      <c r="G44" s="1074">
        <f t="shared" si="35"/>
        <v>0</v>
      </c>
      <c r="H44" s="1037">
        <f t="shared" si="36"/>
        <v>0</v>
      </c>
      <c r="I44" s="1417">
        <f>'[1]Oct midyear Madison Prep'!K44</f>
        <v>0</v>
      </c>
      <c r="J44" s="1417">
        <f>'[1]Feb midyear Madison Prep'!K44</f>
        <v>0</v>
      </c>
      <c r="K44" s="1417">
        <f t="shared" si="37"/>
        <v>0</v>
      </c>
      <c r="L44" s="1037">
        <f t="shared" si="38"/>
        <v>0</v>
      </c>
      <c r="M44" s="1084">
        <f t="shared" si="39"/>
        <v>0</v>
      </c>
      <c r="N44" s="1037">
        <f t="shared" si="40"/>
        <v>0</v>
      </c>
      <c r="O44" s="1037">
        <v>0</v>
      </c>
      <c r="P44" s="1037">
        <f t="shared" si="41"/>
        <v>0</v>
      </c>
      <c r="Q44" s="1037">
        <v>0</v>
      </c>
      <c r="R44" s="1436">
        <f t="shared" si="42"/>
        <v>0</v>
      </c>
      <c r="S44" s="1436">
        <f t="shared" si="43"/>
        <v>0</v>
      </c>
      <c r="T44" s="1029">
        <f>'[14]FY2012-13 Final'!K45</f>
        <v>10932</v>
      </c>
      <c r="U44" s="1031">
        <f t="shared" si="55"/>
        <v>0</v>
      </c>
      <c r="V44" s="1439">
        <f>'[20]Oct midyear Madison Prep'!E44</f>
        <v>0</v>
      </c>
      <c r="W44" s="1349">
        <f t="shared" si="44"/>
        <v>0</v>
      </c>
      <c r="X44" s="1474">
        <f>'[20]Feb midyear Madison Prep'!E44</f>
        <v>0</v>
      </c>
      <c r="Y44" s="1470">
        <f t="shared" si="45"/>
        <v>0</v>
      </c>
      <c r="Z44" s="1468">
        <f t="shared" si="46"/>
        <v>0</v>
      </c>
      <c r="AA44" s="1031">
        <f t="shared" si="47"/>
        <v>0</v>
      </c>
      <c r="AB44" s="1090">
        <f t="shared" si="48"/>
        <v>0</v>
      </c>
      <c r="AC44" s="1031">
        <f t="shared" si="49"/>
        <v>0</v>
      </c>
      <c r="AD44" s="1448">
        <v>0</v>
      </c>
      <c r="AE44" s="1448">
        <f t="shared" si="50"/>
        <v>0</v>
      </c>
      <c r="AF44" s="1448">
        <v>0</v>
      </c>
      <c r="AG44" s="1448">
        <f t="shared" si="51"/>
        <v>0</v>
      </c>
      <c r="AH44" s="1448">
        <f t="shared" si="52"/>
        <v>0</v>
      </c>
      <c r="AI44" s="1449">
        <f t="shared" si="53"/>
        <v>0</v>
      </c>
      <c r="AJ44" s="1449">
        <f t="shared" si="56"/>
        <v>0</v>
      </c>
      <c r="AL44" s="49">
        <f t="shared" si="57"/>
        <v>0</v>
      </c>
      <c r="AM44" s="49">
        <f>-'[22]Table 5C1A-Madison Prep'!AN44</f>
        <v>0</v>
      </c>
      <c r="AN44" s="49">
        <f>-'[21]Table 5C1A-Madison Prep'!P44</f>
        <v>0</v>
      </c>
      <c r="AO44" s="49">
        <f t="shared" si="54"/>
        <v>0</v>
      </c>
    </row>
    <row r="45" spans="1:41">
      <c r="A45" s="975">
        <v>39</v>
      </c>
      <c r="B45" s="976" t="s">
        <v>140</v>
      </c>
      <c r="C45" s="1171">
        <f>'Table 8 2.1.12 MFP Funded'!T42</f>
        <v>0</v>
      </c>
      <c r="D45" s="984">
        <f>'Table 3 Levels 1&amp;2'!AL46</f>
        <v>3692.59215316156</v>
      </c>
      <c r="E45" s="1074">
        <f t="shared" si="34"/>
        <v>0</v>
      </c>
      <c r="F45" s="1074">
        <f>'Table 5B2_RSD_LA'!F21</f>
        <v>779.65573042776441</v>
      </c>
      <c r="G45" s="1074">
        <f t="shared" si="35"/>
        <v>0</v>
      </c>
      <c r="H45" s="1037">
        <f t="shared" si="36"/>
        <v>0</v>
      </c>
      <c r="I45" s="1417">
        <f>'[1]Oct midyear Madison Prep'!K45</f>
        <v>0</v>
      </c>
      <c r="J45" s="1417">
        <f>'[1]Feb midyear Madison Prep'!K45</f>
        <v>0</v>
      </c>
      <c r="K45" s="1417">
        <f t="shared" si="37"/>
        <v>0</v>
      </c>
      <c r="L45" s="1037">
        <f t="shared" si="38"/>
        <v>0</v>
      </c>
      <c r="M45" s="1084">
        <f t="shared" si="39"/>
        <v>0</v>
      </c>
      <c r="N45" s="1037">
        <f t="shared" si="40"/>
        <v>0</v>
      </c>
      <c r="O45" s="1037">
        <v>0</v>
      </c>
      <c r="P45" s="1037">
        <f t="shared" si="41"/>
        <v>0</v>
      </c>
      <c r="Q45" s="1037">
        <v>0</v>
      </c>
      <c r="R45" s="1436">
        <f t="shared" si="42"/>
        <v>0</v>
      </c>
      <c r="S45" s="1436">
        <f t="shared" si="43"/>
        <v>0</v>
      </c>
      <c r="T45" s="1029">
        <f>'[14]FY2012-13 Final'!K46</f>
        <v>4317</v>
      </c>
      <c r="U45" s="1031">
        <f t="shared" si="55"/>
        <v>0</v>
      </c>
      <c r="V45" s="1439">
        <f>'[20]Oct midyear Madison Prep'!E45</f>
        <v>0</v>
      </c>
      <c r="W45" s="1349">
        <f t="shared" si="44"/>
        <v>0</v>
      </c>
      <c r="X45" s="1474">
        <f>'[20]Feb midyear Madison Prep'!E45</f>
        <v>0</v>
      </c>
      <c r="Y45" s="1470">
        <f t="shared" si="45"/>
        <v>0</v>
      </c>
      <c r="Z45" s="1468">
        <f t="shared" si="46"/>
        <v>0</v>
      </c>
      <c r="AA45" s="1031">
        <f t="shared" si="47"/>
        <v>0</v>
      </c>
      <c r="AB45" s="1090">
        <f t="shared" si="48"/>
        <v>0</v>
      </c>
      <c r="AC45" s="1031">
        <f t="shared" si="49"/>
        <v>0</v>
      </c>
      <c r="AD45" s="1448">
        <v>0</v>
      </c>
      <c r="AE45" s="1448">
        <f t="shared" si="50"/>
        <v>0</v>
      </c>
      <c r="AF45" s="1448">
        <v>0</v>
      </c>
      <c r="AG45" s="1448">
        <f t="shared" si="51"/>
        <v>0</v>
      </c>
      <c r="AH45" s="1448">
        <f t="shared" si="52"/>
        <v>0</v>
      </c>
      <c r="AI45" s="1449">
        <f t="shared" si="53"/>
        <v>0</v>
      </c>
      <c r="AJ45" s="1449">
        <f t="shared" si="56"/>
        <v>0</v>
      </c>
      <c r="AL45" s="49">
        <f t="shared" si="57"/>
        <v>0</v>
      </c>
      <c r="AM45" s="49">
        <f>-'[22]Table 5C1A-Madison Prep'!AN45</f>
        <v>0</v>
      </c>
      <c r="AN45" s="49">
        <f>-'[21]Table 5C1A-Madison Prep'!P45</f>
        <v>0</v>
      </c>
      <c r="AO45" s="49">
        <f t="shared" si="54"/>
        <v>0</v>
      </c>
    </row>
    <row r="46" spans="1:41">
      <c r="A46" s="979">
        <v>40</v>
      </c>
      <c r="B46" s="980" t="s">
        <v>141</v>
      </c>
      <c r="C46" s="1172">
        <f>'Table 8 2.1.12 MFP Funded'!T43</f>
        <v>0</v>
      </c>
      <c r="D46" s="986">
        <f>'Table 3 Levels 1&amp;2'!AL47</f>
        <v>4897.3087815908475</v>
      </c>
      <c r="E46" s="1075">
        <f t="shared" si="34"/>
        <v>0</v>
      </c>
      <c r="F46" s="1075">
        <f>'Table 4 Level 3'!P45</f>
        <v>700.2700000000001</v>
      </c>
      <c r="G46" s="1075">
        <f t="shared" si="35"/>
        <v>0</v>
      </c>
      <c r="H46" s="1038">
        <f t="shared" si="36"/>
        <v>0</v>
      </c>
      <c r="I46" s="1418">
        <f>'[1]Oct midyear Madison Prep'!K46</f>
        <v>0</v>
      </c>
      <c r="J46" s="1418">
        <f>'[1]Feb midyear Madison Prep'!K46</f>
        <v>0</v>
      </c>
      <c r="K46" s="1418">
        <f t="shared" si="37"/>
        <v>0</v>
      </c>
      <c r="L46" s="1038">
        <f t="shared" si="38"/>
        <v>0</v>
      </c>
      <c r="M46" s="1085">
        <f t="shared" si="39"/>
        <v>0</v>
      </c>
      <c r="N46" s="1038">
        <f t="shared" si="40"/>
        <v>0</v>
      </c>
      <c r="O46" s="1038">
        <v>0</v>
      </c>
      <c r="P46" s="1038">
        <f t="shared" si="41"/>
        <v>0</v>
      </c>
      <c r="Q46" s="1038">
        <v>0</v>
      </c>
      <c r="R46" s="1437">
        <f t="shared" si="42"/>
        <v>0</v>
      </c>
      <c r="S46" s="1437">
        <f t="shared" si="43"/>
        <v>0</v>
      </c>
      <c r="T46" s="1034">
        <f>'[14]FY2012-13 Final'!K47</f>
        <v>2932</v>
      </c>
      <c r="U46" s="1035">
        <f t="shared" si="55"/>
        <v>0</v>
      </c>
      <c r="V46" s="1440">
        <f>'[20]Oct midyear Madison Prep'!E46</f>
        <v>0</v>
      </c>
      <c r="W46" s="1350">
        <f t="shared" si="44"/>
        <v>0</v>
      </c>
      <c r="X46" s="1475">
        <f>'[20]Feb midyear Madison Prep'!E46</f>
        <v>0</v>
      </c>
      <c r="Y46" s="1471">
        <f t="shared" si="45"/>
        <v>0</v>
      </c>
      <c r="Z46" s="1469">
        <f t="shared" si="46"/>
        <v>0</v>
      </c>
      <c r="AA46" s="1035">
        <f t="shared" si="47"/>
        <v>0</v>
      </c>
      <c r="AB46" s="1091">
        <f t="shared" si="48"/>
        <v>0</v>
      </c>
      <c r="AC46" s="1035">
        <f t="shared" si="49"/>
        <v>0</v>
      </c>
      <c r="AD46" s="1450">
        <v>0</v>
      </c>
      <c r="AE46" s="1450">
        <f t="shared" si="50"/>
        <v>0</v>
      </c>
      <c r="AF46" s="1450">
        <v>0</v>
      </c>
      <c r="AG46" s="1450">
        <f t="shared" si="51"/>
        <v>0</v>
      </c>
      <c r="AH46" s="1450">
        <f t="shared" si="52"/>
        <v>0</v>
      </c>
      <c r="AI46" s="1451">
        <f t="shared" si="53"/>
        <v>0</v>
      </c>
      <c r="AJ46" s="1451">
        <f t="shared" si="56"/>
        <v>0</v>
      </c>
      <c r="AL46" s="49">
        <f t="shared" si="57"/>
        <v>0</v>
      </c>
      <c r="AM46" s="49">
        <f>-'[22]Table 5C1A-Madison Prep'!AN46</f>
        <v>0</v>
      </c>
      <c r="AN46" s="49">
        <f>-'[21]Table 5C1A-Madison Prep'!P46</f>
        <v>0</v>
      </c>
      <c r="AO46" s="49">
        <f t="shared" si="54"/>
        <v>0</v>
      </c>
    </row>
    <row r="47" spans="1:41">
      <c r="A47" s="968">
        <v>41</v>
      </c>
      <c r="B47" s="969" t="s">
        <v>142</v>
      </c>
      <c r="C47" s="1173">
        <f>'Table 8 2.1.12 MFP Funded'!T44</f>
        <v>0</v>
      </c>
      <c r="D47" s="988">
        <f>'Table 3 Levels 1&amp;2'!AL48</f>
        <v>1613.0487891737891</v>
      </c>
      <c r="E47" s="1076">
        <f t="shared" si="34"/>
        <v>0</v>
      </c>
      <c r="F47" s="1076">
        <f>'Table 4 Level 3'!P46</f>
        <v>886.22</v>
      </c>
      <c r="G47" s="1076">
        <f t="shared" si="35"/>
        <v>0</v>
      </c>
      <c r="H47" s="1039">
        <f t="shared" si="36"/>
        <v>0</v>
      </c>
      <c r="I47" s="1419">
        <f>'[1]Oct midyear Madison Prep'!K47</f>
        <v>0</v>
      </c>
      <c r="J47" s="1419">
        <f>'[1]Feb midyear Madison Prep'!K47</f>
        <v>0</v>
      </c>
      <c r="K47" s="1419">
        <f t="shared" si="37"/>
        <v>0</v>
      </c>
      <c r="L47" s="1039">
        <f t="shared" si="38"/>
        <v>0</v>
      </c>
      <c r="M47" s="1086">
        <f t="shared" si="39"/>
        <v>0</v>
      </c>
      <c r="N47" s="1039">
        <f t="shared" si="40"/>
        <v>0</v>
      </c>
      <c r="O47" s="1039">
        <v>0</v>
      </c>
      <c r="P47" s="1039">
        <f t="shared" si="41"/>
        <v>0</v>
      </c>
      <c r="Q47" s="1039">
        <v>0</v>
      </c>
      <c r="R47" s="1211">
        <f t="shared" si="42"/>
        <v>0</v>
      </c>
      <c r="S47" s="1211">
        <f t="shared" si="43"/>
        <v>0</v>
      </c>
      <c r="T47" s="1029">
        <f>'[14]FY2012-13 Final'!K48</f>
        <v>12026</v>
      </c>
      <c r="U47" s="973">
        <f t="shared" si="55"/>
        <v>0</v>
      </c>
      <c r="V47" s="1441">
        <f>'[20]Oct midyear Madison Prep'!E47</f>
        <v>0</v>
      </c>
      <c r="W47" s="1348">
        <f t="shared" si="44"/>
        <v>0</v>
      </c>
      <c r="X47" s="1466">
        <f>'[20]Feb midyear Madison Prep'!E47</f>
        <v>0</v>
      </c>
      <c r="Y47" s="1444">
        <f t="shared" si="45"/>
        <v>0</v>
      </c>
      <c r="Z47" s="1348">
        <f t="shared" si="46"/>
        <v>0</v>
      </c>
      <c r="AA47" s="973">
        <f t="shared" si="47"/>
        <v>0</v>
      </c>
      <c r="AB47" s="1089">
        <f t="shared" si="48"/>
        <v>0</v>
      </c>
      <c r="AC47" s="973">
        <f t="shared" si="49"/>
        <v>0</v>
      </c>
      <c r="AD47" s="1214">
        <v>0</v>
      </c>
      <c r="AE47" s="1214">
        <f t="shared" si="50"/>
        <v>0</v>
      </c>
      <c r="AF47" s="1214">
        <v>0</v>
      </c>
      <c r="AG47" s="1214">
        <f t="shared" si="51"/>
        <v>0</v>
      </c>
      <c r="AH47" s="1214">
        <f t="shared" si="52"/>
        <v>0</v>
      </c>
      <c r="AI47" s="1447">
        <f t="shared" si="53"/>
        <v>0</v>
      </c>
      <c r="AJ47" s="1447">
        <f t="shared" si="56"/>
        <v>0</v>
      </c>
      <c r="AL47" s="49">
        <f t="shared" si="57"/>
        <v>0</v>
      </c>
      <c r="AM47" s="49">
        <f>-'[22]Table 5C1A-Madison Prep'!AN47</f>
        <v>0</v>
      </c>
      <c r="AN47" s="49">
        <f>-'[21]Table 5C1A-Madison Prep'!P47</f>
        <v>0</v>
      </c>
      <c r="AO47" s="49">
        <f t="shared" si="54"/>
        <v>0</v>
      </c>
    </row>
    <row r="48" spans="1:41">
      <c r="A48" s="975">
        <v>42</v>
      </c>
      <c r="B48" s="976" t="s">
        <v>143</v>
      </c>
      <c r="C48" s="1171">
        <f>'Table 8 2.1.12 MFP Funded'!T45</f>
        <v>0</v>
      </c>
      <c r="D48" s="984">
        <f>'Table 3 Levels 1&amp;2'!AL49</f>
        <v>5259.3837602759822</v>
      </c>
      <c r="E48" s="1074">
        <f t="shared" si="34"/>
        <v>0</v>
      </c>
      <c r="F48" s="1074">
        <f>'Table 4 Level 3'!P47</f>
        <v>534.28</v>
      </c>
      <c r="G48" s="1074">
        <f t="shared" si="35"/>
        <v>0</v>
      </c>
      <c r="H48" s="1037">
        <f t="shared" si="36"/>
        <v>0</v>
      </c>
      <c r="I48" s="1417">
        <f>'[1]Oct midyear Madison Prep'!K48</f>
        <v>0</v>
      </c>
      <c r="J48" s="1417">
        <f>'[1]Feb midyear Madison Prep'!K48</f>
        <v>0</v>
      </c>
      <c r="K48" s="1417">
        <f t="shared" si="37"/>
        <v>0</v>
      </c>
      <c r="L48" s="1037">
        <f t="shared" si="38"/>
        <v>0</v>
      </c>
      <c r="M48" s="1084">
        <f t="shared" si="39"/>
        <v>0</v>
      </c>
      <c r="N48" s="1037">
        <f t="shared" si="40"/>
        <v>0</v>
      </c>
      <c r="O48" s="1037">
        <v>0</v>
      </c>
      <c r="P48" s="1037">
        <f t="shared" si="41"/>
        <v>0</v>
      </c>
      <c r="Q48" s="1037">
        <v>0</v>
      </c>
      <c r="R48" s="1436">
        <f t="shared" si="42"/>
        <v>0</v>
      </c>
      <c r="S48" s="1436">
        <f t="shared" si="43"/>
        <v>0</v>
      </c>
      <c r="T48" s="1029">
        <f>'[14]FY2012-13 Final'!K49</f>
        <v>2881</v>
      </c>
      <c r="U48" s="1031">
        <f t="shared" si="55"/>
        <v>0</v>
      </c>
      <c r="V48" s="1439">
        <f>'[20]Oct midyear Madison Prep'!E48</f>
        <v>0</v>
      </c>
      <c r="W48" s="1349">
        <f t="shared" si="44"/>
        <v>0</v>
      </c>
      <c r="X48" s="1474">
        <f>'[20]Feb midyear Madison Prep'!E48</f>
        <v>0</v>
      </c>
      <c r="Y48" s="1470">
        <f t="shared" si="45"/>
        <v>0</v>
      </c>
      <c r="Z48" s="1468">
        <f t="shared" si="46"/>
        <v>0</v>
      </c>
      <c r="AA48" s="1031">
        <f t="shared" si="47"/>
        <v>0</v>
      </c>
      <c r="AB48" s="1090">
        <f t="shared" si="48"/>
        <v>0</v>
      </c>
      <c r="AC48" s="1031">
        <f t="shared" si="49"/>
        <v>0</v>
      </c>
      <c r="AD48" s="1448">
        <v>0</v>
      </c>
      <c r="AE48" s="1448">
        <f t="shared" si="50"/>
        <v>0</v>
      </c>
      <c r="AF48" s="1448">
        <v>0</v>
      </c>
      <c r="AG48" s="1448">
        <f t="shared" si="51"/>
        <v>0</v>
      </c>
      <c r="AH48" s="1448">
        <f t="shared" si="52"/>
        <v>0</v>
      </c>
      <c r="AI48" s="1449">
        <f t="shared" si="53"/>
        <v>0</v>
      </c>
      <c r="AJ48" s="1449">
        <f t="shared" si="56"/>
        <v>0</v>
      </c>
      <c r="AL48" s="49">
        <f t="shared" si="57"/>
        <v>0</v>
      </c>
      <c r="AM48" s="49">
        <f>-'[22]Table 5C1A-Madison Prep'!AN48</f>
        <v>0</v>
      </c>
      <c r="AN48" s="49">
        <f>-'[21]Table 5C1A-Madison Prep'!P48</f>
        <v>0</v>
      </c>
      <c r="AO48" s="49">
        <f t="shared" si="54"/>
        <v>0</v>
      </c>
    </row>
    <row r="49" spans="1:41">
      <c r="A49" s="975">
        <v>43</v>
      </c>
      <c r="B49" s="976" t="s">
        <v>144</v>
      </c>
      <c r="C49" s="1171">
        <f>'Table 8 2.1.12 MFP Funded'!T46</f>
        <v>0</v>
      </c>
      <c r="D49" s="984">
        <f>'Table 3 Levels 1&amp;2'!AL50</f>
        <v>5602.7225412254893</v>
      </c>
      <c r="E49" s="1074">
        <f t="shared" si="34"/>
        <v>0</v>
      </c>
      <c r="F49" s="1074">
        <f>'Table 4 Level 3'!P48</f>
        <v>574.6099999999999</v>
      </c>
      <c r="G49" s="1074">
        <f t="shared" si="35"/>
        <v>0</v>
      </c>
      <c r="H49" s="1037">
        <f t="shared" si="36"/>
        <v>0</v>
      </c>
      <c r="I49" s="1417">
        <f>'[1]Oct midyear Madison Prep'!K49</f>
        <v>0</v>
      </c>
      <c r="J49" s="1417">
        <f>'[1]Feb midyear Madison Prep'!K49</f>
        <v>0</v>
      </c>
      <c r="K49" s="1417">
        <f t="shared" si="37"/>
        <v>0</v>
      </c>
      <c r="L49" s="1037">
        <f t="shared" si="38"/>
        <v>0</v>
      </c>
      <c r="M49" s="1084">
        <f t="shared" si="39"/>
        <v>0</v>
      </c>
      <c r="N49" s="1037">
        <f t="shared" si="40"/>
        <v>0</v>
      </c>
      <c r="O49" s="1037">
        <v>0</v>
      </c>
      <c r="P49" s="1037">
        <f t="shared" si="41"/>
        <v>0</v>
      </c>
      <c r="Q49" s="1037">
        <v>0</v>
      </c>
      <c r="R49" s="1436">
        <f t="shared" si="42"/>
        <v>0</v>
      </c>
      <c r="S49" s="1436">
        <f t="shared" si="43"/>
        <v>0</v>
      </c>
      <c r="T49" s="1029">
        <f>'[14]FY2012-13 Final'!K50</f>
        <v>5270</v>
      </c>
      <c r="U49" s="1031">
        <f t="shared" si="55"/>
        <v>0</v>
      </c>
      <c r="V49" s="1439">
        <f>'[20]Oct midyear Madison Prep'!E49</f>
        <v>0</v>
      </c>
      <c r="W49" s="1349">
        <f t="shared" si="44"/>
        <v>0</v>
      </c>
      <c r="X49" s="1474">
        <f>'[20]Feb midyear Madison Prep'!E49</f>
        <v>0</v>
      </c>
      <c r="Y49" s="1470">
        <f t="shared" si="45"/>
        <v>0</v>
      </c>
      <c r="Z49" s="1468">
        <f t="shared" si="46"/>
        <v>0</v>
      </c>
      <c r="AA49" s="1031">
        <f t="shared" si="47"/>
        <v>0</v>
      </c>
      <c r="AB49" s="1090">
        <f t="shared" si="48"/>
        <v>0</v>
      </c>
      <c r="AC49" s="1031">
        <f t="shared" si="49"/>
        <v>0</v>
      </c>
      <c r="AD49" s="1448">
        <v>0</v>
      </c>
      <c r="AE49" s="1448">
        <f t="shared" si="50"/>
        <v>0</v>
      </c>
      <c r="AF49" s="1448">
        <v>0</v>
      </c>
      <c r="AG49" s="1448">
        <f t="shared" si="51"/>
        <v>0</v>
      </c>
      <c r="AH49" s="1448">
        <f t="shared" si="52"/>
        <v>0</v>
      </c>
      <c r="AI49" s="1449">
        <f t="shared" si="53"/>
        <v>0</v>
      </c>
      <c r="AJ49" s="1449">
        <f t="shared" si="56"/>
        <v>0</v>
      </c>
      <c r="AL49" s="49">
        <f t="shared" si="57"/>
        <v>0</v>
      </c>
      <c r="AM49" s="49">
        <f>-'[22]Table 5C1A-Madison Prep'!AN49</f>
        <v>0</v>
      </c>
      <c r="AN49" s="49">
        <f>-'[21]Table 5C1A-Madison Prep'!P49</f>
        <v>0</v>
      </c>
      <c r="AO49" s="49">
        <f t="shared" si="54"/>
        <v>0</v>
      </c>
    </row>
    <row r="50" spans="1:41">
      <c r="A50" s="975">
        <v>44</v>
      </c>
      <c r="B50" s="976" t="s">
        <v>145</v>
      </c>
      <c r="C50" s="1171">
        <f>'Table 8 2.1.12 MFP Funded'!T47</f>
        <v>0</v>
      </c>
      <c r="D50" s="984">
        <f>'Table 3 Levels 1&amp;2'!AL51</f>
        <v>4123.0310925034155</v>
      </c>
      <c r="E50" s="1074">
        <f t="shared" si="34"/>
        <v>0</v>
      </c>
      <c r="F50" s="1074">
        <f>'Table 4 Level 3'!P49</f>
        <v>663.16000000000008</v>
      </c>
      <c r="G50" s="1074">
        <f t="shared" si="35"/>
        <v>0</v>
      </c>
      <c r="H50" s="1037">
        <f t="shared" si="36"/>
        <v>0</v>
      </c>
      <c r="I50" s="1417">
        <f>'[1]Oct midyear Madison Prep'!K50</f>
        <v>0</v>
      </c>
      <c r="J50" s="1417">
        <f>'[1]Feb midyear Madison Prep'!K50</f>
        <v>0</v>
      </c>
      <c r="K50" s="1417">
        <f t="shared" si="37"/>
        <v>0</v>
      </c>
      <c r="L50" s="1037">
        <f t="shared" si="38"/>
        <v>0</v>
      </c>
      <c r="M50" s="1084">
        <f t="shared" si="39"/>
        <v>0</v>
      </c>
      <c r="N50" s="1037">
        <f t="shared" si="40"/>
        <v>0</v>
      </c>
      <c r="O50" s="1037">
        <v>0</v>
      </c>
      <c r="P50" s="1037">
        <f t="shared" si="41"/>
        <v>0</v>
      </c>
      <c r="Q50" s="1037">
        <v>0</v>
      </c>
      <c r="R50" s="1436">
        <f t="shared" si="42"/>
        <v>0</v>
      </c>
      <c r="S50" s="1436">
        <f t="shared" si="43"/>
        <v>0</v>
      </c>
      <c r="T50" s="1029">
        <f>'[14]FY2012-13 Final'!K51</f>
        <v>4133</v>
      </c>
      <c r="U50" s="1031">
        <f t="shared" si="55"/>
        <v>0</v>
      </c>
      <c r="V50" s="1439">
        <f>'[20]Oct midyear Madison Prep'!E50</f>
        <v>0</v>
      </c>
      <c r="W50" s="1349">
        <f t="shared" si="44"/>
        <v>0</v>
      </c>
      <c r="X50" s="1474">
        <f>'[20]Feb midyear Madison Prep'!E50</f>
        <v>0</v>
      </c>
      <c r="Y50" s="1470">
        <f t="shared" si="45"/>
        <v>0</v>
      </c>
      <c r="Z50" s="1468">
        <f t="shared" si="46"/>
        <v>0</v>
      </c>
      <c r="AA50" s="1031">
        <f t="shared" si="47"/>
        <v>0</v>
      </c>
      <c r="AB50" s="1090">
        <f t="shared" si="48"/>
        <v>0</v>
      </c>
      <c r="AC50" s="1031">
        <f t="shared" si="49"/>
        <v>0</v>
      </c>
      <c r="AD50" s="1448">
        <v>0</v>
      </c>
      <c r="AE50" s="1448">
        <f t="shared" si="50"/>
        <v>0</v>
      </c>
      <c r="AF50" s="1448">
        <v>0</v>
      </c>
      <c r="AG50" s="1448">
        <f t="shared" si="51"/>
        <v>0</v>
      </c>
      <c r="AH50" s="1448">
        <f t="shared" si="52"/>
        <v>0</v>
      </c>
      <c r="AI50" s="1449">
        <f t="shared" si="53"/>
        <v>0</v>
      </c>
      <c r="AJ50" s="1449">
        <f t="shared" si="56"/>
        <v>0</v>
      </c>
      <c r="AL50" s="49">
        <f t="shared" si="57"/>
        <v>0</v>
      </c>
      <c r="AM50" s="49">
        <f>-'[22]Table 5C1A-Madison Prep'!AN50</f>
        <v>0</v>
      </c>
      <c r="AN50" s="49">
        <f>-'[21]Table 5C1A-Madison Prep'!P50</f>
        <v>0</v>
      </c>
      <c r="AO50" s="49">
        <f t="shared" si="54"/>
        <v>0</v>
      </c>
    </row>
    <row r="51" spans="1:41">
      <c r="A51" s="979">
        <v>45</v>
      </c>
      <c r="B51" s="980" t="s">
        <v>146</v>
      </c>
      <c r="C51" s="1172">
        <f>'Table 8 2.1.12 MFP Funded'!T48</f>
        <v>0</v>
      </c>
      <c r="D51" s="986">
        <f>'Table 3 Levels 1&amp;2'!AL52</f>
        <v>2428.6757675555082</v>
      </c>
      <c r="E51" s="1075">
        <f t="shared" si="34"/>
        <v>0</v>
      </c>
      <c r="F51" s="1075">
        <f>'Table 4 Level 3'!P50</f>
        <v>753.96000000000015</v>
      </c>
      <c r="G51" s="1075">
        <f t="shared" si="35"/>
        <v>0</v>
      </c>
      <c r="H51" s="1038">
        <f t="shared" si="36"/>
        <v>0</v>
      </c>
      <c r="I51" s="1418">
        <f>'[1]Oct midyear Madison Prep'!K51</f>
        <v>0</v>
      </c>
      <c r="J51" s="1418">
        <f>'[1]Feb midyear Madison Prep'!K51</f>
        <v>0</v>
      </c>
      <c r="K51" s="1418">
        <f t="shared" si="37"/>
        <v>0</v>
      </c>
      <c r="L51" s="1038">
        <f t="shared" si="38"/>
        <v>0</v>
      </c>
      <c r="M51" s="1085">
        <f t="shared" si="39"/>
        <v>0</v>
      </c>
      <c r="N51" s="1038">
        <f t="shared" si="40"/>
        <v>0</v>
      </c>
      <c r="O51" s="1038">
        <v>0</v>
      </c>
      <c r="P51" s="1038">
        <f t="shared" si="41"/>
        <v>0</v>
      </c>
      <c r="Q51" s="1038">
        <v>0</v>
      </c>
      <c r="R51" s="1437">
        <f t="shared" si="42"/>
        <v>0</v>
      </c>
      <c r="S51" s="1437">
        <f t="shared" si="43"/>
        <v>0</v>
      </c>
      <c r="T51" s="1034">
        <f>'[14]FY2012-13 Final'!K52</f>
        <v>12446</v>
      </c>
      <c r="U51" s="1035">
        <f t="shared" si="55"/>
        <v>0</v>
      </c>
      <c r="V51" s="1440">
        <f>'[20]Oct midyear Madison Prep'!E51</f>
        <v>0</v>
      </c>
      <c r="W51" s="1350">
        <f t="shared" si="44"/>
        <v>0</v>
      </c>
      <c r="X51" s="1475">
        <f>'[20]Feb midyear Madison Prep'!E51</f>
        <v>0</v>
      </c>
      <c r="Y51" s="1471">
        <f t="shared" si="45"/>
        <v>0</v>
      </c>
      <c r="Z51" s="1469">
        <f t="shared" si="46"/>
        <v>0</v>
      </c>
      <c r="AA51" s="1035">
        <f t="shared" si="47"/>
        <v>0</v>
      </c>
      <c r="AB51" s="1091">
        <f t="shared" si="48"/>
        <v>0</v>
      </c>
      <c r="AC51" s="1035">
        <f t="shared" si="49"/>
        <v>0</v>
      </c>
      <c r="AD51" s="1450">
        <v>0</v>
      </c>
      <c r="AE51" s="1450">
        <f t="shared" si="50"/>
        <v>0</v>
      </c>
      <c r="AF51" s="1450">
        <v>0</v>
      </c>
      <c r="AG51" s="1450">
        <f t="shared" si="51"/>
        <v>0</v>
      </c>
      <c r="AH51" s="1450">
        <f t="shared" si="52"/>
        <v>0</v>
      </c>
      <c r="AI51" s="1451">
        <f t="shared" si="53"/>
        <v>0</v>
      </c>
      <c r="AJ51" s="1451">
        <f t="shared" si="56"/>
        <v>0</v>
      </c>
      <c r="AL51" s="49">
        <f t="shared" si="57"/>
        <v>0</v>
      </c>
      <c r="AM51" s="49">
        <f>-'[22]Table 5C1A-Madison Prep'!AN51</f>
        <v>0</v>
      </c>
      <c r="AN51" s="49">
        <f>-'[21]Table 5C1A-Madison Prep'!P51</f>
        <v>0</v>
      </c>
      <c r="AO51" s="49">
        <f t="shared" si="54"/>
        <v>0</v>
      </c>
    </row>
    <row r="52" spans="1:41">
      <c r="A52" s="968">
        <v>46</v>
      </c>
      <c r="B52" s="969" t="s">
        <v>147</v>
      </c>
      <c r="C52" s="1173">
        <f>'Table 8 2.1.12 MFP Funded'!T49</f>
        <v>0</v>
      </c>
      <c r="D52" s="988">
        <f>'Table 3 Levels 1&amp;2'!AL53</f>
        <v>5783.612845780598</v>
      </c>
      <c r="E52" s="1076">
        <f t="shared" si="34"/>
        <v>0</v>
      </c>
      <c r="F52" s="1076">
        <f>'Table 4 Level 3'!P51</f>
        <v>728.06</v>
      </c>
      <c r="G52" s="1076">
        <f t="shared" si="35"/>
        <v>0</v>
      </c>
      <c r="H52" s="1039">
        <f t="shared" si="36"/>
        <v>0</v>
      </c>
      <c r="I52" s="1419">
        <f>'[1]Oct midyear Madison Prep'!K52</f>
        <v>0</v>
      </c>
      <c r="J52" s="1419">
        <f>'[1]Feb midyear Madison Prep'!K52</f>
        <v>0</v>
      </c>
      <c r="K52" s="1419">
        <f t="shared" si="37"/>
        <v>0</v>
      </c>
      <c r="L52" s="1039">
        <f t="shared" si="38"/>
        <v>0</v>
      </c>
      <c r="M52" s="1086">
        <f t="shared" si="39"/>
        <v>0</v>
      </c>
      <c r="N52" s="1039">
        <f t="shared" si="40"/>
        <v>0</v>
      </c>
      <c r="O52" s="1039">
        <v>0</v>
      </c>
      <c r="P52" s="1039">
        <f t="shared" si="41"/>
        <v>0</v>
      </c>
      <c r="Q52" s="1039">
        <v>0</v>
      </c>
      <c r="R52" s="1211">
        <f t="shared" si="42"/>
        <v>0</v>
      </c>
      <c r="S52" s="1211">
        <f t="shared" si="43"/>
        <v>0</v>
      </c>
      <c r="T52" s="1029">
        <f>'[14]FY2012-13 Final'!K53</f>
        <v>1976</v>
      </c>
      <c r="U52" s="973">
        <f t="shared" si="55"/>
        <v>0</v>
      </c>
      <c r="V52" s="1441">
        <f>'[20]Oct midyear Madison Prep'!E52</f>
        <v>0</v>
      </c>
      <c r="W52" s="1444">
        <f t="shared" si="44"/>
        <v>0</v>
      </c>
      <c r="X52" s="1466">
        <f>'[20]Feb midyear Madison Prep'!E52</f>
        <v>0</v>
      </c>
      <c r="Y52" s="1444">
        <f t="shared" si="45"/>
        <v>0</v>
      </c>
      <c r="Z52" s="1444">
        <f t="shared" si="46"/>
        <v>0</v>
      </c>
      <c r="AA52" s="973">
        <f t="shared" si="47"/>
        <v>0</v>
      </c>
      <c r="AB52" s="1089">
        <f t="shared" si="48"/>
        <v>0</v>
      </c>
      <c r="AC52" s="973">
        <f t="shared" si="49"/>
        <v>0</v>
      </c>
      <c r="AD52" s="1214">
        <v>0</v>
      </c>
      <c r="AE52" s="1214">
        <f t="shared" si="50"/>
        <v>0</v>
      </c>
      <c r="AF52" s="1214">
        <v>0</v>
      </c>
      <c r="AG52" s="1214">
        <f t="shared" si="51"/>
        <v>0</v>
      </c>
      <c r="AH52" s="1214">
        <f t="shared" si="52"/>
        <v>0</v>
      </c>
      <c r="AI52" s="1447">
        <f t="shared" si="53"/>
        <v>0</v>
      </c>
      <c r="AJ52" s="1447">
        <f t="shared" si="56"/>
        <v>0</v>
      </c>
      <c r="AL52" s="49">
        <f t="shared" si="57"/>
        <v>0</v>
      </c>
      <c r="AM52" s="49">
        <f>-'[22]Table 5C1A-Madison Prep'!AN52</f>
        <v>0</v>
      </c>
      <c r="AN52" s="49">
        <f>-'[21]Table 5C1A-Madison Prep'!P52</f>
        <v>0</v>
      </c>
      <c r="AO52" s="49">
        <f t="shared" si="54"/>
        <v>0</v>
      </c>
    </row>
    <row r="53" spans="1:41">
      <c r="A53" s="975">
        <v>47</v>
      </c>
      <c r="B53" s="976" t="s">
        <v>148</v>
      </c>
      <c r="C53" s="1171">
        <f>'Table 8 2.1.12 MFP Funded'!T50</f>
        <v>0</v>
      </c>
      <c r="D53" s="984">
        <f>'Table 3 Levels 1&amp;2'!AL54</f>
        <v>3209.8138023141523</v>
      </c>
      <c r="E53" s="1074">
        <f t="shared" si="34"/>
        <v>0</v>
      </c>
      <c r="F53" s="1074">
        <f>'Table 4 Level 3'!P52</f>
        <v>910.76</v>
      </c>
      <c r="G53" s="1074">
        <f t="shared" si="35"/>
        <v>0</v>
      </c>
      <c r="H53" s="1037">
        <f t="shared" si="36"/>
        <v>0</v>
      </c>
      <c r="I53" s="1417">
        <f>'[1]Oct midyear Madison Prep'!K53</f>
        <v>0</v>
      </c>
      <c r="J53" s="1417">
        <f>'[1]Feb midyear Madison Prep'!K53</f>
        <v>0</v>
      </c>
      <c r="K53" s="1417">
        <f t="shared" si="37"/>
        <v>0</v>
      </c>
      <c r="L53" s="1037">
        <f t="shared" si="38"/>
        <v>0</v>
      </c>
      <c r="M53" s="1084">
        <f t="shared" si="39"/>
        <v>0</v>
      </c>
      <c r="N53" s="1037">
        <f t="shared" si="40"/>
        <v>0</v>
      </c>
      <c r="O53" s="1037">
        <v>0</v>
      </c>
      <c r="P53" s="1037">
        <f t="shared" si="41"/>
        <v>0</v>
      </c>
      <c r="Q53" s="1037">
        <v>0</v>
      </c>
      <c r="R53" s="1436">
        <f t="shared" si="42"/>
        <v>0</v>
      </c>
      <c r="S53" s="1436">
        <f t="shared" si="43"/>
        <v>0</v>
      </c>
      <c r="T53" s="1029">
        <f>'[14]FY2012-13 Final'!K54</f>
        <v>10067</v>
      </c>
      <c r="U53" s="1031">
        <f t="shared" si="55"/>
        <v>0</v>
      </c>
      <c r="V53" s="1439">
        <f>'[20]Oct midyear Madison Prep'!E53</f>
        <v>0</v>
      </c>
      <c r="W53" s="1443">
        <f t="shared" si="44"/>
        <v>0</v>
      </c>
      <c r="X53" s="1474">
        <f>'[20]Feb midyear Madison Prep'!E53</f>
        <v>0</v>
      </c>
      <c r="Y53" s="1470">
        <f t="shared" si="45"/>
        <v>0</v>
      </c>
      <c r="Z53" s="1470">
        <f t="shared" si="46"/>
        <v>0</v>
      </c>
      <c r="AA53" s="1031">
        <f t="shared" si="47"/>
        <v>0</v>
      </c>
      <c r="AB53" s="1090">
        <f t="shared" si="48"/>
        <v>0</v>
      </c>
      <c r="AC53" s="1031">
        <f t="shared" si="49"/>
        <v>0</v>
      </c>
      <c r="AD53" s="1448">
        <v>0</v>
      </c>
      <c r="AE53" s="1448">
        <f t="shared" si="50"/>
        <v>0</v>
      </c>
      <c r="AF53" s="1448">
        <v>0</v>
      </c>
      <c r="AG53" s="1448">
        <f t="shared" si="51"/>
        <v>0</v>
      </c>
      <c r="AH53" s="1448">
        <f t="shared" si="52"/>
        <v>0</v>
      </c>
      <c r="AI53" s="1449">
        <f t="shared" si="53"/>
        <v>0</v>
      </c>
      <c r="AJ53" s="1449">
        <f t="shared" si="56"/>
        <v>0</v>
      </c>
      <c r="AL53" s="49">
        <f t="shared" si="57"/>
        <v>0</v>
      </c>
      <c r="AM53" s="49">
        <f>-'[22]Table 5C1A-Madison Prep'!AN53</f>
        <v>0</v>
      </c>
      <c r="AN53" s="49">
        <f>-'[21]Table 5C1A-Madison Prep'!P53</f>
        <v>0</v>
      </c>
      <c r="AO53" s="49">
        <f t="shared" si="54"/>
        <v>0</v>
      </c>
    </row>
    <row r="54" spans="1:41">
      <c r="A54" s="975">
        <v>48</v>
      </c>
      <c r="B54" s="976" t="s">
        <v>217</v>
      </c>
      <c r="C54" s="1171">
        <f>'Table 8 2.1.12 MFP Funded'!T51</f>
        <v>0</v>
      </c>
      <c r="D54" s="984">
        <f>'Table 3 Levels 1&amp;2'!AL55</f>
        <v>4278.1956772731837</v>
      </c>
      <c r="E54" s="1074">
        <f t="shared" si="34"/>
        <v>0</v>
      </c>
      <c r="F54" s="1074">
        <f>'Table 4 Level 3'!P53</f>
        <v>871.07</v>
      </c>
      <c r="G54" s="1074">
        <f t="shared" si="35"/>
        <v>0</v>
      </c>
      <c r="H54" s="1037">
        <f t="shared" si="36"/>
        <v>0</v>
      </c>
      <c r="I54" s="1417">
        <f>'[1]Oct midyear Madison Prep'!K54</f>
        <v>0</v>
      </c>
      <c r="J54" s="1417">
        <f>'[1]Feb midyear Madison Prep'!K54</f>
        <v>0</v>
      </c>
      <c r="K54" s="1417">
        <f t="shared" si="37"/>
        <v>0</v>
      </c>
      <c r="L54" s="1037">
        <f t="shared" si="38"/>
        <v>0</v>
      </c>
      <c r="M54" s="1084">
        <f t="shared" si="39"/>
        <v>0</v>
      </c>
      <c r="N54" s="1037">
        <f t="shared" si="40"/>
        <v>0</v>
      </c>
      <c r="O54" s="1037">
        <v>0</v>
      </c>
      <c r="P54" s="1037">
        <f t="shared" si="41"/>
        <v>0</v>
      </c>
      <c r="Q54" s="1037">
        <v>0</v>
      </c>
      <c r="R54" s="1436">
        <f t="shared" si="42"/>
        <v>0</v>
      </c>
      <c r="S54" s="1436">
        <f t="shared" si="43"/>
        <v>0</v>
      </c>
      <c r="T54" s="1029">
        <f>'[14]FY2012-13 Final'!K55</f>
        <v>5849</v>
      </c>
      <c r="U54" s="1031">
        <f t="shared" si="55"/>
        <v>0</v>
      </c>
      <c r="V54" s="1439">
        <f>'[20]Oct midyear Madison Prep'!E54</f>
        <v>0</v>
      </c>
      <c r="W54" s="1443">
        <f t="shared" si="44"/>
        <v>0</v>
      </c>
      <c r="X54" s="1474">
        <f>'[20]Feb midyear Madison Prep'!E54</f>
        <v>0</v>
      </c>
      <c r="Y54" s="1470">
        <f t="shared" si="45"/>
        <v>0</v>
      </c>
      <c r="Z54" s="1470">
        <f t="shared" si="46"/>
        <v>0</v>
      </c>
      <c r="AA54" s="1031">
        <f t="shared" si="47"/>
        <v>0</v>
      </c>
      <c r="AB54" s="1090">
        <f t="shared" si="48"/>
        <v>0</v>
      </c>
      <c r="AC54" s="1031">
        <f t="shared" si="49"/>
        <v>0</v>
      </c>
      <c r="AD54" s="1448">
        <v>0</v>
      </c>
      <c r="AE54" s="1448">
        <f t="shared" si="50"/>
        <v>0</v>
      </c>
      <c r="AF54" s="1448">
        <v>0</v>
      </c>
      <c r="AG54" s="1448">
        <f t="shared" si="51"/>
        <v>0</v>
      </c>
      <c r="AH54" s="1448">
        <f t="shared" si="52"/>
        <v>0</v>
      </c>
      <c r="AI54" s="1449">
        <f t="shared" si="53"/>
        <v>0</v>
      </c>
      <c r="AJ54" s="1449">
        <f t="shared" si="56"/>
        <v>0</v>
      </c>
      <c r="AL54" s="49">
        <f t="shared" si="57"/>
        <v>0</v>
      </c>
      <c r="AM54" s="49">
        <f>-'[22]Table 5C1A-Madison Prep'!AN54</f>
        <v>0</v>
      </c>
      <c r="AN54" s="49">
        <f>-'[21]Table 5C1A-Madison Prep'!P54</f>
        <v>0</v>
      </c>
      <c r="AO54" s="49">
        <f t="shared" si="54"/>
        <v>0</v>
      </c>
    </row>
    <row r="55" spans="1:41">
      <c r="A55" s="975">
        <v>49</v>
      </c>
      <c r="B55" s="976" t="s">
        <v>149</v>
      </c>
      <c r="C55" s="1171">
        <f>'Table 8 2.1.12 MFP Funded'!T52</f>
        <v>0</v>
      </c>
      <c r="D55" s="984">
        <f>'Table 3 Levels 1&amp;2'!AL56</f>
        <v>4819.172186397177</v>
      </c>
      <c r="E55" s="1074">
        <f t="shared" si="34"/>
        <v>0</v>
      </c>
      <c r="F55" s="1074">
        <f>'Table 4 Level 3'!P54</f>
        <v>574.43999999999994</v>
      </c>
      <c r="G55" s="1074">
        <f t="shared" si="35"/>
        <v>0</v>
      </c>
      <c r="H55" s="1037">
        <f t="shared" si="36"/>
        <v>0</v>
      </c>
      <c r="I55" s="1417">
        <f>'[1]Oct midyear Madison Prep'!K55</f>
        <v>0</v>
      </c>
      <c r="J55" s="1417">
        <f>'[1]Feb midyear Madison Prep'!K55</f>
        <v>0</v>
      </c>
      <c r="K55" s="1417">
        <f t="shared" si="37"/>
        <v>0</v>
      </c>
      <c r="L55" s="1037">
        <f t="shared" si="38"/>
        <v>0</v>
      </c>
      <c r="M55" s="1084">
        <f t="shared" si="39"/>
        <v>0</v>
      </c>
      <c r="N55" s="1037">
        <f t="shared" si="40"/>
        <v>0</v>
      </c>
      <c r="O55" s="1037">
        <v>0</v>
      </c>
      <c r="P55" s="1037">
        <f t="shared" si="41"/>
        <v>0</v>
      </c>
      <c r="Q55" s="1037">
        <v>0</v>
      </c>
      <c r="R55" s="1436">
        <f t="shared" si="42"/>
        <v>0</v>
      </c>
      <c r="S55" s="1436">
        <f t="shared" si="43"/>
        <v>0</v>
      </c>
      <c r="T55" s="1029">
        <f>'[14]FY2012-13 Final'!K56</f>
        <v>2345</v>
      </c>
      <c r="U55" s="1031">
        <f t="shared" si="55"/>
        <v>0</v>
      </c>
      <c r="V55" s="1439">
        <f>'[20]Oct midyear Madison Prep'!E55</f>
        <v>0</v>
      </c>
      <c r="W55" s="1443">
        <f t="shared" si="44"/>
        <v>0</v>
      </c>
      <c r="X55" s="1474">
        <f>'[20]Feb midyear Madison Prep'!E55</f>
        <v>0</v>
      </c>
      <c r="Y55" s="1470">
        <f t="shared" si="45"/>
        <v>0</v>
      </c>
      <c r="Z55" s="1470">
        <f t="shared" si="46"/>
        <v>0</v>
      </c>
      <c r="AA55" s="1031">
        <f t="shared" si="47"/>
        <v>0</v>
      </c>
      <c r="AB55" s="1090">
        <f t="shared" si="48"/>
        <v>0</v>
      </c>
      <c r="AC55" s="1031">
        <f t="shared" si="49"/>
        <v>0</v>
      </c>
      <c r="AD55" s="1448">
        <v>0</v>
      </c>
      <c r="AE55" s="1448">
        <f t="shared" si="50"/>
        <v>0</v>
      </c>
      <c r="AF55" s="1448">
        <v>0</v>
      </c>
      <c r="AG55" s="1448">
        <f t="shared" si="51"/>
        <v>0</v>
      </c>
      <c r="AH55" s="1448">
        <f t="shared" si="52"/>
        <v>0</v>
      </c>
      <c r="AI55" s="1449">
        <f t="shared" si="53"/>
        <v>0</v>
      </c>
      <c r="AJ55" s="1449">
        <f t="shared" si="56"/>
        <v>0</v>
      </c>
      <c r="AL55" s="49">
        <f t="shared" si="57"/>
        <v>0</v>
      </c>
      <c r="AM55" s="49">
        <f>-'[22]Table 5C1A-Madison Prep'!AN55</f>
        <v>0</v>
      </c>
      <c r="AN55" s="49">
        <f>-'[21]Table 5C1A-Madison Prep'!P55</f>
        <v>0</v>
      </c>
      <c r="AO55" s="49">
        <f t="shared" si="54"/>
        <v>0</v>
      </c>
    </row>
    <row r="56" spans="1:41">
      <c r="A56" s="979">
        <v>50</v>
      </c>
      <c r="B56" s="980" t="s">
        <v>150</v>
      </c>
      <c r="C56" s="1172">
        <f>'Table 8 2.1.12 MFP Funded'!T53</f>
        <v>0</v>
      </c>
      <c r="D56" s="986">
        <f>'Table 3 Levels 1&amp;2'!AL57</f>
        <v>5078.3381494368732</v>
      </c>
      <c r="E56" s="1075">
        <f t="shared" si="34"/>
        <v>0</v>
      </c>
      <c r="F56" s="1075">
        <f>'Table 4 Level 3'!P55</f>
        <v>634.46</v>
      </c>
      <c r="G56" s="1075">
        <f t="shared" si="35"/>
        <v>0</v>
      </c>
      <c r="H56" s="1038">
        <f t="shared" si="36"/>
        <v>0</v>
      </c>
      <c r="I56" s="1418">
        <f>'[1]Oct midyear Madison Prep'!K56</f>
        <v>0</v>
      </c>
      <c r="J56" s="1418">
        <f>'[1]Feb midyear Madison Prep'!K56</f>
        <v>0</v>
      </c>
      <c r="K56" s="1418">
        <f t="shared" si="37"/>
        <v>0</v>
      </c>
      <c r="L56" s="1038">
        <f t="shared" si="38"/>
        <v>0</v>
      </c>
      <c r="M56" s="1085">
        <f t="shared" si="39"/>
        <v>0</v>
      </c>
      <c r="N56" s="1038">
        <f t="shared" si="40"/>
        <v>0</v>
      </c>
      <c r="O56" s="1038">
        <v>0</v>
      </c>
      <c r="P56" s="1038">
        <f t="shared" si="41"/>
        <v>0</v>
      </c>
      <c r="Q56" s="1038">
        <v>0</v>
      </c>
      <c r="R56" s="1437">
        <f t="shared" si="42"/>
        <v>0</v>
      </c>
      <c r="S56" s="1437">
        <f t="shared" si="43"/>
        <v>0</v>
      </c>
      <c r="T56" s="1034">
        <f>'[14]FY2012-13 Final'!K57</f>
        <v>2810</v>
      </c>
      <c r="U56" s="1035">
        <f t="shared" si="55"/>
        <v>0</v>
      </c>
      <c r="V56" s="1440">
        <f>'[20]Oct midyear Madison Prep'!E56</f>
        <v>0</v>
      </c>
      <c r="W56" s="1445">
        <f t="shared" si="44"/>
        <v>0</v>
      </c>
      <c r="X56" s="1475">
        <f>'[20]Feb midyear Madison Prep'!E56</f>
        <v>0</v>
      </c>
      <c r="Y56" s="1471">
        <f t="shared" si="45"/>
        <v>0</v>
      </c>
      <c r="Z56" s="1471">
        <f t="shared" si="46"/>
        <v>0</v>
      </c>
      <c r="AA56" s="1035">
        <f t="shared" si="47"/>
        <v>0</v>
      </c>
      <c r="AB56" s="1091">
        <f t="shared" si="48"/>
        <v>0</v>
      </c>
      <c r="AC56" s="1035">
        <f t="shared" si="49"/>
        <v>0</v>
      </c>
      <c r="AD56" s="1450">
        <v>0</v>
      </c>
      <c r="AE56" s="1450">
        <f t="shared" si="50"/>
        <v>0</v>
      </c>
      <c r="AF56" s="1450">
        <v>0</v>
      </c>
      <c r="AG56" s="1450">
        <f t="shared" si="51"/>
        <v>0</v>
      </c>
      <c r="AH56" s="1450">
        <f t="shared" si="52"/>
        <v>0</v>
      </c>
      <c r="AI56" s="1451">
        <f t="shared" si="53"/>
        <v>0</v>
      </c>
      <c r="AJ56" s="1451">
        <f t="shared" si="56"/>
        <v>0</v>
      </c>
      <c r="AL56" s="49">
        <f t="shared" si="57"/>
        <v>0</v>
      </c>
      <c r="AM56" s="49">
        <f>-'[22]Table 5C1A-Madison Prep'!AN56</f>
        <v>0</v>
      </c>
      <c r="AN56" s="49">
        <f>-'[21]Table 5C1A-Madison Prep'!P56</f>
        <v>0</v>
      </c>
      <c r="AO56" s="49">
        <f t="shared" si="54"/>
        <v>0</v>
      </c>
    </row>
    <row r="57" spans="1:41">
      <c r="A57" s="968">
        <v>51</v>
      </c>
      <c r="B57" s="969" t="s">
        <v>151</v>
      </c>
      <c r="C57" s="1173">
        <f>'Table 8 2.1.12 MFP Funded'!T54</f>
        <v>0</v>
      </c>
      <c r="D57" s="988">
        <f>'Table 3 Levels 1&amp;2'!AL58</f>
        <v>4327.8748353683095</v>
      </c>
      <c r="E57" s="1076">
        <f t="shared" si="34"/>
        <v>0</v>
      </c>
      <c r="F57" s="1076">
        <f>'Table 4 Level 3'!P56</f>
        <v>706.66</v>
      </c>
      <c r="G57" s="1076">
        <f t="shared" si="35"/>
        <v>0</v>
      </c>
      <c r="H57" s="1039">
        <f t="shared" si="36"/>
        <v>0</v>
      </c>
      <c r="I57" s="1419">
        <f>'[1]Oct midyear Madison Prep'!K57</f>
        <v>0</v>
      </c>
      <c r="J57" s="1419">
        <f>'[1]Feb midyear Madison Prep'!K57</f>
        <v>0</v>
      </c>
      <c r="K57" s="1419">
        <f t="shared" si="37"/>
        <v>0</v>
      </c>
      <c r="L57" s="1039">
        <f t="shared" si="38"/>
        <v>0</v>
      </c>
      <c r="M57" s="1086">
        <f t="shared" si="39"/>
        <v>0</v>
      </c>
      <c r="N57" s="1039">
        <f t="shared" si="40"/>
        <v>0</v>
      </c>
      <c r="O57" s="1039">
        <v>0</v>
      </c>
      <c r="P57" s="1039">
        <f t="shared" si="41"/>
        <v>0</v>
      </c>
      <c r="Q57" s="1039">
        <v>0</v>
      </c>
      <c r="R57" s="1211">
        <f t="shared" si="42"/>
        <v>0</v>
      </c>
      <c r="S57" s="1211">
        <f t="shared" si="43"/>
        <v>0</v>
      </c>
      <c r="T57" s="1029">
        <f>'[14]FY2012-13 Final'!K58</f>
        <v>4191</v>
      </c>
      <c r="U57" s="973">
        <f t="shared" si="55"/>
        <v>0</v>
      </c>
      <c r="V57" s="1441">
        <f>'[20]Oct midyear Madison Prep'!E57</f>
        <v>0</v>
      </c>
      <c r="W57" s="1444">
        <f t="shared" si="44"/>
        <v>0</v>
      </c>
      <c r="X57" s="1466">
        <f>'[20]Feb midyear Madison Prep'!E57</f>
        <v>0</v>
      </c>
      <c r="Y57" s="1444">
        <f t="shared" si="45"/>
        <v>0</v>
      </c>
      <c r="Z57" s="1444">
        <f t="shared" si="46"/>
        <v>0</v>
      </c>
      <c r="AA57" s="973">
        <f t="shared" si="47"/>
        <v>0</v>
      </c>
      <c r="AB57" s="1089">
        <f t="shared" si="48"/>
        <v>0</v>
      </c>
      <c r="AC57" s="973">
        <f t="shared" si="49"/>
        <v>0</v>
      </c>
      <c r="AD57" s="1214">
        <v>0</v>
      </c>
      <c r="AE57" s="1214">
        <f t="shared" si="50"/>
        <v>0</v>
      </c>
      <c r="AF57" s="1214">
        <v>0</v>
      </c>
      <c r="AG57" s="1214">
        <f t="shared" si="51"/>
        <v>0</v>
      </c>
      <c r="AH57" s="1214">
        <f t="shared" si="52"/>
        <v>0</v>
      </c>
      <c r="AI57" s="1447">
        <f t="shared" si="53"/>
        <v>0</v>
      </c>
      <c r="AJ57" s="1447">
        <f t="shared" si="56"/>
        <v>0</v>
      </c>
      <c r="AL57" s="49">
        <f t="shared" si="57"/>
        <v>0</v>
      </c>
      <c r="AM57" s="49">
        <f>-'[22]Table 5C1A-Madison Prep'!AN57</f>
        <v>0</v>
      </c>
      <c r="AN57" s="49">
        <f>-'[21]Table 5C1A-Madison Prep'!P57</f>
        <v>0</v>
      </c>
      <c r="AO57" s="49">
        <f t="shared" si="54"/>
        <v>0</v>
      </c>
    </row>
    <row r="58" spans="1:41">
      <c r="A58" s="975">
        <v>52</v>
      </c>
      <c r="B58" s="976" t="s">
        <v>152</v>
      </c>
      <c r="C58" s="1171">
        <f>'Table 8 2.1.12 MFP Funded'!T55</f>
        <v>0</v>
      </c>
      <c r="D58" s="984">
        <f>'Table 3 Levels 1&amp;2'!AL59</f>
        <v>4936.6461759855838</v>
      </c>
      <c r="E58" s="1074">
        <f t="shared" si="34"/>
        <v>0</v>
      </c>
      <c r="F58" s="1074">
        <f>'Table 4 Level 3'!P57</f>
        <v>658.37</v>
      </c>
      <c r="G58" s="1074">
        <f t="shared" si="35"/>
        <v>0</v>
      </c>
      <c r="H58" s="1037">
        <f t="shared" si="36"/>
        <v>0</v>
      </c>
      <c r="I58" s="1417">
        <f>'[1]Oct midyear Madison Prep'!K58</f>
        <v>0</v>
      </c>
      <c r="J58" s="1417">
        <f>'[1]Feb midyear Madison Prep'!K58</f>
        <v>0</v>
      </c>
      <c r="K58" s="1417">
        <f t="shared" si="37"/>
        <v>0</v>
      </c>
      <c r="L58" s="1037">
        <f t="shared" si="38"/>
        <v>0</v>
      </c>
      <c r="M58" s="1084">
        <f t="shared" si="39"/>
        <v>0</v>
      </c>
      <c r="N58" s="1037">
        <f t="shared" si="40"/>
        <v>0</v>
      </c>
      <c r="O58" s="1037">
        <v>0</v>
      </c>
      <c r="P58" s="1037">
        <f t="shared" si="41"/>
        <v>0</v>
      </c>
      <c r="Q58" s="1037">
        <v>0</v>
      </c>
      <c r="R58" s="1436">
        <f t="shared" si="42"/>
        <v>0</v>
      </c>
      <c r="S58" s="1436">
        <f t="shared" si="43"/>
        <v>0</v>
      </c>
      <c r="T58" s="1029">
        <f>'[14]FY2012-13 Final'!K59</f>
        <v>4895</v>
      </c>
      <c r="U58" s="1031">
        <f t="shared" si="55"/>
        <v>0</v>
      </c>
      <c r="V58" s="1439">
        <f>'[20]Oct midyear Madison Prep'!E58</f>
        <v>0</v>
      </c>
      <c r="W58" s="1443">
        <f t="shared" si="44"/>
        <v>0</v>
      </c>
      <c r="X58" s="1474">
        <f>'[20]Feb midyear Madison Prep'!E58</f>
        <v>0</v>
      </c>
      <c r="Y58" s="1470">
        <f t="shared" si="45"/>
        <v>0</v>
      </c>
      <c r="Z58" s="1470">
        <f t="shared" si="46"/>
        <v>0</v>
      </c>
      <c r="AA58" s="1031">
        <f t="shared" si="47"/>
        <v>0</v>
      </c>
      <c r="AB58" s="1090">
        <f t="shared" si="48"/>
        <v>0</v>
      </c>
      <c r="AC58" s="1031">
        <f t="shared" si="49"/>
        <v>0</v>
      </c>
      <c r="AD58" s="1448">
        <v>0</v>
      </c>
      <c r="AE58" s="1448">
        <f t="shared" si="50"/>
        <v>0</v>
      </c>
      <c r="AF58" s="1448">
        <v>0</v>
      </c>
      <c r="AG58" s="1448">
        <f t="shared" si="51"/>
        <v>0</v>
      </c>
      <c r="AH58" s="1448">
        <f t="shared" si="52"/>
        <v>0</v>
      </c>
      <c r="AI58" s="1449">
        <f t="shared" si="53"/>
        <v>0</v>
      </c>
      <c r="AJ58" s="1449">
        <f t="shared" si="56"/>
        <v>0</v>
      </c>
      <c r="AL58" s="49">
        <f t="shared" si="57"/>
        <v>0</v>
      </c>
      <c r="AM58" s="49">
        <f>-'[22]Table 5C1A-Madison Prep'!AN58</f>
        <v>0</v>
      </c>
      <c r="AN58" s="49">
        <f>-'[21]Table 5C1A-Madison Prep'!P58</f>
        <v>0</v>
      </c>
      <c r="AO58" s="49">
        <f t="shared" si="54"/>
        <v>0</v>
      </c>
    </row>
    <row r="59" spans="1:41">
      <c r="A59" s="975">
        <v>53</v>
      </c>
      <c r="B59" s="976" t="s">
        <v>153</v>
      </c>
      <c r="C59" s="1171">
        <f>'Table 8 2.1.12 MFP Funded'!T56</f>
        <v>0</v>
      </c>
      <c r="D59" s="984">
        <f>'Table 3 Levels 1&amp;2'!AL60</f>
        <v>4800.3207499962118</v>
      </c>
      <c r="E59" s="1074">
        <f t="shared" si="34"/>
        <v>0</v>
      </c>
      <c r="F59" s="1074">
        <f>'Table 4 Level 3'!P58</f>
        <v>689.74</v>
      </c>
      <c r="G59" s="1074">
        <f t="shared" si="35"/>
        <v>0</v>
      </c>
      <c r="H59" s="1037">
        <f t="shared" si="36"/>
        <v>0</v>
      </c>
      <c r="I59" s="1417">
        <f>'[1]Oct midyear Madison Prep'!K59</f>
        <v>0</v>
      </c>
      <c r="J59" s="1417">
        <f>'[1]Feb midyear Madison Prep'!K59</f>
        <v>0</v>
      </c>
      <c r="K59" s="1417">
        <f t="shared" si="37"/>
        <v>0</v>
      </c>
      <c r="L59" s="1037">
        <f t="shared" si="38"/>
        <v>0</v>
      </c>
      <c r="M59" s="1084">
        <f t="shared" si="39"/>
        <v>0</v>
      </c>
      <c r="N59" s="1037">
        <f t="shared" si="40"/>
        <v>0</v>
      </c>
      <c r="O59" s="1037">
        <v>0</v>
      </c>
      <c r="P59" s="1037">
        <f t="shared" si="41"/>
        <v>0</v>
      </c>
      <c r="Q59" s="1037">
        <v>0</v>
      </c>
      <c r="R59" s="1436">
        <f t="shared" si="42"/>
        <v>0</v>
      </c>
      <c r="S59" s="1436">
        <f t="shared" si="43"/>
        <v>0</v>
      </c>
      <c r="T59" s="1029">
        <f>'[14]FY2012-13 Final'!K60</f>
        <v>1935</v>
      </c>
      <c r="U59" s="1031">
        <f t="shared" si="55"/>
        <v>0</v>
      </c>
      <c r="V59" s="1439">
        <f>'[20]Oct midyear Madison Prep'!E59</f>
        <v>0</v>
      </c>
      <c r="W59" s="1443">
        <f t="shared" si="44"/>
        <v>0</v>
      </c>
      <c r="X59" s="1474">
        <f>'[20]Feb midyear Madison Prep'!E59</f>
        <v>0</v>
      </c>
      <c r="Y59" s="1470">
        <f t="shared" si="45"/>
        <v>0</v>
      </c>
      <c r="Z59" s="1470">
        <f t="shared" si="46"/>
        <v>0</v>
      </c>
      <c r="AA59" s="1031">
        <f t="shared" si="47"/>
        <v>0</v>
      </c>
      <c r="AB59" s="1090">
        <f t="shared" si="48"/>
        <v>0</v>
      </c>
      <c r="AC59" s="1031">
        <f t="shared" si="49"/>
        <v>0</v>
      </c>
      <c r="AD59" s="1448">
        <v>0</v>
      </c>
      <c r="AE59" s="1448">
        <f t="shared" si="50"/>
        <v>0</v>
      </c>
      <c r="AF59" s="1448">
        <v>0</v>
      </c>
      <c r="AG59" s="1448">
        <f t="shared" si="51"/>
        <v>0</v>
      </c>
      <c r="AH59" s="1448">
        <f t="shared" si="52"/>
        <v>0</v>
      </c>
      <c r="AI59" s="1449">
        <f t="shared" si="53"/>
        <v>0</v>
      </c>
      <c r="AJ59" s="1449">
        <f t="shared" si="56"/>
        <v>0</v>
      </c>
      <c r="AL59" s="49">
        <f t="shared" si="57"/>
        <v>0</v>
      </c>
      <c r="AM59" s="49">
        <f>-'[22]Table 5C1A-Madison Prep'!AN59</f>
        <v>0</v>
      </c>
      <c r="AN59" s="49">
        <f>-'[21]Table 5C1A-Madison Prep'!P59</f>
        <v>0</v>
      </c>
      <c r="AO59" s="49">
        <f t="shared" si="54"/>
        <v>0</v>
      </c>
    </row>
    <row r="60" spans="1:41">
      <c r="A60" s="975">
        <v>54</v>
      </c>
      <c r="B60" s="976" t="s">
        <v>154</v>
      </c>
      <c r="C60" s="1171">
        <f>'Table 8 2.1.12 MFP Funded'!T57</f>
        <v>0</v>
      </c>
      <c r="D60" s="984">
        <f>'Table 3 Levels 1&amp;2'!AL61</f>
        <v>6010.7753360515026</v>
      </c>
      <c r="E60" s="1074">
        <f t="shared" si="34"/>
        <v>0</v>
      </c>
      <c r="F60" s="1074">
        <f>'Table 4 Level 3'!P59</f>
        <v>951.45</v>
      </c>
      <c r="G60" s="1074">
        <f t="shared" si="35"/>
        <v>0</v>
      </c>
      <c r="H60" s="1037">
        <f t="shared" si="36"/>
        <v>0</v>
      </c>
      <c r="I60" s="1417">
        <f>'[1]Oct midyear Madison Prep'!K60</f>
        <v>0</v>
      </c>
      <c r="J60" s="1417">
        <f>'[1]Feb midyear Madison Prep'!K60</f>
        <v>0</v>
      </c>
      <c r="K60" s="1417">
        <f t="shared" si="37"/>
        <v>0</v>
      </c>
      <c r="L60" s="1037">
        <f t="shared" si="38"/>
        <v>0</v>
      </c>
      <c r="M60" s="1084">
        <f t="shared" si="39"/>
        <v>0</v>
      </c>
      <c r="N60" s="1037">
        <f t="shared" si="40"/>
        <v>0</v>
      </c>
      <c r="O60" s="1037">
        <v>0</v>
      </c>
      <c r="P60" s="1037">
        <f t="shared" si="41"/>
        <v>0</v>
      </c>
      <c r="Q60" s="1037">
        <v>0</v>
      </c>
      <c r="R60" s="1436">
        <f t="shared" si="42"/>
        <v>0</v>
      </c>
      <c r="S60" s="1436">
        <f t="shared" si="43"/>
        <v>0</v>
      </c>
      <c r="T60" s="1029">
        <f>'[14]FY2012-13 Final'!K61</f>
        <v>3397</v>
      </c>
      <c r="U60" s="1031">
        <f t="shared" si="55"/>
        <v>0</v>
      </c>
      <c r="V60" s="1439">
        <f>'[20]Oct midyear Madison Prep'!E60</f>
        <v>0</v>
      </c>
      <c r="W60" s="1443">
        <f t="shared" si="44"/>
        <v>0</v>
      </c>
      <c r="X60" s="1474">
        <f>'[20]Feb midyear Madison Prep'!E60</f>
        <v>0</v>
      </c>
      <c r="Y60" s="1470">
        <f t="shared" si="45"/>
        <v>0</v>
      </c>
      <c r="Z60" s="1470">
        <f t="shared" si="46"/>
        <v>0</v>
      </c>
      <c r="AA60" s="1031">
        <f t="shared" si="47"/>
        <v>0</v>
      </c>
      <c r="AB60" s="1090">
        <f t="shared" si="48"/>
        <v>0</v>
      </c>
      <c r="AC60" s="1031">
        <f t="shared" si="49"/>
        <v>0</v>
      </c>
      <c r="AD60" s="1448">
        <v>0</v>
      </c>
      <c r="AE60" s="1448">
        <f t="shared" si="50"/>
        <v>0</v>
      </c>
      <c r="AF60" s="1448">
        <v>0</v>
      </c>
      <c r="AG60" s="1448">
        <f t="shared" si="51"/>
        <v>0</v>
      </c>
      <c r="AH60" s="1448">
        <f t="shared" si="52"/>
        <v>0</v>
      </c>
      <c r="AI60" s="1449">
        <f t="shared" si="53"/>
        <v>0</v>
      </c>
      <c r="AJ60" s="1449">
        <f t="shared" si="56"/>
        <v>0</v>
      </c>
      <c r="AL60" s="49">
        <f t="shared" si="57"/>
        <v>0</v>
      </c>
      <c r="AM60" s="49">
        <f>-'[22]Table 5C1A-Madison Prep'!AN60</f>
        <v>0</v>
      </c>
      <c r="AN60" s="49">
        <f>-'[21]Table 5C1A-Madison Prep'!P60</f>
        <v>0</v>
      </c>
      <c r="AO60" s="49">
        <f t="shared" si="54"/>
        <v>0</v>
      </c>
    </row>
    <row r="61" spans="1:41">
      <c r="A61" s="979">
        <v>55</v>
      </c>
      <c r="B61" s="980" t="s">
        <v>155</v>
      </c>
      <c r="C61" s="1172">
        <f>'Table 8 2.1.12 MFP Funded'!T58</f>
        <v>0</v>
      </c>
      <c r="D61" s="986">
        <f>'Table 3 Levels 1&amp;2'!AL62</f>
        <v>4103.7453851303217</v>
      </c>
      <c r="E61" s="1075">
        <f t="shared" si="34"/>
        <v>0</v>
      </c>
      <c r="F61" s="1075">
        <f>'Table 4 Level 3'!P60</f>
        <v>795.14</v>
      </c>
      <c r="G61" s="1075">
        <f t="shared" si="35"/>
        <v>0</v>
      </c>
      <c r="H61" s="1038">
        <f t="shared" si="36"/>
        <v>0</v>
      </c>
      <c r="I61" s="1418">
        <f>'[1]Oct midyear Madison Prep'!K61</f>
        <v>0</v>
      </c>
      <c r="J61" s="1418">
        <f>'[1]Feb midyear Madison Prep'!K61</f>
        <v>0</v>
      </c>
      <c r="K61" s="1418">
        <f t="shared" si="37"/>
        <v>0</v>
      </c>
      <c r="L61" s="1038">
        <f t="shared" si="38"/>
        <v>0</v>
      </c>
      <c r="M61" s="1085">
        <f t="shared" si="39"/>
        <v>0</v>
      </c>
      <c r="N61" s="1038">
        <f t="shared" si="40"/>
        <v>0</v>
      </c>
      <c r="O61" s="1038">
        <v>0</v>
      </c>
      <c r="P61" s="1038">
        <f t="shared" si="41"/>
        <v>0</v>
      </c>
      <c r="Q61" s="1038">
        <v>0</v>
      </c>
      <c r="R61" s="1437">
        <f t="shared" si="42"/>
        <v>0</v>
      </c>
      <c r="S61" s="1437">
        <f t="shared" si="43"/>
        <v>0</v>
      </c>
      <c r="T61" s="1034">
        <f>'[14]FY2012-13 Final'!K62</f>
        <v>3139</v>
      </c>
      <c r="U61" s="1035">
        <f t="shared" si="55"/>
        <v>0</v>
      </c>
      <c r="V61" s="1440">
        <f>'[20]Oct midyear Madison Prep'!E61</f>
        <v>0</v>
      </c>
      <c r="W61" s="1445">
        <f t="shared" si="44"/>
        <v>0</v>
      </c>
      <c r="X61" s="1475">
        <f>'[20]Feb midyear Madison Prep'!E61</f>
        <v>0</v>
      </c>
      <c r="Y61" s="1471">
        <f t="shared" si="45"/>
        <v>0</v>
      </c>
      <c r="Z61" s="1471">
        <f t="shared" si="46"/>
        <v>0</v>
      </c>
      <c r="AA61" s="1035">
        <f t="shared" si="47"/>
        <v>0</v>
      </c>
      <c r="AB61" s="1091">
        <f t="shared" si="48"/>
        <v>0</v>
      </c>
      <c r="AC61" s="1035">
        <f t="shared" si="49"/>
        <v>0</v>
      </c>
      <c r="AD61" s="1450">
        <v>0</v>
      </c>
      <c r="AE61" s="1450">
        <f t="shared" si="50"/>
        <v>0</v>
      </c>
      <c r="AF61" s="1450">
        <v>0</v>
      </c>
      <c r="AG61" s="1450">
        <f t="shared" si="51"/>
        <v>0</v>
      </c>
      <c r="AH61" s="1450">
        <f t="shared" si="52"/>
        <v>0</v>
      </c>
      <c r="AI61" s="1451">
        <f t="shared" si="53"/>
        <v>0</v>
      </c>
      <c r="AJ61" s="1451">
        <f t="shared" si="56"/>
        <v>0</v>
      </c>
      <c r="AL61" s="49">
        <f t="shared" si="57"/>
        <v>0</v>
      </c>
      <c r="AM61" s="49">
        <f>-'[22]Table 5C1A-Madison Prep'!AN61</f>
        <v>0</v>
      </c>
      <c r="AN61" s="49">
        <f>-'[21]Table 5C1A-Madison Prep'!P61</f>
        <v>0</v>
      </c>
      <c r="AO61" s="49">
        <f t="shared" si="54"/>
        <v>0</v>
      </c>
    </row>
    <row r="62" spans="1:41">
      <c r="A62" s="968">
        <v>56</v>
      </c>
      <c r="B62" s="969" t="s">
        <v>156</v>
      </c>
      <c r="C62" s="1173">
        <f>'Table 8 2.1.12 MFP Funded'!T59</f>
        <v>0</v>
      </c>
      <c r="D62" s="988">
        <f>'Table 3 Levels 1&amp;2'!AL63</f>
        <v>5076.2407002640311</v>
      </c>
      <c r="E62" s="1076">
        <f t="shared" si="34"/>
        <v>0</v>
      </c>
      <c r="F62" s="1076">
        <f>'Table 4 Level 3'!P61</f>
        <v>614.66000000000008</v>
      </c>
      <c r="G62" s="1076">
        <f t="shared" si="35"/>
        <v>0</v>
      </c>
      <c r="H62" s="1039">
        <f t="shared" si="36"/>
        <v>0</v>
      </c>
      <c r="I62" s="1419">
        <f>'[1]Oct midyear Madison Prep'!K62</f>
        <v>0</v>
      </c>
      <c r="J62" s="1419">
        <f>'[1]Feb midyear Madison Prep'!K62</f>
        <v>0</v>
      </c>
      <c r="K62" s="1419">
        <f t="shared" si="37"/>
        <v>0</v>
      </c>
      <c r="L62" s="1039">
        <f t="shared" si="38"/>
        <v>0</v>
      </c>
      <c r="M62" s="1086">
        <f t="shared" si="39"/>
        <v>0</v>
      </c>
      <c r="N62" s="1039">
        <f t="shared" si="40"/>
        <v>0</v>
      </c>
      <c r="O62" s="1039">
        <v>0</v>
      </c>
      <c r="P62" s="1039">
        <f t="shared" si="41"/>
        <v>0</v>
      </c>
      <c r="Q62" s="1039">
        <v>0</v>
      </c>
      <c r="R62" s="1211">
        <f t="shared" si="42"/>
        <v>0</v>
      </c>
      <c r="S62" s="1211">
        <f t="shared" si="43"/>
        <v>0</v>
      </c>
      <c r="T62" s="1029">
        <f>'[14]FY2012-13 Final'!K63</f>
        <v>2781</v>
      </c>
      <c r="U62" s="973">
        <f t="shared" si="55"/>
        <v>0</v>
      </c>
      <c r="V62" s="1441">
        <f>'[20]Oct midyear Madison Prep'!E62</f>
        <v>0</v>
      </c>
      <c r="W62" s="1444">
        <f t="shared" si="44"/>
        <v>0</v>
      </c>
      <c r="X62" s="1466">
        <f>'[20]Feb midyear Madison Prep'!E62</f>
        <v>0</v>
      </c>
      <c r="Y62" s="1444">
        <f t="shared" si="45"/>
        <v>0</v>
      </c>
      <c r="Z62" s="1444">
        <f t="shared" si="46"/>
        <v>0</v>
      </c>
      <c r="AA62" s="973">
        <f t="shared" si="47"/>
        <v>0</v>
      </c>
      <c r="AB62" s="1089">
        <f t="shared" si="48"/>
        <v>0</v>
      </c>
      <c r="AC62" s="973">
        <f t="shared" si="49"/>
        <v>0</v>
      </c>
      <c r="AD62" s="1214">
        <v>0</v>
      </c>
      <c r="AE62" s="1214">
        <f t="shared" si="50"/>
        <v>0</v>
      </c>
      <c r="AF62" s="1214">
        <v>0</v>
      </c>
      <c r="AG62" s="1214">
        <f t="shared" si="51"/>
        <v>0</v>
      </c>
      <c r="AH62" s="1214">
        <f t="shared" si="52"/>
        <v>0</v>
      </c>
      <c r="AI62" s="1447">
        <f t="shared" si="53"/>
        <v>0</v>
      </c>
      <c r="AJ62" s="1447">
        <f t="shared" si="56"/>
        <v>0</v>
      </c>
      <c r="AL62" s="49">
        <f t="shared" si="57"/>
        <v>0</v>
      </c>
      <c r="AM62" s="49">
        <f>-'[22]Table 5C1A-Madison Prep'!AN62</f>
        <v>0</v>
      </c>
      <c r="AN62" s="49">
        <f>-'[21]Table 5C1A-Madison Prep'!P62</f>
        <v>0</v>
      </c>
      <c r="AO62" s="49">
        <f t="shared" si="54"/>
        <v>0</v>
      </c>
    </row>
    <row r="63" spans="1:41">
      <c r="A63" s="975">
        <v>57</v>
      </c>
      <c r="B63" s="976" t="s">
        <v>157</v>
      </c>
      <c r="C63" s="1171">
        <f>'Table 8 2.1.12 MFP Funded'!T60</f>
        <v>0</v>
      </c>
      <c r="D63" s="984">
        <f>'Table 3 Levels 1&amp;2'!AL64</f>
        <v>4409.0708210621269</v>
      </c>
      <c r="E63" s="1074">
        <f t="shared" si="34"/>
        <v>0</v>
      </c>
      <c r="F63" s="1074">
        <f>'Table 4 Level 3'!P62</f>
        <v>764.51</v>
      </c>
      <c r="G63" s="1074">
        <f t="shared" si="35"/>
        <v>0</v>
      </c>
      <c r="H63" s="1037">
        <f t="shared" si="36"/>
        <v>0</v>
      </c>
      <c r="I63" s="1417">
        <f>'[1]Oct midyear Madison Prep'!K63</f>
        <v>0</v>
      </c>
      <c r="J63" s="1417">
        <f>'[1]Feb midyear Madison Prep'!K63</f>
        <v>0</v>
      </c>
      <c r="K63" s="1417">
        <f t="shared" si="37"/>
        <v>0</v>
      </c>
      <c r="L63" s="1037">
        <f t="shared" si="38"/>
        <v>0</v>
      </c>
      <c r="M63" s="1084">
        <f t="shared" si="39"/>
        <v>0</v>
      </c>
      <c r="N63" s="1037">
        <f t="shared" si="40"/>
        <v>0</v>
      </c>
      <c r="O63" s="1037">
        <v>0</v>
      </c>
      <c r="P63" s="1037">
        <f t="shared" si="41"/>
        <v>0</v>
      </c>
      <c r="Q63" s="1037">
        <v>0</v>
      </c>
      <c r="R63" s="1436">
        <f t="shared" si="42"/>
        <v>0</v>
      </c>
      <c r="S63" s="1436">
        <f t="shared" si="43"/>
        <v>0</v>
      </c>
      <c r="T63" s="1029">
        <f>'[14]FY2012-13 Final'!K64</f>
        <v>2991</v>
      </c>
      <c r="U63" s="1031">
        <f t="shared" si="55"/>
        <v>0</v>
      </c>
      <c r="V63" s="1439">
        <f>'[20]Oct midyear Madison Prep'!E63</f>
        <v>0</v>
      </c>
      <c r="W63" s="1443">
        <f t="shared" si="44"/>
        <v>0</v>
      </c>
      <c r="X63" s="1474">
        <f>'[20]Feb midyear Madison Prep'!E63</f>
        <v>0</v>
      </c>
      <c r="Y63" s="1470">
        <f t="shared" si="45"/>
        <v>0</v>
      </c>
      <c r="Z63" s="1470">
        <f t="shared" si="46"/>
        <v>0</v>
      </c>
      <c r="AA63" s="1031">
        <f t="shared" si="47"/>
        <v>0</v>
      </c>
      <c r="AB63" s="1090">
        <f t="shared" si="48"/>
        <v>0</v>
      </c>
      <c r="AC63" s="1031">
        <f t="shared" si="49"/>
        <v>0</v>
      </c>
      <c r="AD63" s="1448">
        <v>0</v>
      </c>
      <c r="AE63" s="1448">
        <f t="shared" si="50"/>
        <v>0</v>
      </c>
      <c r="AF63" s="1448">
        <v>0</v>
      </c>
      <c r="AG63" s="1448">
        <f t="shared" si="51"/>
        <v>0</v>
      </c>
      <c r="AH63" s="1448">
        <f t="shared" si="52"/>
        <v>0</v>
      </c>
      <c r="AI63" s="1449">
        <f t="shared" si="53"/>
        <v>0</v>
      </c>
      <c r="AJ63" s="1449">
        <f t="shared" si="56"/>
        <v>0</v>
      </c>
      <c r="AL63" s="49">
        <f t="shared" si="57"/>
        <v>0</v>
      </c>
      <c r="AM63" s="49">
        <f>-'[22]Table 5C1A-Madison Prep'!AN63</f>
        <v>0</v>
      </c>
      <c r="AN63" s="49">
        <f>-'[21]Table 5C1A-Madison Prep'!P63</f>
        <v>0</v>
      </c>
      <c r="AO63" s="49">
        <f t="shared" si="54"/>
        <v>0</v>
      </c>
    </row>
    <row r="64" spans="1:41">
      <c r="A64" s="975">
        <v>58</v>
      </c>
      <c r="B64" s="976" t="s">
        <v>158</v>
      </c>
      <c r="C64" s="1171">
        <f>'Table 8 2.1.12 MFP Funded'!T61</f>
        <v>0</v>
      </c>
      <c r="D64" s="984">
        <f>'Table 3 Levels 1&amp;2'!AL65</f>
        <v>5341.4512666086594</v>
      </c>
      <c r="E64" s="1074">
        <f t="shared" si="34"/>
        <v>0</v>
      </c>
      <c r="F64" s="1074">
        <f>'Table 4 Level 3'!P63</f>
        <v>697.04</v>
      </c>
      <c r="G64" s="1074">
        <f t="shared" si="35"/>
        <v>0</v>
      </c>
      <c r="H64" s="1037">
        <f t="shared" si="36"/>
        <v>0</v>
      </c>
      <c r="I64" s="1417">
        <f>'[1]Oct midyear Madison Prep'!K64</f>
        <v>0</v>
      </c>
      <c r="J64" s="1417">
        <f>'[1]Feb midyear Madison Prep'!K64</f>
        <v>0</v>
      </c>
      <c r="K64" s="1417">
        <f t="shared" si="37"/>
        <v>0</v>
      </c>
      <c r="L64" s="1037">
        <f t="shared" si="38"/>
        <v>0</v>
      </c>
      <c r="M64" s="1084">
        <f t="shared" si="39"/>
        <v>0</v>
      </c>
      <c r="N64" s="1037">
        <f t="shared" si="40"/>
        <v>0</v>
      </c>
      <c r="O64" s="1037">
        <v>0</v>
      </c>
      <c r="P64" s="1037">
        <f t="shared" si="41"/>
        <v>0</v>
      </c>
      <c r="Q64" s="1037">
        <v>0</v>
      </c>
      <c r="R64" s="1436">
        <f t="shared" si="42"/>
        <v>0</v>
      </c>
      <c r="S64" s="1436">
        <f t="shared" si="43"/>
        <v>0</v>
      </c>
      <c r="T64" s="1029">
        <f>'[14]FY2012-13 Final'!K65</f>
        <v>2057</v>
      </c>
      <c r="U64" s="1031">
        <f t="shared" si="55"/>
        <v>0</v>
      </c>
      <c r="V64" s="1439">
        <f>'[20]Oct midyear Madison Prep'!E64</f>
        <v>0</v>
      </c>
      <c r="W64" s="1443">
        <f t="shared" si="44"/>
        <v>0</v>
      </c>
      <c r="X64" s="1474">
        <f>'[20]Feb midyear Madison Prep'!E64</f>
        <v>0</v>
      </c>
      <c r="Y64" s="1470">
        <f t="shared" si="45"/>
        <v>0</v>
      </c>
      <c r="Z64" s="1470">
        <f t="shared" si="46"/>
        <v>0</v>
      </c>
      <c r="AA64" s="1031">
        <f t="shared" si="47"/>
        <v>0</v>
      </c>
      <c r="AB64" s="1090">
        <f t="shared" si="48"/>
        <v>0</v>
      </c>
      <c r="AC64" s="1031">
        <f t="shared" si="49"/>
        <v>0</v>
      </c>
      <c r="AD64" s="1448">
        <v>0</v>
      </c>
      <c r="AE64" s="1448">
        <f t="shared" si="50"/>
        <v>0</v>
      </c>
      <c r="AF64" s="1448">
        <v>0</v>
      </c>
      <c r="AG64" s="1448">
        <f t="shared" si="51"/>
        <v>0</v>
      </c>
      <c r="AH64" s="1448">
        <f t="shared" si="52"/>
        <v>0</v>
      </c>
      <c r="AI64" s="1449">
        <f t="shared" si="53"/>
        <v>0</v>
      </c>
      <c r="AJ64" s="1449">
        <f t="shared" si="56"/>
        <v>0</v>
      </c>
      <c r="AL64" s="49">
        <f t="shared" si="57"/>
        <v>0</v>
      </c>
      <c r="AM64" s="49">
        <f>-'[22]Table 5C1A-Madison Prep'!AN64</f>
        <v>0</v>
      </c>
      <c r="AN64" s="49">
        <f>-'[21]Table 5C1A-Madison Prep'!P64</f>
        <v>0</v>
      </c>
      <c r="AO64" s="49">
        <f t="shared" si="54"/>
        <v>0</v>
      </c>
    </row>
    <row r="65" spans="1:41">
      <c r="A65" s="975">
        <v>59</v>
      </c>
      <c r="B65" s="976" t="s">
        <v>159</v>
      </c>
      <c r="C65" s="1171">
        <f>'Table 8 2.1.12 MFP Funded'!T62</f>
        <v>0</v>
      </c>
      <c r="D65" s="984">
        <f>'Table 3 Levels 1&amp;2'!AL66</f>
        <v>6342.1695127641487</v>
      </c>
      <c r="E65" s="1074">
        <f t="shared" si="34"/>
        <v>0</v>
      </c>
      <c r="F65" s="1074">
        <f>'Table 4 Level 3'!P64</f>
        <v>689.52</v>
      </c>
      <c r="G65" s="1074">
        <f t="shared" si="35"/>
        <v>0</v>
      </c>
      <c r="H65" s="1037">
        <f t="shared" si="36"/>
        <v>0</v>
      </c>
      <c r="I65" s="1417">
        <f>'[1]Oct midyear Madison Prep'!K65</f>
        <v>0</v>
      </c>
      <c r="J65" s="1417">
        <f>'[1]Feb midyear Madison Prep'!K65</f>
        <v>0</v>
      </c>
      <c r="K65" s="1417">
        <f t="shared" si="37"/>
        <v>0</v>
      </c>
      <c r="L65" s="1037">
        <f t="shared" si="38"/>
        <v>0</v>
      </c>
      <c r="M65" s="1084">
        <f t="shared" si="39"/>
        <v>0</v>
      </c>
      <c r="N65" s="1037">
        <f t="shared" si="40"/>
        <v>0</v>
      </c>
      <c r="O65" s="1037">
        <v>0</v>
      </c>
      <c r="P65" s="1037">
        <f t="shared" si="41"/>
        <v>0</v>
      </c>
      <c r="Q65" s="1037">
        <v>0</v>
      </c>
      <c r="R65" s="1436">
        <f t="shared" si="42"/>
        <v>0</v>
      </c>
      <c r="S65" s="1436">
        <f t="shared" si="43"/>
        <v>0</v>
      </c>
      <c r="T65" s="1029">
        <f>'[14]FY2012-13 Final'!K66</f>
        <v>1530</v>
      </c>
      <c r="U65" s="1031">
        <f t="shared" si="55"/>
        <v>0</v>
      </c>
      <c r="V65" s="1439">
        <f>'[20]Oct midyear Madison Prep'!E65</f>
        <v>0</v>
      </c>
      <c r="W65" s="1443">
        <f t="shared" si="44"/>
        <v>0</v>
      </c>
      <c r="X65" s="1474">
        <f>'[20]Feb midyear Madison Prep'!E65</f>
        <v>0</v>
      </c>
      <c r="Y65" s="1470">
        <f t="shared" si="45"/>
        <v>0</v>
      </c>
      <c r="Z65" s="1470">
        <f t="shared" si="46"/>
        <v>0</v>
      </c>
      <c r="AA65" s="1031">
        <f t="shared" si="47"/>
        <v>0</v>
      </c>
      <c r="AB65" s="1090">
        <f t="shared" si="48"/>
        <v>0</v>
      </c>
      <c r="AC65" s="1031">
        <f t="shared" si="49"/>
        <v>0</v>
      </c>
      <c r="AD65" s="1448">
        <v>0</v>
      </c>
      <c r="AE65" s="1448">
        <f t="shared" si="50"/>
        <v>0</v>
      </c>
      <c r="AF65" s="1448">
        <v>0</v>
      </c>
      <c r="AG65" s="1448">
        <f t="shared" si="51"/>
        <v>0</v>
      </c>
      <c r="AH65" s="1448">
        <f t="shared" si="52"/>
        <v>0</v>
      </c>
      <c r="AI65" s="1449">
        <f t="shared" si="53"/>
        <v>0</v>
      </c>
      <c r="AJ65" s="1449">
        <f t="shared" si="56"/>
        <v>0</v>
      </c>
      <c r="AL65" s="49">
        <f t="shared" si="57"/>
        <v>0</v>
      </c>
      <c r="AM65" s="49">
        <f>-'[22]Table 5C1A-Madison Prep'!AN65</f>
        <v>0</v>
      </c>
      <c r="AN65" s="49">
        <f>-'[21]Table 5C1A-Madison Prep'!P65</f>
        <v>0</v>
      </c>
      <c r="AO65" s="49">
        <f t="shared" si="54"/>
        <v>0</v>
      </c>
    </row>
    <row r="66" spans="1:41">
      <c r="A66" s="979">
        <v>60</v>
      </c>
      <c r="B66" s="980" t="s">
        <v>160</v>
      </c>
      <c r="C66" s="1172">
        <f>'Table 8 2.1.12 MFP Funded'!T63</f>
        <v>0</v>
      </c>
      <c r="D66" s="986">
        <f>'Table 3 Levels 1&amp;2'!AL67</f>
        <v>4836.7830262372299</v>
      </c>
      <c r="E66" s="1075">
        <f t="shared" si="34"/>
        <v>0</v>
      </c>
      <c r="F66" s="1075">
        <f>'Table 4 Level 3'!P65</f>
        <v>594.04</v>
      </c>
      <c r="G66" s="1075">
        <f t="shared" si="35"/>
        <v>0</v>
      </c>
      <c r="H66" s="1038">
        <f t="shared" si="36"/>
        <v>0</v>
      </c>
      <c r="I66" s="1418">
        <f>'[1]Oct midyear Madison Prep'!K66</f>
        <v>0</v>
      </c>
      <c r="J66" s="1418">
        <f>'[1]Feb midyear Madison Prep'!K66</f>
        <v>0</v>
      </c>
      <c r="K66" s="1418">
        <f t="shared" si="37"/>
        <v>0</v>
      </c>
      <c r="L66" s="1038">
        <f t="shared" si="38"/>
        <v>0</v>
      </c>
      <c r="M66" s="1085">
        <f t="shared" si="39"/>
        <v>0</v>
      </c>
      <c r="N66" s="1038">
        <f t="shared" si="40"/>
        <v>0</v>
      </c>
      <c r="O66" s="1038">
        <v>0</v>
      </c>
      <c r="P66" s="1038">
        <f t="shared" si="41"/>
        <v>0</v>
      </c>
      <c r="Q66" s="1038">
        <v>0</v>
      </c>
      <c r="R66" s="1437">
        <f t="shared" si="42"/>
        <v>0</v>
      </c>
      <c r="S66" s="1437">
        <f t="shared" si="43"/>
        <v>0</v>
      </c>
      <c r="T66" s="1034">
        <f>'[14]FY2012-13 Final'!K67</f>
        <v>3925</v>
      </c>
      <c r="U66" s="1035">
        <f t="shared" si="55"/>
        <v>0</v>
      </c>
      <c r="V66" s="1440">
        <f>'[20]Oct midyear Madison Prep'!E66</f>
        <v>0</v>
      </c>
      <c r="W66" s="1445">
        <f t="shared" si="44"/>
        <v>0</v>
      </c>
      <c r="X66" s="1475">
        <f>'[20]Feb midyear Madison Prep'!E66</f>
        <v>0</v>
      </c>
      <c r="Y66" s="1471">
        <f t="shared" si="45"/>
        <v>0</v>
      </c>
      <c r="Z66" s="1471">
        <f t="shared" si="46"/>
        <v>0</v>
      </c>
      <c r="AA66" s="1035">
        <f t="shared" si="47"/>
        <v>0</v>
      </c>
      <c r="AB66" s="1091">
        <f t="shared" si="48"/>
        <v>0</v>
      </c>
      <c r="AC66" s="1035">
        <f t="shared" si="49"/>
        <v>0</v>
      </c>
      <c r="AD66" s="1450">
        <v>0</v>
      </c>
      <c r="AE66" s="1450">
        <f t="shared" si="50"/>
        <v>0</v>
      </c>
      <c r="AF66" s="1450">
        <v>0</v>
      </c>
      <c r="AG66" s="1450">
        <f t="shared" si="51"/>
        <v>0</v>
      </c>
      <c r="AH66" s="1450">
        <f t="shared" si="52"/>
        <v>0</v>
      </c>
      <c r="AI66" s="1451">
        <f t="shared" si="53"/>
        <v>0</v>
      </c>
      <c r="AJ66" s="1451">
        <f t="shared" si="56"/>
        <v>0</v>
      </c>
      <c r="AL66" s="49">
        <f t="shared" si="57"/>
        <v>0</v>
      </c>
      <c r="AM66" s="49">
        <f>-'[22]Table 5C1A-Madison Prep'!AN66</f>
        <v>0</v>
      </c>
      <c r="AN66" s="49">
        <f>-'[21]Table 5C1A-Madison Prep'!P66</f>
        <v>0</v>
      </c>
      <c r="AO66" s="49">
        <f t="shared" si="54"/>
        <v>0</v>
      </c>
    </row>
    <row r="67" spans="1:41">
      <c r="A67" s="968">
        <v>61</v>
      </c>
      <c r="B67" s="969" t="s">
        <v>161</v>
      </c>
      <c r="C67" s="1173">
        <f>'Table 8 2.1.12 MFP Funded'!T64</f>
        <v>0</v>
      </c>
      <c r="D67" s="988">
        <f>'Table 3 Levels 1&amp;2'!AL68</f>
        <v>3068.5254213785697</v>
      </c>
      <c r="E67" s="1076">
        <f t="shared" si="34"/>
        <v>0</v>
      </c>
      <c r="F67" s="1076">
        <f>'Table 4 Level 3'!P66</f>
        <v>833.70999999999992</v>
      </c>
      <c r="G67" s="1076">
        <f t="shared" si="35"/>
        <v>0</v>
      </c>
      <c r="H67" s="1039">
        <f t="shared" si="36"/>
        <v>0</v>
      </c>
      <c r="I67" s="1419">
        <f>'[1]Oct midyear Madison Prep'!K67</f>
        <v>3902.2354213785698</v>
      </c>
      <c r="J67" s="1419">
        <f>'[1]Feb midyear Madison Prep'!K67</f>
        <v>0</v>
      </c>
      <c r="K67" s="1419">
        <f t="shared" si="37"/>
        <v>3902.2354213785698</v>
      </c>
      <c r="L67" s="1039">
        <f t="shared" si="38"/>
        <v>3902.2354213785698</v>
      </c>
      <c r="M67" s="1086">
        <f t="shared" si="39"/>
        <v>-9.7555885534464242</v>
      </c>
      <c r="N67" s="1039">
        <f t="shared" si="40"/>
        <v>3892.4798328251231</v>
      </c>
      <c r="O67" s="1039">
        <v>0</v>
      </c>
      <c r="P67" s="1039">
        <f t="shared" si="41"/>
        <v>3892.4798328251231</v>
      </c>
      <c r="Q67" s="1039">
        <f>972+972</f>
        <v>1944</v>
      </c>
      <c r="R67" s="1211">
        <f t="shared" si="42"/>
        <v>1948.4798328251231</v>
      </c>
      <c r="S67" s="1211">
        <f t="shared" si="43"/>
        <v>974.23991641256157</v>
      </c>
      <c r="T67" s="1029">
        <f>'[14]FY2012-13 Final'!K68</f>
        <v>6698</v>
      </c>
      <c r="U67" s="973">
        <f t="shared" si="55"/>
        <v>0</v>
      </c>
      <c r="V67" s="1441">
        <f>'[20]Oct midyear Madison Prep'!E67</f>
        <v>1</v>
      </c>
      <c r="W67" s="1444">
        <f t="shared" si="44"/>
        <v>6698</v>
      </c>
      <c r="X67" s="1466">
        <f>'[20]Feb midyear Madison Prep'!E67</f>
        <v>0</v>
      </c>
      <c r="Y67" s="1444">
        <f t="shared" si="45"/>
        <v>0</v>
      </c>
      <c r="Z67" s="1444">
        <f t="shared" si="46"/>
        <v>6698</v>
      </c>
      <c r="AA67" s="973">
        <f t="shared" si="47"/>
        <v>6698</v>
      </c>
      <c r="AB67" s="1089">
        <f t="shared" si="48"/>
        <v>-16.745000000000001</v>
      </c>
      <c r="AC67" s="973">
        <f t="shared" si="49"/>
        <v>6681.2550000000001</v>
      </c>
      <c r="AD67" s="1214">
        <v>0</v>
      </c>
      <c r="AE67" s="1214">
        <f t="shared" si="50"/>
        <v>6681.2550000000001</v>
      </c>
      <c r="AF67" s="1214">
        <f>1666+1666</f>
        <v>3332</v>
      </c>
      <c r="AG67" s="1214">
        <f t="shared" si="51"/>
        <v>3349.2550000000001</v>
      </c>
      <c r="AH67" s="1214">
        <f t="shared" si="52"/>
        <v>1674.6275000000001</v>
      </c>
      <c r="AI67" s="1447">
        <f t="shared" si="53"/>
        <v>10573.734832825123</v>
      </c>
      <c r="AJ67" s="1447">
        <f t="shared" si="56"/>
        <v>2648.8674164125614</v>
      </c>
      <c r="AL67" s="49">
        <f t="shared" si="57"/>
        <v>-16.745000000000001</v>
      </c>
      <c r="AM67" s="49">
        <f>-'[22]Table 5C1A-Madison Prep'!AN67</f>
        <v>16.7</v>
      </c>
      <c r="AN67" s="49">
        <f>-'[21]Table 5C1A-Madison Prep'!P67</f>
        <v>0</v>
      </c>
      <c r="AO67" s="49">
        <f t="shared" si="54"/>
        <v>-4.5000000000001705E-2</v>
      </c>
    </row>
    <row r="68" spans="1:41">
      <c r="A68" s="975">
        <v>62</v>
      </c>
      <c r="B68" s="976" t="s">
        <v>162</v>
      </c>
      <c r="C68" s="1171">
        <f>'Table 8 2.1.12 MFP Funded'!T65</f>
        <v>0</v>
      </c>
      <c r="D68" s="984">
        <f>'Table 3 Levels 1&amp;2'!AL69</f>
        <v>5577.0282124990472</v>
      </c>
      <c r="E68" s="1074">
        <f t="shared" si="34"/>
        <v>0</v>
      </c>
      <c r="F68" s="1074">
        <f>'Table 4 Level 3'!P67</f>
        <v>516.08000000000004</v>
      </c>
      <c r="G68" s="1074">
        <f t="shared" si="35"/>
        <v>0</v>
      </c>
      <c r="H68" s="1037">
        <f t="shared" si="36"/>
        <v>0</v>
      </c>
      <c r="I68" s="1417">
        <f>'[1]Oct midyear Madison Prep'!K68</f>
        <v>0</v>
      </c>
      <c r="J68" s="1417">
        <f>'[1]Feb midyear Madison Prep'!K68</f>
        <v>0</v>
      </c>
      <c r="K68" s="1417">
        <f t="shared" si="37"/>
        <v>0</v>
      </c>
      <c r="L68" s="1037">
        <f t="shared" si="38"/>
        <v>0</v>
      </c>
      <c r="M68" s="1084">
        <f t="shared" si="39"/>
        <v>0</v>
      </c>
      <c r="N68" s="1037">
        <f t="shared" si="40"/>
        <v>0</v>
      </c>
      <c r="O68" s="1037">
        <v>0</v>
      </c>
      <c r="P68" s="1037">
        <f t="shared" si="41"/>
        <v>0</v>
      </c>
      <c r="Q68" s="1037">
        <v>0</v>
      </c>
      <c r="R68" s="1436">
        <f t="shared" si="42"/>
        <v>0</v>
      </c>
      <c r="S68" s="1436">
        <f t="shared" si="43"/>
        <v>0</v>
      </c>
      <c r="T68" s="1029">
        <f>'[14]FY2012-13 Final'!K69</f>
        <v>1785</v>
      </c>
      <c r="U68" s="1031">
        <f t="shared" si="55"/>
        <v>0</v>
      </c>
      <c r="V68" s="1439">
        <f>'[20]Oct midyear Madison Prep'!E68</f>
        <v>0</v>
      </c>
      <c r="W68" s="1443">
        <f t="shared" si="44"/>
        <v>0</v>
      </c>
      <c r="X68" s="1474">
        <f>'[20]Feb midyear Madison Prep'!E68</f>
        <v>0</v>
      </c>
      <c r="Y68" s="1470">
        <f t="shared" si="45"/>
        <v>0</v>
      </c>
      <c r="Z68" s="1470">
        <f t="shared" si="46"/>
        <v>0</v>
      </c>
      <c r="AA68" s="1031">
        <f t="shared" si="47"/>
        <v>0</v>
      </c>
      <c r="AB68" s="1090">
        <f t="shared" si="48"/>
        <v>0</v>
      </c>
      <c r="AC68" s="1031">
        <f t="shared" si="49"/>
        <v>0</v>
      </c>
      <c r="AD68" s="1448">
        <v>0</v>
      </c>
      <c r="AE68" s="1448">
        <f t="shared" si="50"/>
        <v>0</v>
      </c>
      <c r="AF68" s="1448">
        <v>0</v>
      </c>
      <c r="AG68" s="1448">
        <f t="shared" si="51"/>
        <v>0</v>
      </c>
      <c r="AH68" s="1448">
        <f t="shared" si="52"/>
        <v>0</v>
      </c>
      <c r="AI68" s="1449">
        <f t="shared" si="53"/>
        <v>0</v>
      </c>
      <c r="AJ68" s="1449">
        <f t="shared" si="56"/>
        <v>0</v>
      </c>
      <c r="AL68" s="49">
        <f t="shared" si="57"/>
        <v>0</v>
      </c>
      <c r="AM68" s="49">
        <f>-'[22]Table 5C1A-Madison Prep'!AN68</f>
        <v>0</v>
      </c>
      <c r="AN68" s="49">
        <f>-'[21]Table 5C1A-Madison Prep'!P68</f>
        <v>0</v>
      </c>
      <c r="AO68" s="49">
        <f t="shared" si="54"/>
        <v>0</v>
      </c>
    </row>
    <row r="69" spans="1:41">
      <c r="A69" s="975">
        <v>63</v>
      </c>
      <c r="B69" s="976" t="s">
        <v>163</v>
      </c>
      <c r="C69" s="1171">
        <f>'Table 8 2.1.12 MFP Funded'!T66</f>
        <v>0</v>
      </c>
      <c r="D69" s="984">
        <f>'Table 3 Levels 1&amp;2'!AL70</f>
        <v>4427.207711317601</v>
      </c>
      <c r="E69" s="1074">
        <f t="shared" si="34"/>
        <v>0</v>
      </c>
      <c r="F69" s="1074">
        <f>'Table 4 Level 3'!P68</f>
        <v>756.79</v>
      </c>
      <c r="G69" s="1074">
        <f t="shared" si="35"/>
        <v>0</v>
      </c>
      <c r="H69" s="1037">
        <f t="shared" si="36"/>
        <v>0</v>
      </c>
      <c r="I69" s="1417">
        <f>'[1]Oct midyear Madison Prep'!K69</f>
        <v>0</v>
      </c>
      <c r="J69" s="1417">
        <f>'[1]Feb midyear Madison Prep'!K69</f>
        <v>0</v>
      </c>
      <c r="K69" s="1417">
        <f t="shared" si="37"/>
        <v>0</v>
      </c>
      <c r="L69" s="1037">
        <f t="shared" si="38"/>
        <v>0</v>
      </c>
      <c r="M69" s="1084">
        <f t="shared" si="39"/>
        <v>0</v>
      </c>
      <c r="N69" s="1037">
        <f t="shared" si="40"/>
        <v>0</v>
      </c>
      <c r="O69" s="1037">
        <v>0</v>
      </c>
      <c r="P69" s="1037">
        <f t="shared" si="41"/>
        <v>0</v>
      </c>
      <c r="Q69" s="1037">
        <v>0</v>
      </c>
      <c r="R69" s="1436">
        <f t="shared" si="42"/>
        <v>0</v>
      </c>
      <c r="S69" s="1436">
        <f t="shared" si="43"/>
        <v>0</v>
      </c>
      <c r="T69" s="1029">
        <f>'[14]FY2012-13 Final'!K70</f>
        <v>7190</v>
      </c>
      <c r="U69" s="1031">
        <f t="shared" si="55"/>
        <v>0</v>
      </c>
      <c r="V69" s="1439">
        <f>'[20]Oct midyear Madison Prep'!E69</f>
        <v>0</v>
      </c>
      <c r="W69" s="1443">
        <f t="shared" si="44"/>
        <v>0</v>
      </c>
      <c r="X69" s="1474">
        <f>'[20]Feb midyear Madison Prep'!E69</f>
        <v>0</v>
      </c>
      <c r="Y69" s="1470">
        <f t="shared" si="45"/>
        <v>0</v>
      </c>
      <c r="Z69" s="1470">
        <f t="shared" si="46"/>
        <v>0</v>
      </c>
      <c r="AA69" s="1031">
        <f t="shared" si="47"/>
        <v>0</v>
      </c>
      <c r="AB69" s="1090">
        <f t="shared" si="48"/>
        <v>0</v>
      </c>
      <c r="AC69" s="1031">
        <f t="shared" si="49"/>
        <v>0</v>
      </c>
      <c r="AD69" s="1448">
        <v>0</v>
      </c>
      <c r="AE69" s="1448">
        <f t="shared" si="50"/>
        <v>0</v>
      </c>
      <c r="AF69" s="1448">
        <v>0</v>
      </c>
      <c r="AG69" s="1448">
        <f t="shared" si="51"/>
        <v>0</v>
      </c>
      <c r="AH69" s="1448">
        <f t="shared" si="52"/>
        <v>0</v>
      </c>
      <c r="AI69" s="1449">
        <f t="shared" si="53"/>
        <v>0</v>
      </c>
      <c r="AJ69" s="1449">
        <f t="shared" si="56"/>
        <v>0</v>
      </c>
      <c r="AL69" s="49">
        <f t="shared" si="57"/>
        <v>0</v>
      </c>
      <c r="AM69" s="49">
        <f>-'[22]Table 5C1A-Madison Prep'!AN69</f>
        <v>0</v>
      </c>
      <c r="AN69" s="49">
        <f>-'[21]Table 5C1A-Madison Prep'!P69</f>
        <v>0</v>
      </c>
      <c r="AO69" s="49">
        <f t="shared" si="54"/>
        <v>0</v>
      </c>
    </row>
    <row r="70" spans="1:41">
      <c r="A70" s="975">
        <v>64</v>
      </c>
      <c r="B70" s="976" t="s">
        <v>164</v>
      </c>
      <c r="C70" s="1171">
        <f>'Table 8 2.1.12 MFP Funded'!T67</f>
        <v>0</v>
      </c>
      <c r="D70" s="984">
        <f>'Table 3 Levels 1&amp;2'!AL71</f>
        <v>5888.4725850181812</v>
      </c>
      <c r="E70" s="1074">
        <f t="shared" si="34"/>
        <v>0</v>
      </c>
      <c r="F70" s="1074">
        <f>'Table 4 Level 3'!P69</f>
        <v>592.66</v>
      </c>
      <c r="G70" s="1074">
        <f t="shared" si="35"/>
        <v>0</v>
      </c>
      <c r="H70" s="1037">
        <f t="shared" si="36"/>
        <v>0</v>
      </c>
      <c r="I70" s="1417">
        <f>'[1]Oct midyear Madison Prep'!K70</f>
        <v>0</v>
      </c>
      <c r="J70" s="1417">
        <f>'[1]Feb midyear Madison Prep'!K70</f>
        <v>0</v>
      </c>
      <c r="K70" s="1417">
        <f t="shared" si="37"/>
        <v>0</v>
      </c>
      <c r="L70" s="1037">
        <f t="shared" si="38"/>
        <v>0</v>
      </c>
      <c r="M70" s="1084">
        <f t="shared" si="39"/>
        <v>0</v>
      </c>
      <c r="N70" s="1037">
        <f t="shared" si="40"/>
        <v>0</v>
      </c>
      <c r="O70" s="1037">
        <v>0</v>
      </c>
      <c r="P70" s="1037">
        <f t="shared" si="41"/>
        <v>0</v>
      </c>
      <c r="Q70" s="1037">
        <v>0</v>
      </c>
      <c r="R70" s="1436">
        <f t="shared" si="42"/>
        <v>0</v>
      </c>
      <c r="S70" s="1436">
        <f t="shared" si="43"/>
        <v>0</v>
      </c>
      <c r="T70" s="1029">
        <f>'[14]FY2012-13 Final'!K71</f>
        <v>2702</v>
      </c>
      <c r="U70" s="1031">
        <f t="shared" si="55"/>
        <v>0</v>
      </c>
      <c r="V70" s="1439">
        <f>'[20]Oct midyear Madison Prep'!E70</f>
        <v>0</v>
      </c>
      <c r="W70" s="1443">
        <f t="shared" si="44"/>
        <v>0</v>
      </c>
      <c r="X70" s="1474">
        <f>'[20]Feb midyear Madison Prep'!E70</f>
        <v>0</v>
      </c>
      <c r="Y70" s="1470">
        <f t="shared" si="45"/>
        <v>0</v>
      </c>
      <c r="Z70" s="1470">
        <f t="shared" si="46"/>
        <v>0</v>
      </c>
      <c r="AA70" s="1031">
        <f t="shared" si="47"/>
        <v>0</v>
      </c>
      <c r="AB70" s="1090">
        <f t="shared" si="48"/>
        <v>0</v>
      </c>
      <c r="AC70" s="1031">
        <f t="shared" si="49"/>
        <v>0</v>
      </c>
      <c r="AD70" s="1448">
        <v>0</v>
      </c>
      <c r="AE70" s="1448">
        <f t="shared" si="50"/>
        <v>0</v>
      </c>
      <c r="AF70" s="1448">
        <v>0</v>
      </c>
      <c r="AG70" s="1448">
        <f t="shared" si="51"/>
        <v>0</v>
      </c>
      <c r="AH70" s="1448">
        <f t="shared" si="52"/>
        <v>0</v>
      </c>
      <c r="AI70" s="1449">
        <f t="shared" si="53"/>
        <v>0</v>
      </c>
      <c r="AJ70" s="1449">
        <f t="shared" si="56"/>
        <v>0</v>
      </c>
      <c r="AL70" s="49">
        <f t="shared" si="57"/>
        <v>0</v>
      </c>
      <c r="AM70" s="49">
        <f>-'[22]Table 5C1A-Madison Prep'!AN70</f>
        <v>0</v>
      </c>
      <c r="AN70" s="49">
        <f>-'[21]Table 5C1A-Madison Prep'!P70</f>
        <v>0</v>
      </c>
      <c r="AO70" s="49">
        <f t="shared" si="54"/>
        <v>0</v>
      </c>
    </row>
    <row r="71" spans="1:41">
      <c r="A71" s="979">
        <v>65</v>
      </c>
      <c r="B71" s="980" t="s">
        <v>165</v>
      </c>
      <c r="C71" s="1172">
        <f>'Table 8 2.1.12 MFP Funded'!T68</f>
        <v>0</v>
      </c>
      <c r="D71" s="986">
        <f>'Table 3 Levels 1&amp;2'!AL72</f>
        <v>4583.9609010774066</v>
      </c>
      <c r="E71" s="1075">
        <f t="shared" si="34"/>
        <v>0</v>
      </c>
      <c r="F71" s="1075">
        <f>'Table 4 Level 3'!P70</f>
        <v>829.12</v>
      </c>
      <c r="G71" s="1075">
        <f t="shared" si="35"/>
        <v>0</v>
      </c>
      <c r="H71" s="1038">
        <f t="shared" si="36"/>
        <v>0</v>
      </c>
      <c r="I71" s="1418">
        <f>'[1]Oct midyear Madison Prep'!K71</f>
        <v>0</v>
      </c>
      <c r="J71" s="1418">
        <f>'[1]Feb midyear Madison Prep'!K71</f>
        <v>0</v>
      </c>
      <c r="K71" s="1418">
        <f t="shared" si="37"/>
        <v>0</v>
      </c>
      <c r="L71" s="1038">
        <f t="shared" si="38"/>
        <v>0</v>
      </c>
      <c r="M71" s="1085">
        <f t="shared" si="39"/>
        <v>0</v>
      </c>
      <c r="N71" s="1038">
        <f t="shared" si="40"/>
        <v>0</v>
      </c>
      <c r="O71" s="1038">
        <v>0</v>
      </c>
      <c r="P71" s="1038">
        <f t="shared" si="41"/>
        <v>0</v>
      </c>
      <c r="Q71" s="1038">
        <v>0</v>
      </c>
      <c r="R71" s="1437">
        <f t="shared" si="42"/>
        <v>0</v>
      </c>
      <c r="S71" s="1437">
        <f t="shared" si="43"/>
        <v>0</v>
      </c>
      <c r="T71" s="1034">
        <f>'[14]FY2012-13 Final'!K72</f>
        <v>4936</v>
      </c>
      <c r="U71" s="1035">
        <f t="shared" ref="U71:U75" si="58">C71*T71</f>
        <v>0</v>
      </c>
      <c r="V71" s="1440">
        <f>'[20]Oct midyear Madison Prep'!E71</f>
        <v>0</v>
      </c>
      <c r="W71" s="1445">
        <f t="shared" si="44"/>
        <v>0</v>
      </c>
      <c r="X71" s="1475">
        <f>'[20]Feb midyear Madison Prep'!E71</f>
        <v>0</v>
      </c>
      <c r="Y71" s="1471">
        <f t="shared" si="45"/>
        <v>0</v>
      </c>
      <c r="Z71" s="1471">
        <f t="shared" si="46"/>
        <v>0</v>
      </c>
      <c r="AA71" s="1035">
        <f t="shared" si="47"/>
        <v>0</v>
      </c>
      <c r="AB71" s="1091">
        <f t="shared" si="48"/>
        <v>0</v>
      </c>
      <c r="AC71" s="1035">
        <f t="shared" si="49"/>
        <v>0</v>
      </c>
      <c r="AD71" s="1450">
        <v>0</v>
      </c>
      <c r="AE71" s="1450">
        <f t="shared" si="50"/>
        <v>0</v>
      </c>
      <c r="AF71" s="1450">
        <v>0</v>
      </c>
      <c r="AG71" s="1450">
        <f t="shared" si="51"/>
        <v>0</v>
      </c>
      <c r="AH71" s="1450">
        <f t="shared" si="52"/>
        <v>0</v>
      </c>
      <c r="AI71" s="1451">
        <f t="shared" si="53"/>
        <v>0</v>
      </c>
      <c r="AJ71" s="1451">
        <f t="shared" si="56"/>
        <v>0</v>
      </c>
      <c r="AL71" s="49">
        <f t="shared" si="57"/>
        <v>0</v>
      </c>
      <c r="AM71" s="49">
        <f>-'[22]Table 5C1A-Madison Prep'!AN71</f>
        <v>0</v>
      </c>
      <c r="AN71" s="49">
        <f>-'[21]Table 5C1A-Madison Prep'!P71</f>
        <v>0</v>
      </c>
      <c r="AO71" s="49">
        <f t="shared" si="54"/>
        <v>0</v>
      </c>
    </row>
    <row r="72" spans="1:41">
      <c r="A72" s="968">
        <v>66</v>
      </c>
      <c r="B72" s="969" t="s">
        <v>166</v>
      </c>
      <c r="C72" s="1173">
        <f>'Table 8 2.1.12 MFP Funded'!T69</f>
        <v>0</v>
      </c>
      <c r="D72" s="988">
        <f>'Table 3 Levels 1&amp;2'!AL73</f>
        <v>6262.4784859426345</v>
      </c>
      <c r="E72" s="1076">
        <f t="shared" ref="E72:E75" si="59">C72*D72</f>
        <v>0</v>
      </c>
      <c r="F72" s="1076">
        <f>'Table 4 Level 3'!P71</f>
        <v>730.06</v>
      </c>
      <c r="G72" s="1076">
        <f t="shared" ref="G72:G75" si="60">C72*F72</f>
        <v>0</v>
      </c>
      <c r="H72" s="1039">
        <f t="shared" ref="H72:H75" si="61">E72+G72</f>
        <v>0</v>
      </c>
      <c r="I72" s="1419">
        <f>'[1]Oct midyear Madison Prep'!K72</f>
        <v>0</v>
      </c>
      <c r="J72" s="1419">
        <f>'[1]Feb midyear Madison Prep'!K72</f>
        <v>0</v>
      </c>
      <c r="K72" s="1419">
        <f t="shared" ref="K72:K75" si="62">I72+J72</f>
        <v>0</v>
      </c>
      <c r="L72" s="1039">
        <f t="shared" ref="L72:L75" si="63">H72+K72</f>
        <v>0</v>
      </c>
      <c r="M72" s="1086">
        <f t="shared" ref="M72:M75" si="64">-(0.25%*L72)</f>
        <v>0</v>
      </c>
      <c r="N72" s="1039">
        <f t="shared" ref="N72:N75" si="65">SUM(L72:M72)</f>
        <v>0</v>
      </c>
      <c r="O72" s="1039">
        <v>0</v>
      </c>
      <c r="P72" s="1039">
        <f t="shared" ref="P72:P75" si="66">N72+O72</f>
        <v>0</v>
      </c>
      <c r="Q72" s="1039">
        <v>0</v>
      </c>
      <c r="R72" s="1211">
        <f t="shared" ref="R72:R75" si="67">P72-Q72</f>
        <v>0</v>
      </c>
      <c r="S72" s="1211">
        <f t="shared" ref="S72:S75" si="68">R72/2</f>
        <v>0</v>
      </c>
      <c r="T72" s="1029">
        <f>'[14]FY2012-13 Final'!K73</f>
        <v>3528</v>
      </c>
      <c r="U72" s="973">
        <f t="shared" si="58"/>
        <v>0</v>
      </c>
      <c r="V72" s="1441">
        <f>'[20]Oct midyear Madison Prep'!E72</f>
        <v>0</v>
      </c>
      <c r="W72" s="1444">
        <f t="shared" ref="W72:W75" si="69">V72*T72</f>
        <v>0</v>
      </c>
      <c r="X72" s="1466">
        <f>'[20]Feb midyear Madison Prep'!E72</f>
        <v>0</v>
      </c>
      <c r="Y72" s="1444">
        <f t="shared" ref="Y72:Y75" si="70">X72*(T72*0.5)</f>
        <v>0</v>
      </c>
      <c r="Z72" s="1444">
        <f t="shared" ref="Z72:Z75" si="71">W72+Y72</f>
        <v>0</v>
      </c>
      <c r="AA72" s="973">
        <f t="shared" ref="AA72:AA75" si="72">U72+Z72</f>
        <v>0</v>
      </c>
      <c r="AB72" s="1089">
        <f t="shared" ref="AB72:AB75" si="73">-(0.25%*AA72)</f>
        <v>0</v>
      </c>
      <c r="AC72" s="973">
        <f t="shared" ref="AC72:AC75" si="74">SUM(AA72:AB72)</f>
        <v>0</v>
      </c>
      <c r="AD72" s="1214">
        <v>0</v>
      </c>
      <c r="AE72" s="1214">
        <f t="shared" ref="AE72:AE75" si="75">SUM(AC72:AD72)</f>
        <v>0</v>
      </c>
      <c r="AF72" s="1214">
        <v>0</v>
      </c>
      <c r="AG72" s="1214">
        <f t="shared" ref="AG72:AG75" si="76">AE72-AF72</f>
        <v>0</v>
      </c>
      <c r="AH72" s="1214">
        <f t="shared" ref="AH72:AH75" si="77">AG72/2</f>
        <v>0</v>
      </c>
      <c r="AI72" s="1447">
        <f t="shared" ref="AI72:AI75" si="78">P72+AE72</f>
        <v>0</v>
      </c>
      <c r="AJ72" s="1447">
        <f t="shared" si="56"/>
        <v>0</v>
      </c>
      <c r="AL72" s="49">
        <f t="shared" si="57"/>
        <v>0</v>
      </c>
      <c r="AM72" s="49">
        <f>-'[22]Table 5C1A-Madison Prep'!AN72</f>
        <v>0</v>
      </c>
      <c r="AN72" s="49">
        <f>-'[21]Table 5C1A-Madison Prep'!P72</f>
        <v>0</v>
      </c>
      <c r="AO72" s="49">
        <f t="shared" ref="AO72:AO75" si="79">SUM(AL72:AM72)</f>
        <v>0</v>
      </c>
    </row>
    <row r="73" spans="1:41">
      <c r="A73" s="975">
        <v>67</v>
      </c>
      <c r="B73" s="976" t="s">
        <v>33</v>
      </c>
      <c r="C73" s="1171">
        <f>'Table 8 2.1.12 MFP Funded'!T70</f>
        <v>2</v>
      </c>
      <c r="D73" s="984">
        <f>'Table 3 Levels 1&amp;2'!AL74</f>
        <v>5059.3528695821524</v>
      </c>
      <c r="E73" s="1074">
        <f t="shared" si="59"/>
        <v>10118.705739164305</v>
      </c>
      <c r="F73" s="1074">
        <f>'Table 4 Level 3'!P72</f>
        <v>715.61</v>
      </c>
      <c r="G73" s="1074">
        <f t="shared" si="60"/>
        <v>1431.22</v>
      </c>
      <c r="H73" s="1037">
        <f t="shared" si="61"/>
        <v>11549.925739164304</v>
      </c>
      <c r="I73" s="1417">
        <f>'[1]Oct midyear Madison Prep'!K73</f>
        <v>5774.9628695821521</v>
      </c>
      <c r="J73" s="1417">
        <f>'[1]Feb midyear Madison Prep'!K73</f>
        <v>-2887.481434791076</v>
      </c>
      <c r="K73" s="1417">
        <f t="shared" si="62"/>
        <v>2887.481434791076</v>
      </c>
      <c r="L73" s="1037">
        <f t="shared" si="63"/>
        <v>14437.40717395538</v>
      </c>
      <c r="M73" s="1084">
        <f t="shared" si="64"/>
        <v>-36.093517934888453</v>
      </c>
      <c r="N73" s="1037">
        <f t="shared" si="65"/>
        <v>14401.313656020491</v>
      </c>
      <c r="O73" s="1037">
        <v>0</v>
      </c>
      <c r="P73" s="1037">
        <f t="shared" si="66"/>
        <v>14401.313656020491</v>
      </c>
      <c r="Q73" s="1037">
        <f>958+2004+1429+1429+1429+1429+1429+1429+710+710</f>
        <v>12956</v>
      </c>
      <c r="R73" s="1436">
        <f t="shared" si="67"/>
        <v>1445.3136560204912</v>
      </c>
      <c r="S73" s="1436">
        <f t="shared" si="68"/>
        <v>722.65682801024559</v>
      </c>
      <c r="T73" s="1029">
        <f>'[14]FY2012-13 Final'!K74</f>
        <v>5055</v>
      </c>
      <c r="U73" s="1031">
        <f t="shared" si="58"/>
        <v>10110</v>
      </c>
      <c r="V73" s="1439">
        <f>'[20]Oct midyear Madison Prep'!E73</f>
        <v>1</v>
      </c>
      <c r="W73" s="1443">
        <f t="shared" si="69"/>
        <v>5055</v>
      </c>
      <c r="X73" s="1474">
        <f>'[20]Feb midyear Madison Prep'!E73</f>
        <v>-1</v>
      </c>
      <c r="Y73" s="1470">
        <f t="shared" si="70"/>
        <v>-2527.5</v>
      </c>
      <c r="Z73" s="1470">
        <f t="shared" si="71"/>
        <v>2527.5</v>
      </c>
      <c r="AA73" s="1031">
        <f t="shared" si="72"/>
        <v>12637.5</v>
      </c>
      <c r="AB73" s="1090">
        <f t="shared" si="73"/>
        <v>-31.59375</v>
      </c>
      <c r="AC73" s="1031">
        <f t="shared" si="74"/>
        <v>12605.90625</v>
      </c>
      <c r="AD73" s="1448">
        <v>0</v>
      </c>
      <c r="AE73" s="1448">
        <f t="shared" si="75"/>
        <v>12605.90625</v>
      </c>
      <c r="AF73" s="1448">
        <f>748+1565+1116+1116+1116+1116+1116+1116+897+897</f>
        <v>10803</v>
      </c>
      <c r="AG73" s="1448">
        <f t="shared" si="76"/>
        <v>1802.90625</v>
      </c>
      <c r="AH73" s="1448">
        <f t="shared" si="77"/>
        <v>901.453125</v>
      </c>
      <c r="AI73" s="1449">
        <f t="shared" si="78"/>
        <v>27007.219906020491</v>
      </c>
      <c r="AJ73" s="1449">
        <f t="shared" si="56"/>
        <v>1624.1099530102456</v>
      </c>
      <c r="AL73" s="49">
        <f t="shared" si="57"/>
        <v>-31.59375</v>
      </c>
      <c r="AM73" s="49">
        <f>-'[22]Table 5C1A-Madison Prep'!AN73</f>
        <v>31.574999999999999</v>
      </c>
      <c r="AN73" s="49">
        <f>-'[21]Table 5C1A-Madison Prep'!P73</f>
        <v>22.51</v>
      </c>
      <c r="AO73" s="49">
        <f t="shared" si="79"/>
        <v>-1.8750000000000711E-2</v>
      </c>
    </row>
    <row r="74" spans="1:41">
      <c r="A74" s="975">
        <v>68</v>
      </c>
      <c r="B74" s="976" t="s">
        <v>31</v>
      </c>
      <c r="C74" s="1171">
        <f>'Table 8 2.1.12 MFP Funded'!T71</f>
        <v>4</v>
      </c>
      <c r="D74" s="984">
        <f>'Table 3 Levels 1&amp;2'!AL75</f>
        <v>5863.2815891318614</v>
      </c>
      <c r="E74" s="1074">
        <f t="shared" si="59"/>
        <v>23453.126356527446</v>
      </c>
      <c r="F74" s="1074">
        <f>'Table 4 Level 3'!P73</f>
        <v>798.7</v>
      </c>
      <c r="G74" s="1074">
        <f t="shared" si="60"/>
        <v>3194.8</v>
      </c>
      <c r="H74" s="1037">
        <f t="shared" si="61"/>
        <v>26647.926356527445</v>
      </c>
      <c r="I74" s="1417">
        <f>'[1]Oct midyear Madison Prep'!K74</f>
        <v>0</v>
      </c>
      <c r="J74" s="1417">
        <f>'[1]Feb midyear Madison Prep'!K74</f>
        <v>0</v>
      </c>
      <c r="K74" s="1417">
        <f t="shared" si="62"/>
        <v>0</v>
      </c>
      <c r="L74" s="1037">
        <f t="shared" si="63"/>
        <v>26647.926356527445</v>
      </c>
      <c r="M74" s="1084">
        <f t="shared" si="64"/>
        <v>-66.619815891318609</v>
      </c>
      <c r="N74" s="1037">
        <f t="shared" si="65"/>
        <v>26581.306540636127</v>
      </c>
      <c r="O74" s="1037">
        <v>0</v>
      </c>
      <c r="P74" s="1037">
        <f t="shared" si="66"/>
        <v>26581.306540636127</v>
      </c>
      <c r="Q74" s="1037">
        <f>2215+1611+2275+2275+2275+2275+2275+2275+2275+2275</f>
        <v>22026</v>
      </c>
      <c r="R74" s="1436">
        <f t="shared" si="67"/>
        <v>4555.3065406361275</v>
      </c>
      <c r="S74" s="1436">
        <f t="shared" si="68"/>
        <v>2277.6532703180637</v>
      </c>
      <c r="T74" s="1029">
        <f>'[14]FY2012-13 Final'!K75</f>
        <v>2809</v>
      </c>
      <c r="U74" s="1031">
        <f t="shared" si="58"/>
        <v>11236</v>
      </c>
      <c r="V74" s="1439">
        <f>'[20]Oct midyear Madison Prep'!E74</f>
        <v>0</v>
      </c>
      <c r="W74" s="1443">
        <f t="shared" si="69"/>
        <v>0</v>
      </c>
      <c r="X74" s="1474">
        <f>'[20]Feb midyear Madison Prep'!E74</f>
        <v>0</v>
      </c>
      <c r="Y74" s="1470">
        <f t="shared" si="70"/>
        <v>0</v>
      </c>
      <c r="Z74" s="1470">
        <f t="shared" si="71"/>
        <v>0</v>
      </c>
      <c r="AA74" s="1031">
        <f t="shared" si="72"/>
        <v>11236</v>
      </c>
      <c r="AB74" s="1090">
        <f t="shared" si="73"/>
        <v>-28.09</v>
      </c>
      <c r="AC74" s="1031">
        <f t="shared" si="74"/>
        <v>11207.91</v>
      </c>
      <c r="AD74" s="1448">
        <v>0</v>
      </c>
      <c r="AE74" s="1448">
        <f t="shared" si="75"/>
        <v>11207.91</v>
      </c>
      <c r="AF74" s="1448">
        <f>860+626+884+884+884+884+884+884+1059+1059</f>
        <v>8908</v>
      </c>
      <c r="AG74" s="1448">
        <f t="shared" si="76"/>
        <v>2299.91</v>
      </c>
      <c r="AH74" s="1448">
        <f t="shared" si="77"/>
        <v>1149.9549999999999</v>
      </c>
      <c r="AI74" s="1449">
        <f t="shared" si="78"/>
        <v>37789.216540636131</v>
      </c>
      <c r="AJ74" s="1449">
        <f t="shared" si="56"/>
        <v>3427.6082703180637</v>
      </c>
      <c r="AL74" s="49">
        <f t="shared" si="57"/>
        <v>-28.09</v>
      </c>
      <c r="AM74" s="49">
        <f>-'[22]Table 5C1A-Madison Prep'!AN74</f>
        <v>27.63</v>
      </c>
      <c r="AN74" s="49">
        <f>-'[21]Table 5C1A-Madison Prep'!P74</f>
        <v>25.87</v>
      </c>
      <c r="AO74" s="49">
        <f t="shared" si="79"/>
        <v>-0.46000000000000085</v>
      </c>
    </row>
    <row r="75" spans="1:41">
      <c r="A75" s="989">
        <v>69</v>
      </c>
      <c r="B75" s="990" t="s">
        <v>229</v>
      </c>
      <c r="C75" s="1174">
        <f>'Table 8 2.1.12 MFP Funded'!T72</f>
        <v>2</v>
      </c>
      <c r="D75" s="992">
        <f>'Table 3 Levels 1&amp;2'!AL76</f>
        <v>5520.7940729790862</v>
      </c>
      <c r="E75" s="1077">
        <f t="shared" si="59"/>
        <v>11041.588145958172</v>
      </c>
      <c r="F75" s="1077">
        <f>'Table 4 Level 3'!P74</f>
        <v>705.67</v>
      </c>
      <c r="G75" s="1077">
        <f t="shared" si="60"/>
        <v>1411.34</v>
      </c>
      <c r="H75" s="1040">
        <f t="shared" si="61"/>
        <v>12452.928145958173</v>
      </c>
      <c r="I75" s="1420">
        <f>'[1]Oct midyear Madison Prep'!K75</f>
        <v>-12452.928145958173</v>
      </c>
      <c r="J75" s="1420">
        <f>'[1]Feb midyear Madison Prep'!K75</f>
        <v>0</v>
      </c>
      <c r="K75" s="1420">
        <f t="shared" si="62"/>
        <v>-12452.928145958173</v>
      </c>
      <c r="L75" s="1040">
        <f t="shared" si="63"/>
        <v>0</v>
      </c>
      <c r="M75" s="1087">
        <f t="shared" si="64"/>
        <v>0</v>
      </c>
      <c r="N75" s="1040">
        <f t="shared" si="65"/>
        <v>0</v>
      </c>
      <c r="O75" s="1040">
        <v>0</v>
      </c>
      <c r="P75" s="1040">
        <f t="shared" si="66"/>
        <v>0</v>
      </c>
      <c r="Q75" s="1040">
        <f>1033-94-94-94-94-94-94-94-94-94</f>
        <v>187</v>
      </c>
      <c r="R75" s="1438">
        <f t="shared" si="67"/>
        <v>-187</v>
      </c>
      <c r="S75" s="1438">
        <f t="shared" si="68"/>
        <v>-93.5</v>
      </c>
      <c r="T75" s="1029">
        <f>'[14]FY2012-13 Final'!K76</f>
        <v>3329</v>
      </c>
      <c r="U75" s="1041">
        <f t="shared" si="58"/>
        <v>6658</v>
      </c>
      <c r="V75" s="1442">
        <f>'[20]Oct midyear Madison Prep'!E75</f>
        <v>-2</v>
      </c>
      <c r="W75" s="1446">
        <f t="shared" si="69"/>
        <v>-6658</v>
      </c>
      <c r="X75" s="1476">
        <f>'[20]Feb midyear Madison Prep'!E75</f>
        <v>0</v>
      </c>
      <c r="Y75" s="1472">
        <f t="shared" si="70"/>
        <v>0</v>
      </c>
      <c r="Z75" s="1472">
        <f t="shared" si="71"/>
        <v>-6658</v>
      </c>
      <c r="AA75" s="1041">
        <f t="shared" si="72"/>
        <v>0</v>
      </c>
      <c r="AB75" s="1092">
        <f t="shared" si="73"/>
        <v>0</v>
      </c>
      <c r="AC75" s="1041">
        <f t="shared" si="74"/>
        <v>0</v>
      </c>
      <c r="AD75" s="1452">
        <v>0</v>
      </c>
      <c r="AE75" s="1452">
        <f t="shared" si="75"/>
        <v>0</v>
      </c>
      <c r="AF75" s="1452">
        <f>537-49-49-49-49-49-49-49-49-49</f>
        <v>96</v>
      </c>
      <c r="AG75" s="1452">
        <f t="shared" si="76"/>
        <v>-96</v>
      </c>
      <c r="AH75" s="1452">
        <f t="shared" si="77"/>
        <v>-48</v>
      </c>
      <c r="AI75" s="1453">
        <f t="shared" si="78"/>
        <v>0</v>
      </c>
      <c r="AJ75" s="1453">
        <f t="shared" si="56"/>
        <v>-141.5</v>
      </c>
      <c r="AL75" s="49">
        <f t="shared" si="57"/>
        <v>0</v>
      </c>
      <c r="AM75" s="49">
        <f>-'[22]Table 5C1A-Madison Prep'!AN75</f>
        <v>0</v>
      </c>
      <c r="AN75" s="49">
        <f>-'[21]Table 5C1A-Madison Prep'!P75</f>
        <v>16.164999999999999</v>
      </c>
      <c r="AO75" s="49">
        <f t="shared" si="79"/>
        <v>0</v>
      </c>
    </row>
    <row r="76" spans="1:41" ht="13.5" thickBot="1">
      <c r="A76" s="993"/>
      <c r="B76" s="994" t="s">
        <v>167</v>
      </c>
      <c r="C76" s="995">
        <f>SUM(C7:C75)</f>
        <v>198</v>
      </c>
      <c r="D76" s="996">
        <f>'Table 3 Levels 1&amp;2'!AL77</f>
        <v>4336.5032257801222</v>
      </c>
      <c r="E76" s="1078">
        <f>SUM(E7:E75)</f>
        <v>691891.50625455705</v>
      </c>
      <c r="F76" s="1078">
        <f>'Table 4 Level 3'!P75</f>
        <v>703.90028204588873</v>
      </c>
      <c r="G76" s="1078">
        <f t="shared" ref="G76:R76" si="80">SUM(G7:G75)</f>
        <v>158076.40096776484</v>
      </c>
      <c r="H76" s="997">
        <f t="shared" si="80"/>
        <v>849967.90722232219</v>
      </c>
      <c r="I76" s="1421">
        <f t="shared" si="80"/>
        <v>150672.02174285467</v>
      </c>
      <c r="J76" s="1421">
        <f t="shared" ref="J76:L76" si="81">SUM(J7:J75)</f>
        <v>-46958.103571683168</v>
      </c>
      <c r="K76" s="1421">
        <f t="shared" si="81"/>
        <v>103713.91817117152</v>
      </c>
      <c r="L76" s="997">
        <f t="shared" si="81"/>
        <v>953681.82539349352</v>
      </c>
      <c r="M76" s="1088">
        <f t="shared" si="80"/>
        <v>-2384.2045634837341</v>
      </c>
      <c r="N76" s="997">
        <f t="shared" si="80"/>
        <v>951297.62083000981</v>
      </c>
      <c r="O76" s="997">
        <f t="shared" si="80"/>
        <v>3969.4057121774622</v>
      </c>
      <c r="P76" s="997">
        <f t="shared" si="80"/>
        <v>955267.02654218732</v>
      </c>
      <c r="Q76" s="997">
        <f t="shared" si="80"/>
        <v>814461</v>
      </c>
      <c r="R76" s="997">
        <f t="shared" si="80"/>
        <v>140806.02654218738</v>
      </c>
      <c r="S76" s="997">
        <f>SUM(S7:S75)</f>
        <v>70403.013271093689</v>
      </c>
      <c r="T76" s="1043">
        <f>'[14]FY2012-13 Final'!I77</f>
        <v>3870</v>
      </c>
      <c r="U76" s="998">
        <f t="shared" ref="U76:AJ76" si="82">SUM(U7:U75)</f>
        <v>1277560</v>
      </c>
      <c r="V76" s="1357">
        <f>SUM(V7:V75)</f>
        <v>37</v>
      </c>
      <c r="W76" s="1352">
        <f t="shared" ref="W76:AA76" si="83">SUM(W7:W75)</f>
        <v>253966</v>
      </c>
      <c r="X76" s="1477">
        <f t="shared" si="83"/>
        <v>-22</v>
      </c>
      <c r="Y76" s="1478">
        <f t="shared" si="83"/>
        <v>-71838</v>
      </c>
      <c r="Z76" s="1352">
        <f t="shared" si="83"/>
        <v>182128</v>
      </c>
      <c r="AA76" s="1352">
        <f t="shared" si="83"/>
        <v>1459688</v>
      </c>
      <c r="AB76" s="1093">
        <f t="shared" si="82"/>
        <v>-3649.2200000000003</v>
      </c>
      <c r="AC76" s="998">
        <f t="shared" si="82"/>
        <v>1456038.7799999998</v>
      </c>
      <c r="AD76" s="998">
        <f t="shared" si="82"/>
        <v>6272</v>
      </c>
      <c r="AE76" s="998">
        <f t="shared" si="82"/>
        <v>1462310.7799999998</v>
      </c>
      <c r="AF76" s="998">
        <f t="shared" si="82"/>
        <v>1219225</v>
      </c>
      <c r="AG76" s="998">
        <f t="shared" si="82"/>
        <v>243085.78</v>
      </c>
      <c r="AH76" s="998">
        <f t="shared" si="82"/>
        <v>121542.89</v>
      </c>
      <c r="AI76" s="999">
        <f t="shared" si="82"/>
        <v>2417577.806542187</v>
      </c>
      <c r="AJ76" s="999">
        <f t="shared" si="82"/>
        <v>191945.9032710937</v>
      </c>
      <c r="AL76" s="49">
        <f>SUM(AL7:AL75)</f>
        <v>-3649.2200000000003</v>
      </c>
      <c r="AM76" s="49">
        <f>SUM(AM7:AM75)</f>
        <v>3621.63375</v>
      </c>
      <c r="AN76" s="49">
        <f>SUM(AN7:AN75)</f>
        <v>3137.4350000000004</v>
      </c>
      <c r="AO76" s="49">
        <f>SUM(AO7:AO75)</f>
        <v>-27.586250000000003</v>
      </c>
    </row>
    <row r="77" spans="1:41" ht="13.5" hidden="1" thickTop="1"/>
    <row r="78" spans="1:41" hidden="1"/>
    <row r="79" spans="1:41" hidden="1"/>
    <row r="80" spans="1:41" hidden="1">
      <c r="M80" t="s">
        <v>1413</v>
      </c>
      <c r="N80" s="49">
        <f>M76</f>
        <v>-2384.2045634837341</v>
      </c>
    </row>
    <row r="81" spans="13:15" hidden="1">
      <c r="M81" t="s">
        <v>1273</v>
      </c>
      <c r="N81" s="49">
        <f>-'[22]Table 5C1A-Madison Prep'!$N$80</f>
        <v>2379.1616168718579</v>
      </c>
    </row>
    <row r="82" spans="13:15" hidden="1">
      <c r="M82" t="s">
        <v>1272</v>
      </c>
      <c r="N82" s="1100">
        <f>-'[21]Table 5C1A-Madison Prep'!$I$76</f>
        <v>2120.4414325522844</v>
      </c>
      <c r="O82" s="49"/>
    </row>
    <row r="83" spans="13:15" hidden="1">
      <c r="M83" t="s">
        <v>1258</v>
      </c>
      <c r="N83" s="49">
        <f>SUM(N80:N81)</f>
        <v>-5.0429466118762321</v>
      </c>
    </row>
    <row r="84" spans="13:15" hidden="1">
      <c r="M84" s="804"/>
      <c r="O84" s="49"/>
    </row>
    <row r="85" spans="13:15" ht="13.5" thickTop="1"/>
    <row r="87" spans="13:15">
      <c r="M87" s="804"/>
      <c r="O87" s="49"/>
    </row>
  </sheetData>
  <mergeCells count="36">
    <mergeCell ref="U3:U4"/>
    <mergeCell ref="M2:S2"/>
    <mergeCell ref="Q3:Q4"/>
    <mergeCell ref="R3:R4"/>
    <mergeCell ref="N3:N4"/>
    <mergeCell ref="O3:O4"/>
    <mergeCell ref="P3:P4"/>
    <mergeCell ref="S3:S4"/>
    <mergeCell ref="AI2:AI4"/>
    <mergeCell ref="AJ2:AJ4"/>
    <mergeCell ref="AD3:AD4"/>
    <mergeCell ref="AE3:AE4"/>
    <mergeCell ref="T3:T4"/>
    <mergeCell ref="AC3:AC4"/>
    <mergeCell ref="V3:V4"/>
    <mergeCell ref="W3:W4"/>
    <mergeCell ref="AA3:AA4"/>
    <mergeCell ref="T2:AH2"/>
    <mergeCell ref="AG3:AG4"/>
    <mergeCell ref="AH3:AH4"/>
    <mergeCell ref="AF3:AF4"/>
    <mergeCell ref="X3:X4"/>
    <mergeCell ref="Y3:Y4"/>
    <mergeCell ref="Z3:Z4"/>
    <mergeCell ref="A2:B4"/>
    <mergeCell ref="C3:C4"/>
    <mergeCell ref="D3:D4"/>
    <mergeCell ref="E3:E4"/>
    <mergeCell ref="H3:H4"/>
    <mergeCell ref="F3:F4"/>
    <mergeCell ref="C2:L2"/>
    <mergeCell ref="G3:G4"/>
    <mergeCell ref="I3:I4"/>
    <mergeCell ref="J3:J4"/>
    <mergeCell ref="K3:K4"/>
    <mergeCell ref="L3:L4"/>
  </mergeCells>
  <pageMargins left="0.32" right="0.32" top="0.75" bottom="0.75" header="0.3" footer="0.3"/>
  <pageSetup paperSize="5" scale="60" firstPageNumber="50" orientation="portrait" useFirstPageNumber="1" r:id="rId1"/>
  <headerFooter>
    <oddHeader>&amp;L&amp;"Arial,Bold"&amp;20Table 5C1-A: FY2012-13 MFP Budget Letter (May 2013)
Madison Prep Academy</oddHeader>
    <oddFooter>&amp;R&amp;P</oddFooter>
  </headerFooter>
  <colBreaks count="3" manualBreakCount="3">
    <brk id="12" min="1" max="75" man="1"/>
    <brk id="19" max="1048575" man="1"/>
    <brk id="29" min="1" max="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M101" sqref="M101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0.85546875" bestFit="1" customWidth="1"/>
    <col min="14" max="14" width="12" bestFit="1" customWidth="1"/>
    <col min="15" max="15" width="13.42578125" bestFit="1" customWidth="1"/>
    <col min="16" max="16" width="13.5703125" bestFit="1" customWidth="1"/>
    <col min="17" max="18" width="13.5703125" customWidth="1"/>
    <col min="19" max="19" width="9.28515625" bestFit="1" customWidth="1"/>
    <col min="20" max="20" width="15.42578125" bestFit="1" customWidth="1"/>
    <col min="21" max="21" width="11" customWidth="1"/>
    <col min="22" max="22" width="18.140625" customWidth="1"/>
    <col min="23" max="27" width="13.42578125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2.42578125" customWidth="1"/>
    <col min="38" max="40" width="0" hidden="1" customWidth="1"/>
    <col min="41" max="41" width="11.42578125" hidden="1" customWidth="1"/>
  </cols>
  <sheetData>
    <row r="1" spans="1:41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1" ht="45" customHeight="1">
      <c r="A2" s="2021" t="s">
        <v>1011</v>
      </c>
      <c r="B2" s="2022"/>
      <c r="C2" s="1899" t="s">
        <v>1002</v>
      </c>
      <c r="D2" s="1900"/>
      <c r="E2" s="1900"/>
      <c r="F2" s="1900"/>
      <c r="G2" s="1900"/>
      <c r="H2" s="1900"/>
      <c r="I2" s="1900"/>
      <c r="J2" s="1900"/>
      <c r="K2" s="1900"/>
      <c r="L2" s="1900"/>
      <c r="M2" s="1900"/>
      <c r="N2" s="1900"/>
      <c r="O2" s="1900"/>
      <c r="P2" s="1900"/>
      <c r="Q2" s="1900"/>
      <c r="R2" s="1900"/>
      <c r="S2" s="1900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1" ht="132.75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1917" t="s">
        <v>1265</v>
      </c>
      <c r="U3" s="2033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201" t="s">
        <v>724</v>
      </c>
      <c r="AC3" s="1917" t="s">
        <v>725</v>
      </c>
      <c r="AD3" s="1917" t="s">
        <v>990</v>
      </c>
      <c r="AE3" s="1917" t="s">
        <v>1122</v>
      </c>
      <c r="AF3" s="1917" t="s">
        <v>1330</v>
      </c>
      <c r="AG3" s="1917" t="s">
        <v>1403</v>
      </c>
      <c r="AH3" s="1917" t="s">
        <v>1123</v>
      </c>
      <c r="AI3" s="1915"/>
      <c r="AJ3" s="1915"/>
    </row>
    <row r="4" spans="1:41" ht="42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91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1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:T5" si="12">R5+1</f>
        <v>17</v>
      </c>
      <c r="T5" s="966">
        <f t="shared" si="12"/>
        <v>18</v>
      </c>
      <c r="U5" s="966">
        <f t="shared" ref="U5" si="13">T5+1</f>
        <v>19</v>
      </c>
      <c r="V5" s="966">
        <f t="shared" ref="V5" si="14">U5+1</f>
        <v>20</v>
      </c>
      <c r="W5" s="966">
        <f t="shared" ref="W5" si="15">V5+1</f>
        <v>21</v>
      </c>
      <c r="X5" s="966">
        <f t="shared" ref="X5" si="16">W5+1</f>
        <v>22</v>
      </c>
      <c r="Y5" s="966">
        <f t="shared" ref="Y5" si="17">X5+1</f>
        <v>23</v>
      </c>
      <c r="Z5" s="966">
        <f t="shared" ref="Z5" si="18">Y5+1</f>
        <v>24</v>
      </c>
      <c r="AA5" s="966">
        <f t="shared" ref="AA5" si="19">Z5+1</f>
        <v>25</v>
      </c>
      <c r="AB5" s="966">
        <f t="shared" ref="AB5" si="20">AA5+1</f>
        <v>26</v>
      </c>
      <c r="AC5" s="966">
        <f t="shared" ref="AC5" si="21">AB5+1</f>
        <v>27</v>
      </c>
      <c r="AD5" s="966">
        <f t="shared" ref="AD5" si="22">AC5+1</f>
        <v>28</v>
      </c>
      <c r="AE5" s="966">
        <f t="shared" ref="AE5" si="23">AD5+1</f>
        <v>29</v>
      </c>
      <c r="AF5" s="966">
        <f t="shared" ref="AF5" si="24">AE5+1</f>
        <v>30</v>
      </c>
      <c r="AG5" s="966">
        <f t="shared" ref="AG5" si="25">AF5+1</f>
        <v>31</v>
      </c>
      <c r="AH5" s="966">
        <f t="shared" ref="AH5" si="26">AG5+1</f>
        <v>32</v>
      </c>
      <c r="AI5" s="966">
        <f t="shared" ref="AI5" si="27">AH5+1</f>
        <v>33</v>
      </c>
      <c r="AJ5" s="966">
        <f t="shared" ref="AJ5" si="28">AI5+1</f>
        <v>34</v>
      </c>
    </row>
    <row r="6" spans="1:41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1">
      <c r="A7" s="968">
        <v>1</v>
      </c>
      <c r="B7" s="969" t="s">
        <v>102</v>
      </c>
      <c r="C7" s="970">
        <f>'Table 8 2.1.12 MFP Funded'!S4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DArbonne'!K7</f>
        <v>0</v>
      </c>
      <c r="J7" s="1414">
        <f>'[1]Feb midyear DArbonne'!K7</f>
        <v>0</v>
      </c>
      <c r="K7" s="1414">
        <f>I7+J7</f>
        <v>0</v>
      </c>
      <c r="L7" s="972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Final'!K8</f>
        <v>2115</v>
      </c>
      <c r="U7" s="973">
        <f t="shared" ref="U7:U38" si="29">C7*T7</f>
        <v>0</v>
      </c>
      <c r="V7" s="1354">
        <f>'[20]Oct midyear DArbonne'!E7</f>
        <v>0</v>
      </c>
      <c r="W7" s="1444">
        <f>V7*T7</f>
        <v>0</v>
      </c>
      <c r="X7" s="1466">
        <f>'[20]Feb midyear DArbonne'!E7</f>
        <v>0</v>
      </c>
      <c r="Y7" s="1444">
        <f>X7*(T7*0.5)</f>
        <v>0</v>
      </c>
      <c r="Z7" s="1444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v>0</v>
      </c>
      <c r="AG7" s="973">
        <f>AE7-AF7</f>
        <v>0</v>
      </c>
      <c r="AH7" s="973">
        <f>AG7/2</f>
        <v>0</v>
      </c>
      <c r="AI7" s="974">
        <f>P7+AE7</f>
        <v>0</v>
      </c>
      <c r="AJ7" s="974">
        <f t="shared" ref="AJ7:AJ38" si="30">S7+AH7</f>
        <v>0</v>
      </c>
      <c r="AL7" s="49">
        <f>AB7</f>
        <v>0</v>
      </c>
      <c r="AM7" s="49">
        <f>-'[22]Table 5C1B-DArbonne'!AN7</f>
        <v>0</v>
      </c>
      <c r="AN7" s="49">
        <f>-'[21]Table 5C1B-DArbonne'!P7</f>
        <v>0</v>
      </c>
      <c r="AO7" s="49">
        <f>SUM(AL7:AM7)</f>
        <v>0</v>
      </c>
    </row>
    <row r="8" spans="1:41">
      <c r="A8" s="975">
        <v>2</v>
      </c>
      <c r="B8" s="976" t="s">
        <v>103</v>
      </c>
      <c r="C8" s="1168">
        <f>'Table 8 2.1.12 MFP Funded'!S5</f>
        <v>0</v>
      </c>
      <c r="D8" s="978">
        <f>'Table 3 Levels 1&amp;2'!AL9</f>
        <v>6149.545926426621</v>
      </c>
      <c r="E8" s="1072">
        <f t="shared" ref="E8:E71" si="31">C8*D8</f>
        <v>0</v>
      </c>
      <c r="F8" s="1072">
        <f>'Table 4 Level 3'!P7</f>
        <v>842.32</v>
      </c>
      <c r="G8" s="1072">
        <f t="shared" ref="G8:G71" si="32">C8*F8</f>
        <v>0</v>
      </c>
      <c r="H8" s="1030">
        <f t="shared" ref="H8:H71" si="33">E8+G8</f>
        <v>0</v>
      </c>
      <c r="I8" s="1415">
        <f>'[1]Oct midyear DArbonne'!K8</f>
        <v>0</v>
      </c>
      <c r="J8" s="1415">
        <f>'[1]Feb midyear DArbonne'!K8</f>
        <v>0</v>
      </c>
      <c r="K8" s="1415">
        <f t="shared" ref="K8:K71" si="34">I8+J8</f>
        <v>0</v>
      </c>
      <c r="L8" s="1030">
        <f t="shared" ref="L8:L71" si="35">H8+K8</f>
        <v>0</v>
      </c>
      <c r="M8" s="1082">
        <f t="shared" ref="M8:M71" si="36">-(0.25%*L8)</f>
        <v>0</v>
      </c>
      <c r="N8" s="1030">
        <f t="shared" ref="N8:N71" si="37">SUM(L8:M8)</f>
        <v>0</v>
      </c>
      <c r="O8" s="1030">
        <v>0</v>
      </c>
      <c r="P8" s="1030">
        <f t="shared" ref="P8:P71" si="38">SUM(N8:O8)</f>
        <v>0</v>
      </c>
      <c r="Q8" s="1030">
        <v>0</v>
      </c>
      <c r="R8" s="1030">
        <f t="shared" ref="R8:R71" si="39">P8-Q8</f>
        <v>0</v>
      </c>
      <c r="S8" s="1030">
        <f t="shared" ref="S8:S71" si="40">R8/2</f>
        <v>0</v>
      </c>
      <c r="T8" s="1029">
        <f>'[14]FY2012-13 Final'!K9</f>
        <v>2584</v>
      </c>
      <c r="U8" s="1031">
        <f t="shared" si="29"/>
        <v>0</v>
      </c>
      <c r="V8" s="1439">
        <f>'[20]Oct midyear DArbonne'!E8</f>
        <v>0</v>
      </c>
      <c r="W8" s="1443">
        <f t="shared" ref="W8:W71" si="41">V8*T8</f>
        <v>0</v>
      </c>
      <c r="X8" s="1474">
        <f>'[20]Feb midyear DArbonne'!E8</f>
        <v>0</v>
      </c>
      <c r="Y8" s="1470">
        <f t="shared" ref="Y8:Y71" si="42">X8*(T8*0.5)</f>
        <v>0</v>
      </c>
      <c r="Z8" s="1470">
        <f t="shared" ref="Z8:Z71" si="43">W8+Y8</f>
        <v>0</v>
      </c>
      <c r="AA8" s="1031">
        <f t="shared" ref="AA8:AA70" si="44">U8+Z8</f>
        <v>0</v>
      </c>
      <c r="AB8" s="1090">
        <f t="shared" ref="AB8:AB71" si="45">-(0.25%*AA8)</f>
        <v>0</v>
      </c>
      <c r="AC8" s="1031">
        <f t="shared" ref="AC8:AC70" si="46">SUM(AA8:AB8)</f>
        <v>0</v>
      </c>
      <c r="AD8" s="1031">
        <v>0</v>
      </c>
      <c r="AE8" s="1031">
        <f t="shared" ref="AE8:AE70" si="47">SUM(AC8:AD8)</f>
        <v>0</v>
      </c>
      <c r="AF8" s="1031">
        <v>0</v>
      </c>
      <c r="AG8" s="1031">
        <f t="shared" ref="AG8:AG71" si="48">AE8-AF8</f>
        <v>0</v>
      </c>
      <c r="AH8" s="1031">
        <f t="shared" ref="AH8:AH71" si="49">AG8/2</f>
        <v>0</v>
      </c>
      <c r="AI8" s="1032">
        <f t="shared" ref="AI8:AI71" si="50">P8+AE8</f>
        <v>0</v>
      </c>
      <c r="AJ8" s="1032">
        <f t="shared" si="30"/>
        <v>0</v>
      </c>
      <c r="AL8" s="49">
        <f t="shared" ref="AL8:AL71" si="51">AB8</f>
        <v>0</v>
      </c>
      <c r="AM8" s="49">
        <f>-'[22]Table 5C1B-DArbonne'!AN8</f>
        <v>0</v>
      </c>
      <c r="AN8">
        <f>-'[21]Table 5C1B-DArbonne'!P8</f>
        <v>0</v>
      </c>
      <c r="AO8" s="49">
        <f t="shared" ref="AO8:AO71" si="52">SUM(AL8:AM8)</f>
        <v>0</v>
      </c>
    </row>
    <row r="9" spans="1:41">
      <c r="A9" s="975">
        <v>3</v>
      </c>
      <c r="B9" s="976" t="s">
        <v>104</v>
      </c>
      <c r="C9" s="1168">
        <f>'Table 8 2.1.12 MFP Funded'!S6</f>
        <v>0</v>
      </c>
      <c r="D9" s="978">
        <f>'Table 3 Levels 1&amp;2'!AL10</f>
        <v>4340.9401078757892</v>
      </c>
      <c r="E9" s="1072">
        <f t="shared" si="31"/>
        <v>0</v>
      </c>
      <c r="F9" s="1072">
        <f>'Table 4 Level 3'!P8</f>
        <v>596.84</v>
      </c>
      <c r="G9" s="1072">
        <f t="shared" si="32"/>
        <v>0</v>
      </c>
      <c r="H9" s="1030">
        <f t="shared" si="33"/>
        <v>0</v>
      </c>
      <c r="I9" s="1415">
        <f>'[1]Oct midyear DArbonne'!K9</f>
        <v>0</v>
      </c>
      <c r="J9" s="1415">
        <f>'[1]Feb midyear DArbonne'!K9</f>
        <v>0</v>
      </c>
      <c r="K9" s="1415">
        <f t="shared" si="34"/>
        <v>0</v>
      </c>
      <c r="L9" s="1030">
        <f t="shared" si="35"/>
        <v>0</v>
      </c>
      <c r="M9" s="1082">
        <f t="shared" si="36"/>
        <v>0</v>
      </c>
      <c r="N9" s="1030">
        <f t="shared" si="37"/>
        <v>0</v>
      </c>
      <c r="O9" s="1030">
        <v>0</v>
      </c>
      <c r="P9" s="1030">
        <f t="shared" si="38"/>
        <v>0</v>
      </c>
      <c r="Q9" s="1030">
        <v>0</v>
      </c>
      <c r="R9" s="1030">
        <f t="shared" si="39"/>
        <v>0</v>
      </c>
      <c r="S9" s="1030">
        <f t="shared" si="40"/>
        <v>0</v>
      </c>
      <c r="T9" s="1029">
        <f>'[14]FY2012-13 Final'!K10</f>
        <v>4977</v>
      </c>
      <c r="U9" s="1031">
        <f t="shared" si="29"/>
        <v>0</v>
      </c>
      <c r="V9" s="1439">
        <f>'[20]Oct midyear DArbonne'!E9</f>
        <v>0</v>
      </c>
      <c r="W9" s="1443">
        <f t="shared" si="41"/>
        <v>0</v>
      </c>
      <c r="X9" s="1474">
        <f>'[20]Feb midyear DArbonne'!E9</f>
        <v>0</v>
      </c>
      <c r="Y9" s="1470">
        <f t="shared" si="42"/>
        <v>0</v>
      </c>
      <c r="Z9" s="1470">
        <f t="shared" si="43"/>
        <v>0</v>
      </c>
      <c r="AA9" s="1031">
        <f t="shared" si="44"/>
        <v>0</v>
      </c>
      <c r="AB9" s="1090">
        <f t="shared" si="45"/>
        <v>0</v>
      </c>
      <c r="AC9" s="1031">
        <f t="shared" si="46"/>
        <v>0</v>
      </c>
      <c r="AD9" s="1031">
        <v>0</v>
      </c>
      <c r="AE9" s="1031">
        <f t="shared" si="47"/>
        <v>0</v>
      </c>
      <c r="AF9" s="1031">
        <v>0</v>
      </c>
      <c r="AG9" s="1031">
        <f t="shared" si="48"/>
        <v>0</v>
      </c>
      <c r="AH9" s="1031">
        <f t="shared" si="49"/>
        <v>0</v>
      </c>
      <c r="AI9" s="1032">
        <f t="shared" si="50"/>
        <v>0</v>
      </c>
      <c r="AJ9" s="1032">
        <f t="shared" si="30"/>
        <v>0</v>
      </c>
      <c r="AL9" s="49">
        <f t="shared" si="51"/>
        <v>0</v>
      </c>
      <c r="AM9" s="49">
        <f>-'[22]Table 5C1B-DArbonne'!AN9</f>
        <v>0</v>
      </c>
      <c r="AN9">
        <f>-'[21]Table 5C1B-DArbonne'!P9</f>
        <v>0</v>
      </c>
      <c r="AO9" s="49">
        <f t="shared" si="52"/>
        <v>0</v>
      </c>
    </row>
    <row r="10" spans="1:41">
      <c r="A10" s="975">
        <v>4</v>
      </c>
      <c r="B10" s="976" t="s">
        <v>105</v>
      </c>
      <c r="C10" s="1168">
        <f>'Table 8 2.1.12 MFP Funded'!S7</f>
        <v>0</v>
      </c>
      <c r="D10" s="978">
        <f>'Table 3 Levels 1&amp;2'!AL11</f>
        <v>6077.3708498182023</v>
      </c>
      <c r="E10" s="1072">
        <f t="shared" si="31"/>
        <v>0</v>
      </c>
      <c r="F10" s="1072">
        <f>'Table 4 Level 3'!P9</f>
        <v>585.76</v>
      </c>
      <c r="G10" s="1072">
        <f t="shared" si="32"/>
        <v>0</v>
      </c>
      <c r="H10" s="1030">
        <f t="shared" si="33"/>
        <v>0</v>
      </c>
      <c r="I10" s="1415">
        <f>'[1]Oct midyear DArbonne'!K10</f>
        <v>0</v>
      </c>
      <c r="J10" s="1415">
        <f>'[1]Feb midyear DArbonne'!K10</f>
        <v>0</v>
      </c>
      <c r="K10" s="1415">
        <f t="shared" si="34"/>
        <v>0</v>
      </c>
      <c r="L10" s="1030">
        <f t="shared" si="35"/>
        <v>0</v>
      </c>
      <c r="M10" s="1082">
        <f t="shared" si="36"/>
        <v>0</v>
      </c>
      <c r="N10" s="1030">
        <f t="shared" si="37"/>
        <v>0</v>
      </c>
      <c r="O10" s="1030">
        <v>0</v>
      </c>
      <c r="P10" s="1030">
        <f t="shared" si="38"/>
        <v>0</v>
      </c>
      <c r="Q10" s="1030">
        <v>0</v>
      </c>
      <c r="R10" s="1030">
        <f t="shared" si="39"/>
        <v>0</v>
      </c>
      <c r="S10" s="1030">
        <f t="shared" si="40"/>
        <v>0</v>
      </c>
      <c r="T10" s="1029">
        <f>'[14]FY2012-13 Final'!K11</f>
        <v>3455</v>
      </c>
      <c r="U10" s="1031">
        <f t="shared" si="29"/>
        <v>0</v>
      </c>
      <c r="V10" s="1439">
        <f>'[20]Oct midyear DArbonne'!E10</f>
        <v>0</v>
      </c>
      <c r="W10" s="1443">
        <f t="shared" si="41"/>
        <v>0</v>
      </c>
      <c r="X10" s="1474">
        <f>'[20]Feb midyear DArbonne'!E10</f>
        <v>0</v>
      </c>
      <c r="Y10" s="1470">
        <f t="shared" si="42"/>
        <v>0</v>
      </c>
      <c r="Z10" s="1470">
        <f t="shared" si="43"/>
        <v>0</v>
      </c>
      <c r="AA10" s="1031">
        <f t="shared" si="44"/>
        <v>0</v>
      </c>
      <c r="AB10" s="1090">
        <f t="shared" si="45"/>
        <v>0</v>
      </c>
      <c r="AC10" s="1031">
        <f t="shared" si="46"/>
        <v>0</v>
      </c>
      <c r="AD10" s="1031">
        <v>0</v>
      </c>
      <c r="AE10" s="1031">
        <f t="shared" si="47"/>
        <v>0</v>
      </c>
      <c r="AF10" s="1031">
        <v>0</v>
      </c>
      <c r="AG10" s="1031">
        <f t="shared" si="48"/>
        <v>0</v>
      </c>
      <c r="AH10" s="1031">
        <f t="shared" si="49"/>
        <v>0</v>
      </c>
      <c r="AI10" s="1032">
        <f t="shared" si="50"/>
        <v>0</v>
      </c>
      <c r="AJ10" s="1032">
        <f t="shared" si="30"/>
        <v>0</v>
      </c>
      <c r="AL10" s="49">
        <f t="shared" si="51"/>
        <v>0</v>
      </c>
      <c r="AM10" s="49">
        <f>-'[22]Table 5C1B-DArbonne'!AN10</f>
        <v>0</v>
      </c>
      <c r="AN10">
        <f>-'[21]Table 5C1B-DArbonne'!P10</f>
        <v>0</v>
      </c>
      <c r="AO10" s="49">
        <f t="shared" si="52"/>
        <v>0</v>
      </c>
    </row>
    <row r="11" spans="1:41">
      <c r="A11" s="979">
        <v>5</v>
      </c>
      <c r="B11" s="980" t="s">
        <v>106</v>
      </c>
      <c r="C11" s="1169">
        <f>'Table 8 2.1.12 MFP Funded'!S8</f>
        <v>0</v>
      </c>
      <c r="D11" s="982">
        <f>'Table 3 Levels 1&amp;2'!AL12</f>
        <v>4878.1095033692254</v>
      </c>
      <c r="E11" s="1073">
        <f t="shared" si="31"/>
        <v>0</v>
      </c>
      <c r="F11" s="1073">
        <f>'Table 4 Level 3'!P10</f>
        <v>555.91</v>
      </c>
      <c r="G11" s="1073">
        <f t="shared" si="32"/>
        <v>0</v>
      </c>
      <c r="H11" s="1033">
        <f t="shared" si="33"/>
        <v>0</v>
      </c>
      <c r="I11" s="1416">
        <f>'[1]Oct midyear DArbonne'!K11</f>
        <v>0</v>
      </c>
      <c r="J11" s="1416">
        <f>'[1]Feb midyear DArbonne'!K11</f>
        <v>0</v>
      </c>
      <c r="K11" s="1416">
        <f t="shared" si="34"/>
        <v>0</v>
      </c>
      <c r="L11" s="1033">
        <f t="shared" si="35"/>
        <v>0</v>
      </c>
      <c r="M11" s="1083">
        <f t="shared" si="36"/>
        <v>0</v>
      </c>
      <c r="N11" s="1033">
        <f t="shared" si="37"/>
        <v>0</v>
      </c>
      <c r="O11" s="1033">
        <v>0</v>
      </c>
      <c r="P11" s="1033">
        <f t="shared" si="38"/>
        <v>0</v>
      </c>
      <c r="Q11" s="1033">
        <v>0</v>
      </c>
      <c r="R11" s="1033">
        <f t="shared" si="39"/>
        <v>0</v>
      </c>
      <c r="S11" s="1033">
        <f t="shared" si="40"/>
        <v>0</v>
      </c>
      <c r="T11" s="1034">
        <f>'[14]FY2012-13 Final'!K12</f>
        <v>1515</v>
      </c>
      <c r="U11" s="1035">
        <f t="shared" si="29"/>
        <v>0</v>
      </c>
      <c r="V11" s="1440">
        <f>'[20]Oct midyear DArbonne'!E11</f>
        <v>0</v>
      </c>
      <c r="W11" s="1445">
        <f t="shared" si="41"/>
        <v>0</v>
      </c>
      <c r="X11" s="1475">
        <f>'[20]Feb midyear DArbonne'!E11</f>
        <v>0</v>
      </c>
      <c r="Y11" s="1471">
        <f t="shared" si="42"/>
        <v>0</v>
      </c>
      <c r="Z11" s="1471">
        <f t="shared" si="43"/>
        <v>0</v>
      </c>
      <c r="AA11" s="1035">
        <f t="shared" si="44"/>
        <v>0</v>
      </c>
      <c r="AB11" s="1091">
        <f t="shared" si="45"/>
        <v>0</v>
      </c>
      <c r="AC11" s="1035">
        <f t="shared" si="46"/>
        <v>0</v>
      </c>
      <c r="AD11" s="1035">
        <v>0</v>
      </c>
      <c r="AE11" s="1035">
        <f t="shared" si="47"/>
        <v>0</v>
      </c>
      <c r="AF11" s="1035">
        <v>0</v>
      </c>
      <c r="AG11" s="1035">
        <f t="shared" si="48"/>
        <v>0</v>
      </c>
      <c r="AH11" s="1035">
        <f t="shared" si="49"/>
        <v>0</v>
      </c>
      <c r="AI11" s="1036">
        <f t="shared" si="50"/>
        <v>0</v>
      </c>
      <c r="AJ11" s="1036">
        <f t="shared" si="30"/>
        <v>0</v>
      </c>
      <c r="AL11" s="49">
        <f t="shared" si="51"/>
        <v>0</v>
      </c>
      <c r="AM11" s="49">
        <f>-'[22]Table 5C1B-DArbonne'!AN11</f>
        <v>0</v>
      </c>
      <c r="AN11">
        <f>-'[21]Table 5C1B-DArbonne'!P11</f>
        <v>0</v>
      </c>
      <c r="AO11" s="49">
        <f t="shared" si="52"/>
        <v>0</v>
      </c>
    </row>
    <row r="12" spans="1:41">
      <c r="A12" s="968">
        <v>6</v>
      </c>
      <c r="B12" s="969" t="s">
        <v>107</v>
      </c>
      <c r="C12" s="1170">
        <f>'Table 8 2.1.12 MFP Funded'!S9</f>
        <v>0</v>
      </c>
      <c r="D12" s="971">
        <f>'Table 3 Levels 1&amp;2'!AL13</f>
        <v>5550.1901239384006</v>
      </c>
      <c r="E12" s="1071">
        <f t="shared" si="31"/>
        <v>0</v>
      </c>
      <c r="F12" s="1071">
        <f>'Table 4 Level 3'!P11</f>
        <v>545.4799999999999</v>
      </c>
      <c r="G12" s="1071">
        <f t="shared" si="32"/>
        <v>0</v>
      </c>
      <c r="H12" s="972">
        <f t="shared" si="33"/>
        <v>0</v>
      </c>
      <c r="I12" s="1414">
        <f>'[1]Oct midyear DArbonne'!K12</f>
        <v>0</v>
      </c>
      <c r="J12" s="1414">
        <f>'[1]Feb midyear DArbonne'!K12</f>
        <v>0</v>
      </c>
      <c r="K12" s="1414">
        <f t="shared" si="34"/>
        <v>0</v>
      </c>
      <c r="L12" s="972">
        <f t="shared" si="35"/>
        <v>0</v>
      </c>
      <c r="M12" s="1081">
        <f t="shared" si="36"/>
        <v>0</v>
      </c>
      <c r="N12" s="972">
        <f t="shared" si="37"/>
        <v>0</v>
      </c>
      <c r="O12" s="972">
        <v>0</v>
      </c>
      <c r="P12" s="972">
        <f t="shared" si="38"/>
        <v>0</v>
      </c>
      <c r="Q12" s="972">
        <v>0</v>
      </c>
      <c r="R12" s="972">
        <f t="shared" si="39"/>
        <v>0</v>
      </c>
      <c r="S12" s="972">
        <f t="shared" si="40"/>
        <v>0</v>
      </c>
      <c r="T12" s="1029">
        <f>'[14]FY2012-13 Final'!K13</f>
        <v>3579</v>
      </c>
      <c r="U12" s="973">
        <f t="shared" si="29"/>
        <v>0</v>
      </c>
      <c r="V12" s="1441">
        <f>'[20]Oct midyear DArbonne'!E12</f>
        <v>0</v>
      </c>
      <c r="W12" s="1444">
        <f t="shared" si="41"/>
        <v>0</v>
      </c>
      <c r="X12" s="1466">
        <f>'[20]Feb midyear DArbonne'!E12</f>
        <v>0</v>
      </c>
      <c r="Y12" s="1444">
        <f t="shared" si="42"/>
        <v>0</v>
      </c>
      <c r="Z12" s="1444">
        <f t="shared" si="43"/>
        <v>0</v>
      </c>
      <c r="AA12" s="973">
        <f t="shared" si="44"/>
        <v>0</v>
      </c>
      <c r="AB12" s="1089">
        <f t="shared" si="45"/>
        <v>0</v>
      </c>
      <c r="AC12" s="973">
        <f t="shared" si="46"/>
        <v>0</v>
      </c>
      <c r="AD12" s="973">
        <v>0</v>
      </c>
      <c r="AE12" s="973">
        <f t="shared" si="47"/>
        <v>0</v>
      </c>
      <c r="AF12" s="973">
        <v>0</v>
      </c>
      <c r="AG12" s="973">
        <f t="shared" si="48"/>
        <v>0</v>
      </c>
      <c r="AH12" s="973">
        <f t="shared" si="49"/>
        <v>0</v>
      </c>
      <c r="AI12" s="974">
        <f t="shared" si="50"/>
        <v>0</v>
      </c>
      <c r="AJ12" s="974">
        <f t="shared" si="30"/>
        <v>0</v>
      </c>
      <c r="AL12" s="49">
        <f t="shared" si="51"/>
        <v>0</v>
      </c>
      <c r="AM12" s="49">
        <f>-'[22]Table 5C1B-DArbonne'!AN12</f>
        <v>0</v>
      </c>
      <c r="AN12">
        <f>-'[21]Table 5C1B-DArbonne'!P12</f>
        <v>0</v>
      </c>
      <c r="AO12" s="49">
        <f t="shared" si="52"/>
        <v>0</v>
      </c>
    </row>
    <row r="13" spans="1:41">
      <c r="A13" s="975">
        <v>7</v>
      </c>
      <c r="B13" s="976" t="s">
        <v>108</v>
      </c>
      <c r="C13" s="1168">
        <f>'Table 8 2.1.12 MFP Funded'!S10</f>
        <v>0</v>
      </c>
      <c r="D13" s="978">
        <f>'Table 3 Levels 1&amp;2'!AL14</f>
        <v>1550.5347159603245</v>
      </c>
      <c r="E13" s="1072">
        <f t="shared" si="31"/>
        <v>0</v>
      </c>
      <c r="F13" s="1072">
        <f>'Table 4 Level 3'!P12</f>
        <v>756.91999999999985</v>
      </c>
      <c r="G13" s="1072">
        <f t="shared" si="32"/>
        <v>0</v>
      </c>
      <c r="H13" s="1030">
        <f t="shared" si="33"/>
        <v>0</v>
      </c>
      <c r="I13" s="1415">
        <f>'[1]Oct midyear DArbonne'!K13</f>
        <v>0</v>
      </c>
      <c r="J13" s="1415">
        <f>'[1]Feb midyear DArbonne'!K13</f>
        <v>0</v>
      </c>
      <c r="K13" s="1415">
        <f t="shared" si="34"/>
        <v>0</v>
      </c>
      <c r="L13" s="1030">
        <f t="shared" si="35"/>
        <v>0</v>
      </c>
      <c r="M13" s="1082">
        <f t="shared" si="36"/>
        <v>0</v>
      </c>
      <c r="N13" s="1030">
        <f t="shared" si="37"/>
        <v>0</v>
      </c>
      <c r="O13" s="1030">
        <v>0</v>
      </c>
      <c r="P13" s="1030">
        <f t="shared" si="38"/>
        <v>0</v>
      </c>
      <c r="Q13" s="1030">
        <v>0</v>
      </c>
      <c r="R13" s="1030">
        <f t="shared" si="39"/>
        <v>0</v>
      </c>
      <c r="S13" s="1030">
        <f t="shared" si="40"/>
        <v>0</v>
      </c>
      <c r="T13" s="1029">
        <f>'[14]FY2012-13 Final'!K14</f>
        <v>12483</v>
      </c>
      <c r="U13" s="1031">
        <f t="shared" si="29"/>
        <v>0</v>
      </c>
      <c r="V13" s="1439">
        <f>'[20]Oct midyear DArbonne'!E13</f>
        <v>0</v>
      </c>
      <c r="W13" s="1443">
        <f t="shared" si="41"/>
        <v>0</v>
      </c>
      <c r="X13" s="1474">
        <f>'[20]Feb midyear DArbonne'!E13</f>
        <v>0</v>
      </c>
      <c r="Y13" s="1470">
        <f t="shared" si="42"/>
        <v>0</v>
      </c>
      <c r="Z13" s="1470">
        <f t="shared" si="43"/>
        <v>0</v>
      </c>
      <c r="AA13" s="1031">
        <f t="shared" si="44"/>
        <v>0</v>
      </c>
      <c r="AB13" s="1090">
        <f t="shared" si="45"/>
        <v>0</v>
      </c>
      <c r="AC13" s="1031">
        <f t="shared" si="46"/>
        <v>0</v>
      </c>
      <c r="AD13" s="1031">
        <v>0</v>
      </c>
      <c r="AE13" s="1031">
        <f t="shared" si="47"/>
        <v>0</v>
      </c>
      <c r="AF13" s="1031">
        <v>0</v>
      </c>
      <c r="AG13" s="1031">
        <f t="shared" si="48"/>
        <v>0</v>
      </c>
      <c r="AH13" s="1031">
        <f t="shared" si="49"/>
        <v>0</v>
      </c>
      <c r="AI13" s="1032">
        <f t="shared" si="50"/>
        <v>0</v>
      </c>
      <c r="AJ13" s="1032">
        <f t="shared" si="30"/>
        <v>0</v>
      </c>
      <c r="AL13" s="49">
        <f t="shared" si="51"/>
        <v>0</v>
      </c>
      <c r="AM13" s="49">
        <f>-'[22]Table 5C1B-DArbonne'!AN13</f>
        <v>0</v>
      </c>
      <c r="AN13">
        <f>-'[21]Table 5C1B-DArbonne'!P13</f>
        <v>0</v>
      </c>
      <c r="AO13" s="49">
        <f t="shared" si="52"/>
        <v>0</v>
      </c>
    </row>
    <row r="14" spans="1:41">
      <c r="A14" s="975">
        <v>8</v>
      </c>
      <c r="B14" s="976" t="s">
        <v>109</v>
      </c>
      <c r="C14" s="1168">
        <f>'Table 8 2.1.12 MFP Funded'!S11</f>
        <v>0</v>
      </c>
      <c r="D14" s="978">
        <f>'Table 3 Levels 1&amp;2'!AL15</f>
        <v>4054.7459475361657</v>
      </c>
      <c r="E14" s="1072">
        <f t="shared" si="31"/>
        <v>0</v>
      </c>
      <c r="F14" s="1072">
        <f>'Table 4 Level 3'!P13</f>
        <v>725.76</v>
      </c>
      <c r="G14" s="1072">
        <f t="shared" si="32"/>
        <v>0</v>
      </c>
      <c r="H14" s="1030">
        <f t="shared" si="33"/>
        <v>0</v>
      </c>
      <c r="I14" s="1415">
        <f>'[1]Oct midyear DArbonne'!K14</f>
        <v>0</v>
      </c>
      <c r="J14" s="1415">
        <f>'[1]Feb midyear DArbonne'!K14</f>
        <v>0</v>
      </c>
      <c r="K14" s="1415">
        <f t="shared" si="34"/>
        <v>0</v>
      </c>
      <c r="L14" s="1030">
        <f t="shared" si="35"/>
        <v>0</v>
      </c>
      <c r="M14" s="1082">
        <f t="shared" si="36"/>
        <v>0</v>
      </c>
      <c r="N14" s="1030">
        <f t="shared" si="37"/>
        <v>0</v>
      </c>
      <c r="O14" s="1030">
        <v>0</v>
      </c>
      <c r="P14" s="1030">
        <f t="shared" si="38"/>
        <v>0</v>
      </c>
      <c r="Q14" s="1030">
        <v>0</v>
      </c>
      <c r="R14" s="1030">
        <f t="shared" si="39"/>
        <v>0</v>
      </c>
      <c r="S14" s="1030">
        <f t="shared" si="40"/>
        <v>0</v>
      </c>
      <c r="T14" s="1029">
        <f>'[14]FY2012-13 Final'!K15</f>
        <v>4187</v>
      </c>
      <c r="U14" s="1031">
        <f t="shared" si="29"/>
        <v>0</v>
      </c>
      <c r="V14" s="1439">
        <f>'[20]Oct midyear DArbonne'!E14</f>
        <v>0</v>
      </c>
      <c r="W14" s="1443">
        <f t="shared" si="41"/>
        <v>0</v>
      </c>
      <c r="X14" s="1474">
        <f>'[20]Feb midyear DArbonne'!E14</f>
        <v>0</v>
      </c>
      <c r="Y14" s="1470">
        <f t="shared" si="42"/>
        <v>0</v>
      </c>
      <c r="Z14" s="1470">
        <f t="shared" si="43"/>
        <v>0</v>
      </c>
      <c r="AA14" s="1031">
        <f t="shared" si="44"/>
        <v>0</v>
      </c>
      <c r="AB14" s="1090">
        <f t="shared" si="45"/>
        <v>0</v>
      </c>
      <c r="AC14" s="1031">
        <f t="shared" si="46"/>
        <v>0</v>
      </c>
      <c r="AD14" s="1031">
        <v>0</v>
      </c>
      <c r="AE14" s="1031">
        <f t="shared" si="47"/>
        <v>0</v>
      </c>
      <c r="AF14" s="1031">
        <v>0</v>
      </c>
      <c r="AG14" s="1031">
        <f t="shared" si="48"/>
        <v>0</v>
      </c>
      <c r="AH14" s="1031">
        <f t="shared" si="49"/>
        <v>0</v>
      </c>
      <c r="AI14" s="1032">
        <f t="shared" si="50"/>
        <v>0</v>
      </c>
      <c r="AJ14" s="1032">
        <f t="shared" si="30"/>
        <v>0</v>
      </c>
      <c r="AL14" s="49">
        <f t="shared" si="51"/>
        <v>0</v>
      </c>
      <c r="AM14" s="49">
        <f>-'[22]Table 5C1B-DArbonne'!AN14</f>
        <v>0</v>
      </c>
      <c r="AN14">
        <f>-'[21]Table 5C1B-DArbonne'!P14</f>
        <v>0</v>
      </c>
      <c r="AO14" s="49">
        <f t="shared" si="52"/>
        <v>0</v>
      </c>
    </row>
    <row r="15" spans="1:41">
      <c r="A15" s="975">
        <v>9</v>
      </c>
      <c r="B15" s="976" t="s">
        <v>110</v>
      </c>
      <c r="C15" s="1168">
        <f>'Table 8 2.1.12 MFP Funded'!S12</f>
        <v>0</v>
      </c>
      <c r="D15" s="978">
        <f>'Table 3 Levels 1&amp;2'!AL16</f>
        <v>4287.1210280148016</v>
      </c>
      <c r="E15" s="1072">
        <f t="shared" si="31"/>
        <v>0</v>
      </c>
      <c r="F15" s="1072">
        <f>'Table 4 Level 3'!P14</f>
        <v>744.76</v>
      </c>
      <c r="G15" s="1072">
        <f t="shared" si="32"/>
        <v>0</v>
      </c>
      <c r="H15" s="1030">
        <f t="shared" si="33"/>
        <v>0</v>
      </c>
      <c r="I15" s="1415">
        <f>'[1]Oct midyear DArbonne'!K15</f>
        <v>0</v>
      </c>
      <c r="J15" s="1415">
        <f>'[1]Feb midyear DArbonne'!K15</f>
        <v>0</v>
      </c>
      <c r="K15" s="1415">
        <f t="shared" si="34"/>
        <v>0</v>
      </c>
      <c r="L15" s="1030">
        <f t="shared" si="35"/>
        <v>0</v>
      </c>
      <c r="M15" s="1082">
        <f t="shared" si="36"/>
        <v>0</v>
      </c>
      <c r="N15" s="1030">
        <f t="shared" si="37"/>
        <v>0</v>
      </c>
      <c r="O15" s="1030">
        <v>0</v>
      </c>
      <c r="P15" s="1030">
        <f t="shared" si="38"/>
        <v>0</v>
      </c>
      <c r="Q15" s="1030">
        <v>0</v>
      </c>
      <c r="R15" s="1030">
        <f t="shared" si="39"/>
        <v>0</v>
      </c>
      <c r="S15" s="1030">
        <f t="shared" si="40"/>
        <v>0</v>
      </c>
      <c r="T15" s="1029">
        <f>'[14]FY2012-13 Final'!K16</f>
        <v>4649</v>
      </c>
      <c r="U15" s="1031">
        <f t="shared" si="29"/>
        <v>0</v>
      </c>
      <c r="V15" s="1439">
        <f>'[20]Oct midyear DArbonne'!E15</f>
        <v>0</v>
      </c>
      <c r="W15" s="1443">
        <f t="shared" si="41"/>
        <v>0</v>
      </c>
      <c r="X15" s="1474">
        <f>'[20]Feb midyear DArbonne'!E15</f>
        <v>0</v>
      </c>
      <c r="Y15" s="1470">
        <f t="shared" si="42"/>
        <v>0</v>
      </c>
      <c r="Z15" s="1470">
        <f t="shared" si="43"/>
        <v>0</v>
      </c>
      <c r="AA15" s="1031">
        <f t="shared" si="44"/>
        <v>0</v>
      </c>
      <c r="AB15" s="1090">
        <f t="shared" si="45"/>
        <v>0</v>
      </c>
      <c r="AC15" s="1031">
        <f t="shared" si="46"/>
        <v>0</v>
      </c>
      <c r="AD15" s="1031">
        <v>0</v>
      </c>
      <c r="AE15" s="1031">
        <f t="shared" si="47"/>
        <v>0</v>
      </c>
      <c r="AF15" s="1031">
        <v>0</v>
      </c>
      <c r="AG15" s="1031">
        <f t="shared" si="48"/>
        <v>0</v>
      </c>
      <c r="AH15" s="1031">
        <f t="shared" si="49"/>
        <v>0</v>
      </c>
      <c r="AI15" s="1032">
        <f t="shared" si="50"/>
        <v>0</v>
      </c>
      <c r="AJ15" s="1032">
        <f t="shared" si="30"/>
        <v>0</v>
      </c>
      <c r="AL15" s="49">
        <f t="shared" si="51"/>
        <v>0</v>
      </c>
      <c r="AM15" s="49">
        <f>-'[22]Table 5C1B-DArbonne'!AN15</f>
        <v>0</v>
      </c>
      <c r="AN15">
        <f>-'[21]Table 5C1B-DArbonne'!P15</f>
        <v>0</v>
      </c>
      <c r="AO15" s="49">
        <f t="shared" si="52"/>
        <v>0</v>
      </c>
    </row>
    <row r="16" spans="1:41">
      <c r="A16" s="979">
        <v>10</v>
      </c>
      <c r="B16" s="980" t="s">
        <v>111</v>
      </c>
      <c r="C16" s="1169">
        <f>'Table 8 2.1.12 MFP Funded'!S13</f>
        <v>0</v>
      </c>
      <c r="D16" s="982">
        <f>'Table 3 Levels 1&amp;2'!AL17</f>
        <v>4320.1782742925079</v>
      </c>
      <c r="E16" s="1073">
        <f t="shared" si="31"/>
        <v>0</v>
      </c>
      <c r="F16" s="1073">
        <f>'Table 4 Level 3'!P15</f>
        <v>608.04000000000008</v>
      </c>
      <c r="G16" s="1073">
        <f t="shared" si="32"/>
        <v>0</v>
      </c>
      <c r="H16" s="1033">
        <f t="shared" si="33"/>
        <v>0</v>
      </c>
      <c r="I16" s="1416">
        <f>'[1]Oct midyear DArbonne'!K16</f>
        <v>0</v>
      </c>
      <c r="J16" s="1416">
        <f>'[1]Feb midyear DArbonne'!K16</f>
        <v>0</v>
      </c>
      <c r="K16" s="1416">
        <f t="shared" si="34"/>
        <v>0</v>
      </c>
      <c r="L16" s="1033">
        <f t="shared" si="35"/>
        <v>0</v>
      </c>
      <c r="M16" s="1083">
        <f t="shared" si="36"/>
        <v>0</v>
      </c>
      <c r="N16" s="1033">
        <f t="shared" si="37"/>
        <v>0</v>
      </c>
      <c r="O16" s="1033">
        <v>0</v>
      </c>
      <c r="P16" s="1033">
        <f t="shared" si="38"/>
        <v>0</v>
      </c>
      <c r="Q16" s="1033">
        <v>0</v>
      </c>
      <c r="R16" s="1033">
        <f t="shared" si="39"/>
        <v>0</v>
      </c>
      <c r="S16" s="1033">
        <f t="shared" si="40"/>
        <v>0</v>
      </c>
      <c r="T16" s="1034">
        <f>'[14]FY2012-13 Final'!K17</f>
        <v>4395</v>
      </c>
      <c r="U16" s="1035">
        <f t="shared" si="29"/>
        <v>0</v>
      </c>
      <c r="V16" s="1440">
        <f>'[20]Oct midyear DArbonne'!E16</f>
        <v>0</v>
      </c>
      <c r="W16" s="1445">
        <f t="shared" si="41"/>
        <v>0</v>
      </c>
      <c r="X16" s="1475">
        <f>'[20]Feb midyear DArbonne'!E16</f>
        <v>0</v>
      </c>
      <c r="Y16" s="1471">
        <f t="shared" si="42"/>
        <v>0</v>
      </c>
      <c r="Z16" s="1471">
        <f t="shared" si="43"/>
        <v>0</v>
      </c>
      <c r="AA16" s="1035">
        <f t="shared" si="44"/>
        <v>0</v>
      </c>
      <c r="AB16" s="1091">
        <f t="shared" si="45"/>
        <v>0</v>
      </c>
      <c r="AC16" s="1035">
        <f t="shared" si="46"/>
        <v>0</v>
      </c>
      <c r="AD16" s="1035">
        <v>0</v>
      </c>
      <c r="AE16" s="1035">
        <f t="shared" si="47"/>
        <v>0</v>
      </c>
      <c r="AF16" s="1035">
        <v>0</v>
      </c>
      <c r="AG16" s="1035">
        <f t="shared" si="48"/>
        <v>0</v>
      </c>
      <c r="AH16" s="1035">
        <f t="shared" si="49"/>
        <v>0</v>
      </c>
      <c r="AI16" s="1036">
        <f t="shared" si="50"/>
        <v>0</v>
      </c>
      <c r="AJ16" s="1036">
        <f t="shared" si="30"/>
        <v>0</v>
      </c>
      <c r="AL16" s="49">
        <f t="shared" si="51"/>
        <v>0</v>
      </c>
      <c r="AM16" s="49">
        <f>-'[22]Table 5C1B-DArbonne'!AN16</f>
        <v>0</v>
      </c>
      <c r="AN16">
        <f>-'[21]Table 5C1B-DArbonne'!P16</f>
        <v>0</v>
      </c>
      <c r="AO16" s="49">
        <f t="shared" si="52"/>
        <v>0</v>
      </c>
    </row>
    <row r="17" spans="1:41">
      <c r="A17" s="968">
        <v>11</v>
      </c>
      <c r="B17" s="969" t="s">
        <v>112</v>
      </c>
      <c r="C17" s="1170">
        <f>'Table 8 2.1.12 MFP Funded'!S14</f>
        <v>0</v>
      </c>
      <c r="D17" s="971">
        <f>'Table 3 Levels 1&amp;2'!AL18</f>
        <v>6754.8947842641273</v>
      </c>
      <c r="E17" s="1071">
        <f t="shared" si="31"/>
        <v>0</v>
      </c>
      <c r="F17" s="1071">
        <f>'Table 4 Level 3'!P16</f>
        <v>706.55</v>
      </c>
      <c r="G17" s="1071">
        <f t="shared" si="32"/>
        <v>0</v>
      </c>
      <c r="H17" s="972">
        <f t="shared" si="33"/>
        <v>0</v>
      </c>
      <c r="I17" s="1414">
        <f>'[1]Oct midyear DArbonne'!K17</f>
        <v>0</v>
      </c>
      <c r="J17" s="1414">
        <f>'[1]Feb midyear DArbonne'!K17</f>
        <v>0</v>
      </c>
      <c r="K17" s="1414">
        <f t="shared" si="34"/>
        <v>0</v>
      </c>
      <c r="L17" s="972">
        <f t="shared" si="35"/>
        <v>0</v>
      </c>
      <c r="M17" s="1081">
        <f t="shared" si="36"/>
        <v>0</v>
      </c>
      <c r="N17" s="972">
        <f t="shared" si="37"/>
        <v>0</v>
      </c>
      <c r="O17" s="972">
        <v>0</v>
      </c>
      <c r="P17" s="972">
        <f t="shared" si="38"/>
        <v>0</v>
      </c>
      <c r="Q17" s="972">
        <v>0</v>
      </c>
      <c r="R17" s="972">
        <f t="shared" si="39"/>
        <v>0</v>
      </c>
      <c r="S17" s="972">
        <f t="shared" si="40"/>
        <v>0</v>
      </c>
      <c r="T17" s="1029">
        <f>'[14]FY2012-13 Final'!K18</f>
        <v>3450</v>
      </c>
      <c r="U17" s="973">
        <f t="shared" si="29"/>
        <v>0</v>
      </c>
      <c r="V17" s="1441">
        <f>'[20]Oct midyear DArbonne'!E17</f>
        <v>0</v>
      </c>
      <c r="W17" s="1444">
        <f t="shared" si="41"/>
        <v>0</v>
      </c>
      <c r="X17" s="1466">
        <f>'[20]Feb midyear DArbonne'!E17</f>
        <v>0</v>
      </c>
      <c r="Y17" s="1444">
        <f t="shared" si="42"/>
        <v>0</v>
      </c>
      <c r="Z17" s="1444">
        <f t="shared" si="43"/>
        <v>0</v>
      </c>
      <c r="AA17" s="973">
        <f t="shared" si="44"/>
        <v>0</v>
      </c>
      <c r="AB17" s="1089">
        <f t="shared" si="45"/>
        <v>0</v>
      </c>
      <c r="AC17" s="973">
        <f t="shared" si="46"/>
        <v>0</v>
      </c>
      <c r="AD17" s="973">
        <v>0</v>
      </c>
      <c r="AE17" s="973">
        <f t="shared" si="47"/>
        <v>0</v>
      </c>
      <c r="AF17" s="973">
        <v>0</v>
      </c>
      <c r="AG17" s="973">
        <f t="shared" si="48"/>
        <v>0</v>
      </c>
      <c r="AH17" s="973">
        <f t="shared" si="49"/>
        <v>0</v>
      </c>
      <c r="AI17" s="974">
        <f t="shared" si="50"/>
        <v>0</v>
      </c>
      <c r="AJ17" s="974">
        <f t="shared" si="30"/>
        <v>0</v>
      </c>
      <c r="AL17" s="49">
        <f t="shared" si="51"/>
        <v>0</v>
      </c>
      <c r="AM17" s="49">
        <f>-'[22]Table 5C1B-DArbonne'!AN17</f>
        <v>0</v>
      </c>
      <c r="AN17">
        <f>-'[21]Table 5C1B-DArbonne'!P17</f>
        <v>0</v>
      </c>
      <c r="AO17" s="49">
        <f t="shared" si="52"/>
        <v>0</v>
      </c>
    </row>
    <row r="18" spans="1:41">
      <c r="A18" s="975">
        <v>12</v>
      </c>
      <c r="B18" s="976" t="s">
        <v>113</v>
      </c>
      <c r="C18" s="1168">
        <f>'Table 8 2.1.12 MFP Funded'!S15</f>
        <v>0</v>
      </c>
      <c r="D18" s="978">
        <f>'Table 3 Levels 1&amp;2'!AL19</f>
        <v>1807.9873469387755</v>
      </c>
      <c r="E18" s="1072">
        <f t="shared" si="31"/>
        <v>0</v>
      </c>
      <c r="F18" s="1072">
        <f>'Table 4 Level 3'!P17</f>
        <v>1063.31</v>
      </c>
      <c r="G18" s="1072">
        <f t="shared" si="32"/>
        <v>0</v>
      </c>
      <c r="H18" s="1030">
        <f t="shared" si="33"/>
        <v>0</v>
      </c>
      <c r="I18" s="1415">
        <f>'[1]Oct midyear DArbonne'!K18</f>
        <v>0</v>
      </c>
      <c r="J18" s="1415">
        <f>'[1]Feb midyear DArbonne'!K18</f>
        <v>0</v>
      </c>
      <c r="K18" s="1415">
        <f t="shared" si="34"/>
        <v>0</v>
      </c>
      <c r="L18" s="1030">
        <f t="shared" si="35"/>
        <v>0</v>
      </c>
      <c r="M18" s="1082">
        <f t="shared" si="36"/>
        <v>0</v>
      </c>
      <c r="N18" s="1030">
        <f t="shared" si="37"/>
        <v>0</v>
      </c>
      <c r="O18" s="1030">
        <v>0</v>
      </c>
      <c r="P18" s="1030">
        <f t="shared" si="38"/>
        <v>0</v>
      </c>
      <c r="Q18" s="1030">
        <v>0</v>
      </c>
      <c r="R18" s="1030">
        <f t="shared" si="39"/>
        <v>0</v>
      </c>
      <c r="S18" s="1030">
        <f t="shared" si="40"/>
        <v>0</v>
      </c>
      <c r="T18" s="1029">
        <f>'[14]FY2012-13 Final'!K19</f>
        <v>12561</v>
      </c>
      <c r="U18" s="1031">
        <f t="shared" si="29"/>
        <v>0</v>
      </c>
      <c r="V18" s="1439">
        <f>'[20]Oct midyear DArbonne'!E18</f>
        <v>0</v>
      </c>
      <c r="W18" s="1443">
        <f t="shared" si="41"/>
        <v>0</v>
      </c>
      <c r="X18" s="1474">
        <f>'[20]Feb midyear DArbonne'!E18</f>
        <v>0</v>
      </c>
      <c r="Y18" s="1470">
        <f t="shared" si="42"/>
        <v>0</v>
      </c>
      <c r="Z18" s="1470">
        <f t="shared" si="43"/>
        <v>0</v>
      </c>
      <c r="AA18" s="1031">
        <f t="shared" si="44"/>
        <v>0</v>
      </c>
      <c r="AB18" s="1090">
        <f t="shared" si="45"/>
        <v>0</v>
      </c>
      <c r="AC18" s="1031">
        <f t="shared" si="46"/>
        <v>0</v>
      </c>
      <c r="AD18" s="1031">
        <v>0</v>
      </c>
      <c r="AE18" s="1031">
        <f t="shared" si="47"/>
        <v>0</v>
      </c>
      <c r="AF18" s="1031">
        <v>0</v>
      </c>
      <c r="AG18" s="1031">
        <f t="shared" si="48"/>
        <v>0</v>
      </c>
      <c r="AH18" s="1031">
        <f t="shared" si="49"/>
        <v>0</v>
      </c>
      <c r="AI18" s="1032">
        <f t="shared" si="50"/>
        <v>0</v>
      </c>
      <c r="AJ18" s="1032">
        <f t="shared" si="30"/>
        <v>0</v>
      </c>
      <c r="AL18" s="49">
        <f t="shared" si="51"/>
        <v>0</v>
      </c>
      <c r="AM18" s="49">
        <f>-'[22]Table 5C1B-DArbonne'!AN18</f>
        <v>0</v>
      </c>
      <c r="AN18">
        <f>-'[21]Table 5C1B-DArbonne'!P18</f>
        <v>0</v>
      </c>
      <c r="AO18" s="49">
        <f t="shared" si="52"/>
        <v>0</v>
      </c>
    </row>
    <row r="19" spans="1:41">
      <c r="A19" s="975">
        <v>13</v>
      </c>
      <c r="B19" s="976" t="s">
        <v>114</v>
      </c>
      <c r="C19" s="1168">
        <f>'Table 8 2.1.12 MFP Funded'!S16</f>
        <v>0</v>
      </c>
      <c r="D19" s="978">
        <f>'Table 3 Levels 1&amp;2'!AL20</f>
        <v>6143.511131744569</v>
      </c>
      <c r="E19" s="1072">
        <f t="shared" si="31"/>
        <v>0</v>
      </c>
      <c r="F19" s="1072">
        <f>'Table 4 Level 3'!P18</f>
        <v>749.43000000000006</v>
      </c>
      <c r="G19" s="1072">
        <f t="shared" si="32"/>
        <v>0</v>
      </c>
      <c r="H19" s="1030">
        <f t="shared" si="33"/>
        <v>0</v>
      </c>
      <c r="I19" s="1415">
        <f>'[1]Oct midyear DArbonne'!K19</f>
        <v>0</v>
      </c>
      <c r="J19" s="1415">
        <f>'[1]Feb midyear DArbonne'!K19</f>
        <v>0</v>
      </c>
      <c r="K19" s="1415">
        <f t="shared" si="34"/>
        <v>0</v>
      </c>
      <c r="L19" s="1030">
        <f t="shared" si="35"/>
        <v>0</v>
      </c>
      <c r="M19" s="1082">
        <f t="shared" si="36"/>
        <v>0</v>
      </c>
      <c r="N19" s="1030">
        <f t="shared" si="37"/>
        <v>0</v>
      </c>
      <c r="O19" s="1030">
        <v>0</v>
      </c>
      <c r="P19" s="1030">
        <f t="shared" si="38"/>
        <v>0</v>
      </c>
      <c r="Q19" s="1030">
        <v>0</v>
      </c>
      <c r="R19" s="1030">
        <f t="shared" si="39"/>
        <v>0</v>
      </c>
      <c r="S19" s="1030">
        <f t="shared" si="40"/>
        <v>0</v>
      </c>
      <c r="T19" s="1029">
        <f>'[14]FY2012-13 Final'!K20</f>
        <v>2538</v>
      </c>
      <c r="U19" s="1031">
        <f t="shared" si="29"/>
        <v>0</v>
      </c>
      <c r="V19" s="1439">
        <f>'[20]Oct midyear DArbonne'!E19</f>
        <v>0</v>
      </c>
      <c r="W19" s="1443">
        <f t="shared" si="41"/>
        <v>0</v>
      </c>
      <c r="X19" s="1474">
        <f>'[20]Feb midyear DArbonne'!E19</f>
        <v>0</v>
      </c>
      <c r="Y19" s="1470">
        <f t="shared" si="42"/>
        <v>0</v>
      </c>
      <c r="Z19" s="1470">
        <f t="shared" si="43"/>
        <v>0</v>
      </c>
      <c r="AA19" s="1031">
        <f t="shared" si="44"/>
        <v>0</v>
      </c>
      <c r="AB19" s="1090">
        <f t="shared" si="45"/>
        <v>0</v>
      </c>
      <c r="AC19" s="1031">
        <f t="shared" si="46"/>
        <v>0</v>
      </c>
      <c r="AD19" s="1031">
        <v>0</v>
      </c>
      <c r="AE19" s="1031">
        <f t="shared" si="47"/>
        <v>0</v>
      </c>
      <c r="AF19" s="1031">
        <v>0</v>
      </c>
      <c r="AG19" s="1031">
        <f t="shared" si="48"/>
        <v>0</v>
      </c>
      <c r="AH19" s="1031">
        <f t="shared" si="49"/>
        <v>0</v>
      </c>
      <c r="AI19" s="1032">
        <f t="shared" si="50"/>
        <v>0</v>
      </c>
      <c r="AJ19" s="1032">
        <f t="shared" si="30"/>
        <v>0</v>
      </c>
      <c r="AL19" s="49">
        <f t="shared" si="51"/>
        <v>0</v>
      </c>
      <c r="AM19" s="49">
        <f>-'[22]Table 5C1B-DArbonne'!AN19</f>
        <v>0</v>
      </c>
      <c r="AN19">
        <f>-'[21]Table 5C1B-DArbonne'!P19</f>
        <v>0</v>
      </c>
      <c r="AO19" s="49">
        <f t="shared" si="52"/>
        <v>0</v>
      </c>
    </row>
    <row r="20" spans="1:41">
      <c r="A20" s="975">
        <v>14</v>
      </c>
      <c r="B20" s="976" t="s">
        <v>115</v>
      </c>
      <c r="C20" s="1168">
        <f>'Table 8 2.1.12 MFP Funded'!S17</f>
        <v>3</v>
      </c>
      <c r="D20" s="978">
        <f>'Table 3 Levels 1&amp;2'!AL21</f>
        <v>5304.5609177528095</v>
      </c>
      <c r="E20" s="1072">
        <f t="shared" si="31"/>
        <v>15913.682753258428</v>
      </c>
      <c r="F20" s="1072">
        <f>'Table 4 Level 3'!P19</f>
        <v>809.9799999999999</v>
      </c>
      <c r="G20" s="1072">
        <f t="shared" si="32"/>
        <v>2429.9399999999996</v>
      </c>
      <c r="H20" s="1030">
        <f t="shared" si="33"/>
        <v>18343.622753258427</v>
      </c>
      <c r="I20" s="1415">
        <f>'[1]Oct midyear DArbonne'!K20</f>
        <v>-12229.081835505618</v>
      </c>
      <c r="J20" s="1415">
        <f>'[1]Feb midyear DArbonne'!K20</f>
        <v>3057.2704588764045</v>
      </c>
      <c r="K20" s="1415">
        <f t="shared" si="34"/>
        <v>-9171.8113766292136</v>
      </c>
      <c r="L20" s="1030">
        <f t="shared" si="35"/>
        <v>9171.8113766292136</v>
      </c>
      <c r="M20" s="1082">
        <f t="shared" si="36"/>
        <v>-22.929528441573034</v>
      </c>
      <c r="N20" s="1030">
        <f t="shared" si="37"/>
        <v>9148.8818481876406</v>
      </c>
      <c r="O20" s="1030">
        <v>0</v>
      </c>
      <c r="P20" s="1030">
        <f t="shared" si="38"/>
        <v>9148.8818481876406</v>
      </c>
      <c r="Q20" s="1030">
        <f>1518-138-138-138-138-138-138-138+2139+2139</f>
        <v>4830</v>
      </c>
      <c r="R20" s="1030">
        <f t="shared" si="39"/>
        <v>4318.8818481876406</v>
      </c>
      <c r="S20" s="1030">
        <f t="shared" si="40"/>
        <v>2159.4409240938203</v>
      </c>
      <c r="T20" s="1029">
        <f>'[14]FY2012-13 Final'!K21</f>
        <v>3890</v>
      </c>
      <c r="U20" s="1031">
        <f t="shared" si="29"/>
        <v>11670</v>
      </c>
      <c r="V20" s="1439">
        <f>'[20]Oct midyear DArbonne'!E20</f>
        <v>-2</v>
      </c>
      <c r="W20" s="1443">
        <f t="shared" si="41"/>
        <v>-7780</v>
      </c>
      <c r="X20" s="1474">
        <f>'[20]Feb midyear DArbonne'!E20</f>
        <v>1</v>
      </c>
      <c r="Y20" s="1470">
        <f t="shared" si="42"/>
        <v>1945</v>
      </c>
      <c r="Z20" s="1470">
        <f t="shared" si="43"/>
        <v>-5835</v>
      </c>
      <c r="AA20" s="1031">
        <f t="shared" si="44"/>
        <v>5835</v>
      </c>
      <c r="AB20" s="1090">
        <f t="shared" si="45"/>
        <v>-14.5875</v>
      </c>
      <c r="AC20" s="1031">
        <f t="shared" si="46"/>
        <v>5820.4125000000004</v>
      </c>
      <c r="AD20" s="1031">
        <v>0</v>
      </c>
      <c r="AE20" s="1031">
        <f t="shared" si="47"/>
        <v>5820.4125000000004</v>
      </c>
      <c r="AF20" s="1031">
        <f>899-82-82-82-82-82-82-82+1373+1373</f>
        <v>3071</v>
      </c>
      <c r="AG20" s="1031">
        <f t="shared" si="48"/>
        <v>2749.4125000000004</v>
      </c>
      <c r="AH20" s="1031">
        <f t="shared" si="49"/>
        <v>1374.7062500000002</v>
      </c>
      <c r="AI20" s="1032">
        <f t="shared" si="50"/>
        <v>14969.294348187641</v>
      </c>
      <c r="AJ20" s="1032">
        <f t="shared" si="30"/>
        <v>3534.1471740938205</v>
      </c>
      <c r="AL20" s="49">
        <f t="shared" si="51"/>
        <v>-14.5875</v>
      </c>
      <c r="AM20" s="49">
        <f>-'[22]Table 5C1B-DArbonne'!AN20</f>
        <v>14.58</v>
      </c>
      <c r="AN20">
        <f>-'[21]Table 5C1B-DArbonne'!P20</f>
        <v>27.037500000000001</v>
      </c>
      <c r="AO20" s="49">
        <f t="shared" si="52"/>
        <v>-7.5000000000002842E-3</v>
      </c>
    </row>
    <row r="21" spans="1:41">
      <c r="A21" s="979">
        <v>15</v>
      </c>
      <c r="B21" s="980" t="s">
        <v>116</v>
      </c>
      <c r="C21" s="1169">
        <f>'Table 8 2.1.12 MFP Funded'!S18</f>
        <v>0</v>
      </c>
      <c r="D21" s="982">
        <f>'Table 3 Levels 1&amp;2'!AL22</f>
        <v>5440.6588926253107</v>
      </c>
      <c r="E21" s="1073">
        <f t="shared" si="31"/>
        <v>0</v>
      </c>
      <c r="F21" s="1073">
        <f>'Table 4 Level 3'!P20</f>
        <v>553.79999999999995</v>
      </c>
      <c r="G21" s="1073">
        <f t="shared" si="32"/>
        <v>0</v>
      </c>
      <c r="H21" s="1033">
        <f t="shared" si="33"/>
        <v>0</v>
      </c>
      <c r="I21" s="1416">
        <f>'[1]Oct midyear DArbonne'!K21</f>
        <v>0</v>
      </c>
      <c r="J21" s="1416">
        <f>'[1]Feb midyear DArbonne'!K21</f>
        <v>0</v>
      </c>
      <c r="K21" s="1416">
        <f t="shared" si="34"/>
        <v>0</v>
      </c>
      <c r="L21" s="1033">
        <f t="shared" si="35"/>
        <v>0</v>
      </c>
      <c r="M21" s="1083">
        <f t="shared" si="36"/>
        <v>0</v>
      </c>
      <c r="N21" s="1033">
        <f t="shared" si="37"/>
        <v>0</v>
      </c>
      <c r="O21" s="1033">
        <v>0</v>
      </c>
      <c r="P21" s="1033">
        <f t="shared" si="38"/>
        <v>0</v>
      </c>
      <c r="Q21" s="1033">
        <v>0</v>
      </c>
      <c r="R21" s="1033">
        <f t="shared" si="39"/>
        <v>0</v>
      </c>
      <c r="S21" s="1033">
        <f t="shared" si="40"/>
        <v>0</v>
      </c>
      <c r="T21" s="1034">
        <f>'[14]FY2012-13 Final'!K22</f>
        <v>2752</v>
      </c>
      <c r="U21" s="1035">
        <f t="shared" si="29"/>
        <v>0</v>
      </c>
      <c r="V21" s="1440">
        <f>'[20]Oct midyear DArbonne'!E21</f>
        <v>0</v>
      </c>
      <c r="W21" s="1445">
        <f t="shared" si="41"/>
        <v>0</v>
      </c>
      <c r="X21" s="1475">
        <f>'[20]Feb midyear DArbonne'!E21</f>
        <v>0</v>
      </c>
      <c r="Y21" s="1471">
        <f t="shared" si="42"/>
        <v>0</v>
      </c>
      <c r="Z21" s="1471">
        <f t="shared" si="43"/>
        <v>0</v>
      </c>
      <c r="AA21" s="1035">
        <f t="shared" si="44"/>
        <v>0</v>
      </c>
      <c r="AB21" s="1091">
        <f t="shared" si="45"/>
        <v>0</v>
      </c>
      <c r="AC21" s="1035">
        <f t="shared" si="46"/>
        <v>0</v>
      </c>
      <c r="AD21" s="1035">
        <v>0</v>
      </c>
      <c r="AE21" s="1035">
        <f t="shared" si="47"/>
        <v>0</v>
      </c>
      <c r="AF21" s="1035">
        <v>0</v>
      </c>
      <c r="AG21" s="1035">
        <f t="shared" si="48"/>
        <v>0</v>
      </c>
      <c r="AH21" s="1035">
        <f t="shared" si="49"/>
        <v>0</v>
      </c>
      <c r="AI21" s="1036">
        <f t="shared" si="50"/>
        <v>0</v>
      </c>
      <c r="AJ21" s="1036">
        <f t="shared" si="30"/>
        <v>0</v>
      </c>
      <c r="AL21" s="49">
        <f t="shared" si="51"/>
        <v>0</v>
      </c>
      <c r="AM21" s="49">
        <f>-'[22]Table 5C1B-DArbonne'!AN21</f>
        <v>0</v>
      </c>
      <c r="AN21">
        <f>-'[21]Table 5C1B-DArbonne'!P21</f>
        <v>0</v>
      </c>
      <c r="AO21" s="49">
        <f t="shared" si="52"/>
        <v>0</v>
      </c>
    </row>
    <row r="22" spans="1:41">
      <c r="A22" s="968">
        <v>16</v>
      </c>
      <c r="B22" s="969" t="s">
        <v>117</v>
      </c>
      <c r="C22" s="1170">
        <f>'Table 8 2.1.12 MFP Funded'!S19</f>
        <v>0</v>
      </c>
      <c r="D22" s="971">
        <f>'Table 3 Levels 1&amp;2'!AL23</f>
        <v>1508.2103091706706</v>
      </c>
      <c r="E22" s="1071">
        <f t="shared" si="31"/>
        <v>0</v>
      </c>
      <c r="F22" s="1071">
        <f>'Table 4 Level 3'!P21</f>
        <v>686.73</v>
      </c>
      <c r="G22" s="1071">
        <f t="shared" si="32"/>
        <v>0</v>
      </c>
      <c r="H22" s="972">
        <f t="shared" si="33"/>
        <v>0</v>
      </c>
      <c r="I22" s="1414">
        <f>'[1]Oct midyear DArbonne'!K22</f>
        <v>0</v>
      </c>
      <c r="J22" s="1414">
        <f>'[1]Feb midyear DArbonne'!K22</f>
        <v>0</v>
      </c>
      <c r="K22" s="1414">
        <f t="shared" si="34"/>
        <v>0</v>
      </c>
      <c r="L22" s="972">
        <f t="shared" si="35"/>
        <v>0</v>
      </c>
      <c r="M22" s="1081">
        <f t="shared" si="36"/>
        <v>0</v>
      </c>
      <c r="N22" s="972">
        <f t="shared" si="37"/>
        <v>0</v>
      </c>
      <c r="O22" s="972">
        <v>0</v>
      </c>
      <c r="P22" s="972">
        <f t="shared" si="38"/>
        <v>0</v>
      </c>
      <c r="Q22" s="972">
        <v>0</v>
      </c>
      <c r="R22" s="972">
        <f t="shared" si="39"/>
        <v>0</v>
      </c>
      <c r="S22" s="972">
        <f t="shared" si="40"/>
        <v>0</v>
      </c>
      <c r="T22" s="1029">
        <f>'[14]FY2012-13 Final'!K23</f>
        <v>15097</v>
      </c>
      <c r="U22" s="973">
        <f t="shared" si="29"/>
        <v>0</v>
      </c>
      <c r="V22" s="1441">
        <f>'[20]Oct midyear DArbonne'!E22</f>
        <v>0</v>
      </c>
      <c r="W22" s="1444">
        <f t="shared" si="41"/>
        <v>0</v>
      </c>
      <c r="X22" s="1466">
        <f>'[20]Feb midyear DArbonne'!E22</f>
        <v>0</v>
      </c>
      <c r="Y22" s="1444">
        <f t="shared" si="42"/>
        <v>0</v>
      </c>
      <c r="Z22" s="1444">
        <f t="shared" si="43"/>
        <v>0</v>
      </c>
      <c r="AA22" s="973">
        <f t="shared" si="44"/>
        <v>0</v>
      </c>
      <c r="AB22" s="1089">
        <f t="shared" si="45"/>
        <v>0</v>
      </c>
      <c r="AC22" s="973">
        <f t="shared" si="46"/>
        <v>0</v>
      </c>
      <c r="AD22" s="973">
        <v>0</v>
      </c>
      <c r="AE22" s="973">
        <f t="shared" si="47"/>
        <v>0</v>
      </c>
      <c r="AF22" s="973">
        <v>0</v>
      </c>
      <c r="AG22" s="973">
        <f t="shared" si="48"/>
        <v>0</v>
      </c>
      <c r="AH22" s="973">
        <f t="shared" si="49"/>
        <v>0</v>
      </c>
      <c r="AI22" s="974">
        <f t="shared" si="50"/>
        <v>0</v>
      </c>
      <c r="AJ22" s="974">
        <f t="shared" si="30"/>
        <v>0</v>
      </c>
      <c r="AL22" s="49">
        <f t="shared" si="51"/>
        <v>0</v>
      </c>
      <c r="AM22" s="49">
        <f>-'[22]Table 5C1B-DArbonne'!AN22</f>
        <v>0</v>
      </c>
      <c r="AN22">
        <f>-'[21]Table 5C1B-DArbonne'!P22</f>
        <v>0</v>
      </c>
      <c r="AO22" s="49">
        <f t="shared" si="52"/>
        <v>0</v>
      </c>
    </row>
    <row r="23" spans="1:41">
      <c r="A23" s="975">
        <v>17</v>
      </c>
      <c r="B23" s="976" t="s">
        <v>118</v>
      </c>
      <c r="C23" s="1168">
        <f>'Table 8 2.1.12 MFP Funded'!S20</f>
        <v>0</v>
      </c>
      <c r="D23" s="978">
        <f>'Table 3 Levels 1&amp;2'!AL24</f>
        <v>3395.7244841073689</v>
      </c>
      <c r="E23" s="1072">
        <f t="shared" si="31"/>
        <v>0</v>
      </c>
      <c r="F23" s="1072">
        <f>'Table 5B2_RSD_LA'!F7</f>
        <v>801.47762416806802</v>
      </c>
      <c r="G23" s="1072">
        <f t="shared" si="32"/>
        <v>0</v>
      </c>
      <c r="H23" s="1030">
        <f t="shared" si="33"/>
        <v>0</v>
      </c>
      <c r="I23" s="1415">
        <f>'[1]Oct midyear DArbonne'!K23</f>
        <v>0</v>
      </c>
      <c r="J23" s="1415">
        <f>'[1]Feb midyear DArbonne'!K23</f>
        <v>0</v>
      </c>
      <c r="K23" s="1415">
        <f t="shared" si="34"/>
        <v>0</v>
      </c>
      <c r="L23" s="1030">
        <f t="shared" si="35"/>
        <v>0</v>
      </c>
      <c r="M23" s="1082">
        <f t="shared" si="36"/>
        <v>0</v>
      </c>
      <c r="N23" s="1030">
        <f t="shared" si="37"/>
        <v>0</v>
      </c>
      <c r="O23" s="1030">
        <v>0</v>
      </c>
      <c r="P23" s="1030">
        <f t="shared" si="38"/>
        <v>0</v>
      </c>
      <c r="Q23" s="1030">
        <v>0</v>
      </c>
      <c r="R23" s="1030">
        <f t="shared" si="39"/>
        <v>0</v>
      </c>
      <c r="S23" s="1030">
        <f t="shared" si="40"/>
        <v>0</v>
      </c>
      <c r="T23" s="1029">
        <f>'[14]FY2012-13 Final'!K24</f>
        <v>6601</v>
      </c>
      <c r="U23" s="1031">
        <f t="shared" si="29"/>
        <v>0</v>
      </c>
      <c r="V23" s="1439">
        <f>'[20]Oct midyear DArbonne'!E23</f>
        <v>0</v>
      </c>
      <c r="W23" s="1443">
        <f t="shared" si="41"/>
        <v>0</v>
      </c>
      <c r="X23" s="1474">
        <f>'[20]Feb midyear DArbonne'!E23</f>
        <v>0</v>
      </c>
      <c r="Y23" s="1470">
        <f t="shared" si="42"/>
        <v>0</v>
      </c>
      <c r="Z23" s="1470">
        <f t="shared" si="43"/>
        <v>0</v>
      </c>
      <c r="AA23" s="1031">
        <f t="shared" si="44"/>
        <v>0</v>
      </c>
      <c r="AB23" s="1090">
        <f t="shared" si="45"/>
        <v>0</v>
      </c>
      <c r="AC23" s="1031">
        <f t="shared" si="46"/>
        <v>0</v>
      </c>
      <c r="AD23" s="1031">
        <v>0</v>
      </c>
      <c r="AE23" s="1031">
        <f t="shared" si="47"/>
        <v>0</v>
      </c>
      <c r="AF23" s="1031">
        <v>0</v>
      </c>
      <c r="AG23" s="1031">
        <f t="shared" si="48"/>
        <v>0</v>
      </c>
      <c r="AH23" s="1031">
        <f t="shared" si="49"/>
        <v>0</v>
      </c>
      <c r="AI23" s="1032">
        <f t="shared" si="50"/>
        <v>0</v>
      </c>
      <c r="AJ23" s="1032">
        <f t="shared" si="30"/>
        <v>0</v>
      </c>
      <c r="AL23" s="49">
        <f t="shared" si="51"/>
        <v>0</v>
      </c>
      <c r="AM23" s="49">
        <f>-'[22]Table 5C1B-DArbonne'!AN23</f>
        <v>0</v>
      </c>
      <c r="AN23">
        <f>-'[21]Table 5C1B-DArbonne'!P23</f>
        <v>0</v>
      </c>
      <c r="AO23" s="49">
        <f t="shared" si="52"/>
        <v>0</v>
      </c>
    </row>
    <row r="24" spans="1:41">
      <c r="A24" s="975">
        <v>18</v>
      </c>
      <c r="B24" s="976" t="s">
        <v>119</v>
      </c>
      <c r="C24" s="1168">
        <f>'Table 8 2.1.12 MFP Funded'!S21</f>
        <v>0</v>
      </c>
      <c r="D24" s="978">
        <f>'Table 3 Levels 1&amp;2'!AL25</f>
        <v>5811.9176591224677</v>
      </c>
      <c r="E24" s="1072">
        <f t="shared" si="31"/>
        <v>0</v>
      </c>
      <c r="F24" s="1072">
        <f>'Table 4 Level 3'!P23</f>
        <v>845.94999999999993</v>
      </c>
      <c r="G24" s="1072">
        <f t="shared" si="32"/>
        <v>0</v>
      </c>
      <c r="H24" s="1030">
        <f t="shared" si="33"/>
        <v>0</v>
      </c>
      <c r="I24" s="1415">
        <f>'[1]Oct midyear DArbonne'!K24</f>
        <v>0</v>
      </c>
      <c r="J24" s="1415">
        <f>'[1]Feb midyear DArbonne'!K24</f>
        <v>0</v>
      </c>
      <c r="K24" s="1415">
        <f t="shared" si="34"/>
        <v>0</v>
      </c>
      <c r="L24" s="1030">
        <f t="shared" si="35"/>
        <v>0</v>
      </c>
      <c r="M24" s="1082">
        <f t="shared" si="36"/>
        <v>0</v>
      </c>
      <c r="N24" s="1030">
        <f t="shared" si="37"/>
        <v>0</v>
      </c>
      <c r="O24" s="1030">
        <v>0</v>
      </c>
      <c r="P24" s="1030">
        <f t="shared" si="38"/>
        <v>0</v>
      </c>
      <c r="Q24" s="1030">
        <v>0</v>
      </c>
      <c r="R24" s="1030">
        <f t="shared" si="39"/>
        <v>0</v>
      </c>
      <c r="S24" s="1030">
        <f t="shared" si="40"/>
        <v>0</v>
      </c>
      <c r="T24" s="1029">
        <f>'[14]FY2012-13 Final'!K25</f>
        <v>2179</v>
      </c>
      <c r="U24" s="1031">
        <f t="shared" si="29"/>
        <v>0</v>
      </c>
      <c r="V24" s="1439">
        <f>'[20]Oct midyear DArbonne'!E24</f>
        <v>0</v>
      </c>
      <c r="W24" s="1443">
        <f t="shared" si="41"/>
        <v>0</v>
      </c>
      <c r="X24" s="1474">
        <f>'[20]Feb midyear DArbonne'!E24</f>
        <v>0</v>
      </c>
      <c r="Y24" s="1470">
        <f t="shared" si="42"/>
        <v>0</v>
      </c>
      <c r="Z24" s="1470">
        <f t="shared" si="43"/>
        <v>0</v>
      </c>
      <c r="AA24" s="1031">
        <f t="shared" si="44"/>
        <v>0</v>
      </c>
      <c r="AB24" s="1090">
        <f t="shared" si="45"/>
        <v>0</v>
      </c>
      <c r="AC24" s="1031">
        <f t="shared" si="46"/>
        <v>0</v>
      </c>
      <c r="AD24" s="1031">
        <v>0</v>
      </c>
      <c r="AE24" s="1031">
        <f t="shared" si="47"/>
        <v>0</v>
      </c>
      <c r="AF24" s="1031">
        <v>0</v>
      </c>
      <c r="AG24" s="1031">
        <f t="shared" si="48"/>
        <v>0</v>
      </c>
      <c r="AH24" s="1031">
        <f t="shared" si="49"/>
        <v>0</v>
      </c>
      <c r="AI24" s="1032">
        <f t="shared" si="50"/>
        <v>0</v>
      </c>
      <c r="AJ24" s="1032">
        <f t="shared" si="30"/>
        <v>0</v>
      </c>
      <c r="AL24" s="49">
        <f t="shared" si="51"/>
        <v>0</v>
      </c>
      <c r="AM24" s="49">
        <f>-'[22]Table 5C1B-DArbonne'!AN24</f>
        <v>0</v>
      </c>
      <c r="AN24">
        <f>-'[21]Table 5C1B-DArbonne'!P24</f>
        <v>0</v>
      </c>
      <c r="AO24" s="49">
        <f t="shared" si="52"/>
        <v>0</v>
      </c>
    </row>
    <row r="25" spans="1:41">
      <c r="A25" s="975">
        <v>19</v>
      </c>
      <c r="B25" s="976" t="s">
        <v>120</v>
      </c>
      <c r="C25" s="1168">
        <f>'Table 8 2.1.12 MFP Funded'!S22</f>
        <v>0</v>
      </c>
      <c r="D25" s="978">
        <f>'Table 3 Levels 1&amp;2'!AL26</f>
        <v>5201.7687653250778</v>
      </c>
      <c r="E25" s="1072">
        <f t="shared" si="31"/>
        <v>0</v>
      </c>
      <c r="F25" s="1072">
        <f>'Table 4 Level 3'!P24</f>
        <v>905.43</v>
      </c>
      <c r="G25" s="1072">
        <f t="shared" si="32"/>
        <v>0</v>
      </c>
      <c r="H25" s="1030">
        <f t="shared" si="33"/>
        <v>0</v>
      </c>
      <c r="I25" s="1415">
        <f>'[1]Oct midyear DArbonne'!K25</f>
        <v>0</v>
      </c>
      <c r="J25" s="1415">
        <f>'[1]Feb midyear DArbonne'!K25</f>
        <v>0</v>
      </c>
      <c r="K25" s="1415">
        <f t="shared" si="34"/>
        <v>0</v>
      </c>
      <c r="L25" s="1030">
        <f t="shared" si="35"/>
        <v>0</v>
      </c>
      <c r="M25" s="1082">
        <f t="shared" si="36"/>
        <v>0</v>
      </c>
      <c r="N25" s="1030">
        <f t="shared" si="37"/>
        <v>0</v>
      </c>
      <c r="O25" s="1030">
        <v>0</v>
      </c>
      <c r="P25" s="1030">
        <f t="shared" si="38"/>
        <v>0</v>
      </c>
      <c r="Q25" s="1030">
        <v>0</v>
      </c>
      <c r="R25" s="1030">
        <f t="shared" si="39"/>
        <v>0</v>
      </c>
      <c r="S25" s="1030">
        <f t="shared" si="40"/>
        <v>0</v>
      </c>
      <c r="T25" s="1029">
        <f>'[14]FY2012-13 Final'!K26</f>
        <v>2736</v>
      </c>
      <c r="U25" s="1031">
        <f t="shared" si="29"/>
        <v>0</v>
      </c>
      <c r="V25" s="1439">
        <f>'[20]Oct midyear DArbonne'!E25</f>
        <v>0</v>
      </c>
      <c r="W25" s="1443">
        <f t="shared" si="41"/>
        <v>0</v>
      </c>
      <c r="X25" s="1474">
        <f>'[20]Feb midyear DArbonne'!E25</f>
        <v>0</v>
      </c>
      <c r="Y25" s="1470">
        <f t="shared" si="42"/>
        <v>0</v>
      </c>
      <c r="Z25" s="1470">
        <f t="shared" si="43"/>
        <v>0</v>
      </c>
      <c r="AA25" s="1031">
        <f t="shared" si="44"/>
        <v>0</v>
      </c>
      <c r="AB25" s="1090">
        <f t="shared" si="45"/>
        <v>0</v>
      </c>
      <c r="AC25" s="1031">
        <f t="shared" si="46"/>
        <v>0</v>
      </c>
      <c r="AD25" s="1031">
        <v>0</v>
      </c>
      <c r="AE25" s="1031">
        <f t="shared" si="47"/>
        <v>0</v>
      </c>
      <c r="AF25" s="1031">
        <v>0</v>
      </c>
      <c r="AG25" s="1031">
        <f t="shared" si="48"/>
        <v>0</v>
      </c>
      <c r="AH25" s="1031">
        <f t="shared" si="49"/>
        <v>0</v>
      </c>
      <c r="AI25" s="1032">
        <f t="shared" si="50"/>
        <v>0</v>
      </c>
      <c r="AJ25" s="1032">
        <f t="shared" si="30"/>
        <v>0</v>
      </c>
      <c r="AL25" s="49">
        <f t="shared" si="51"/>
        <v>0</v>
      </c>
      <c r="AM25" s="49">
        <f>-'[22]Table 5C1B-DArbonne'!AN25</f>
        <v>0</v>
      </c>
      <c r="AN25">
        <f>-'[21]Table 5C1B-DArbonne'!P25</f>
        <v>0</v>
      </c>
      <c r="AO25" s="49">
        <f t="shared" si="52"/>
        <v>0</v>
      </c>
    </row>
    <row r="26" spans="1:41">
      <c r="A26" s="979">
        <v>20</v>
      </c>
      <c r="B26" s="980" t="s">
        <v>121</v>
      </c>
      <c r="C26" s="1169">
        <f>'Table 8 2.1.12 MFP Funded'!S23</f>
        <v>0</v>
      </c>
      <c r="D26" s="982">
        <f>'Table 3 Levels 1&amp;2'!AL27</f>
        <v>5446.6066076220959</v>
      </c>
      <c r="E26" s="1073">
        <f t="shared" si="31"/>
        <v>0</v>
      </c>
      <c r="F26" s="1073">
        <f>'Table 4 Level 3'!P25</f>
        <v>586.16999999999996</v>
      </c>
      <c r="G26" s="1073">
        <f t="shared" si="32"/>
        <v>0</v>
      </c>
      <c r="H26" s="1033">
        <f t="shared" si="33"/>
        <v>0</v>
      </c>
      <c r="I26" s="1416">
        <f>'[1]Oct midyear DArbonne'!K26</f>
        <v>0</v>
      </c>
      <c r="J26" s="1416">
        <f>'[1]Feb midyear DArbonne'!K26</f>
        <v>0</v>
      </c>
      <c r="K26" s="1416">
        <f t="shared" si="34"/>
        <v>0</v>
      </c>
      <c r="L26" s="1033">
        <f t="shared" si="35"/>
        <v>0</v>
      </c>
      <c r="M26" s="1083">
        <f t="shared" si="36"/>
        <v>0</v>
      </c>
      <c r="N26" s="1033">
        <f t="shared" si="37"/>
        <v>0</v>
      </c>
      <c r="O26" s="1033">
        <v>0</v>
      </c>
      <c r="P26" s="1033">
        <f t="shared" si="38"/>
        <v>0</v>
      </c>
      <c r="Q26" s="1033">
        <v>0</v>
      </c>
      <c r="R26" s="1033">
        <f t="shared" si="39"/>
        <v>0</v>
      </c>
      <c r="S26" s="1033">
        <f t="shared" si="40"/>
        <v>0</v>
      </c>
      <c r="T26" s="1034">
        <f>'[14]FY2012-13 Final'!K27</f>
        <v>2337</v>
      </c>
      <c r="U26" s="1035">
        <f t="shared" si="29"/>
        <v>0</v>
      </c>
      <c r="V26" s="1440">
        <f>'[20]Oct midyear DArbonne'!E26</f>
        <v>0</v>
      </c>
      <c r="W26" s="1445">
        <f t="shared" si="41"/>
        <v>0</v>
      </c>
      <c r="X26" s="1475">
        <f>'[20]Feb midyear DArbonne'!E26</f>
        <v>0</v>
      </c>
      <c r="Y26" s="1471">
        <f t="shared" si="42"/>
        <v>0</v>
      </c>
      <c r="Z26" s="1471">
        <f t="shared" si="43"/>
        <v>0</v>
      </c>
      <c r="AA26" s="1035">
        <f t="shared" si="44"/>
        <v>0</v>
      </c>
      <c r="AB26" s="1091">
        <f t="shared" si="45"/>
        <v>0</v>
      </c>
      <c r="AC26" s="1035">
        <f t="shared" si="46"/>
        <v>0</v>
      </c>
      <c r="AD26" s="1035">
        <v>0</v>
      </c>
      <c r="AE26" s="1035">
        <f t="shared" si="47"/>
        <v>0</v>
      </c>
      <c r="AF26" s="1035">
        <v>0</v>
      </c>
      <c r="AG26" s="1035">
        <f t="shared" si="48"/>
        <v>0</v>
      </c>
      <c r="AH26" s="1035">
        <f t="shared" si="49"/>
        <v>0</v>
      </c>
      <c r="AI26" s="1036">
        <f t="shared" si="50"/>
        <v>0</v>
      </c>
      <c r="AJ26" s="1036">
        <f t="shared" si="30"/>
        <v>0</v>
      </c>
      <c r="AL26" s="49">
        <f t="shared" si="51"/>
        <v>0</v>
      </c>
      <c r="AM26" s="49">
        <f>-'[22]Table 5C1B-DArbonne'!AN26</f>
        <v>0</v>
      </c>
      <c r="AN26">
        <f>-'[21]Table 5C1B-DArbonne'!P26</f>
        <v>0</v>
      </c>
      <c r="AO26" s="49">
        <f t="shared" si="52"/>
        <v>0</v>
      </c>
    </row>
    <row r="27" spans="1:41">
      <c r="A27" s="968">
        <v>21</v>
      </c>
      <c r="B27" s="969" t="s">
        <v>122</v>
      </c>
      <c r="C27" s="1170">
        <f>'Table 8 2.1.12 MFP Funded'!S24</f>
        <v>0</v>
      </c>
      <c r="D27" s="971">
        <f>'Table 3 Levels 1&amp;2'!AL28</f>
        <v>5761.9798531850847</v>
      </c>
      <c r="E27" s="1071">
        <f t="shared" si="31"/>
        <v>0</v>
      </c>
      <c r="F27" s="1071">
        <f>'Table 4 Level 3'!P26</f>
        <v>610.35</v>
      </c>
      <c r="G27" s="1071">
        <f t="shared" si="32"/>
        <v>0</v>
      </c>
      <c r="H27" s="972">
        <f t="shared" si="33"/>
        <v>0</v>
      </c>
      <c r="I27" s="1414">
        <f>'[1]Oct midyear DArbonne'!K27</f>
        <v>0</v>
      </c>
      <c r="J27" s="1414">
        <f>'[1]Feb midyear DArbonne'!K27</f>
        <v>0</v>
      </c>
      <c r="K27" s="1414">
        <f t="shared" si="34"/>
        <v>0</v>
      </c>
      <c r="L27" s="972">
        <f t="shared" si="35"/>
        <v>0</v>
      </c>
      <c r="M27" s="1081">
        <f t="shared" si="36"/>
        <v>0</v>
      </c>
      <c r="N27" s="972">
        <f t="shared" si="37"/>
        <v>0</v>
      </c>
      <c r="O27" s="972">
        <v>0</v>
      </c>
      <c r="P27" s="972">
        <f t="shared" si="38"/>
        <v>0</v>
      </c>
      <c r="Q27" s="972">
        <v>0</v>
      </c>
      <c r="R27" s="972">
        <f t="shared" si="39"/>
        <v>0</v>
      </c>
      <c r="S27" s="972">
        <f t="shared" si="40"/>
        <v>0</v>
      </c>
      <c r="T27" s="1029">
        <f>'[14]FY2012-13 Final'!K28</f>
        <v>2293</v>
      </c>
      <c r="U27" s="973">
        <f t="shared" si="29"/>
        <v>0</v>
      </c>
      <c r="V27" s="1441">
        <f>'[20]Oct midyear DArbonne'!E27</f>
        <v>0</v>
      </c>
      <c r="W27" s="1444">
        <f t="shared" si="41"/>
        <v>0</v>
      </c>
      <c r="X27" s="1466">
        <f>'[20]Feb midyear DArbonne'!E27</f>
        <v>0</v>
      </c>
      <c r="Y27" s="1444">
        <f t="shared" si="42"/>
        <v>0</v>
      </c>
      <c r="Z27" s="1444">
        <f t="shared" si="43"/>
        <v>0</v>
      </c>
      <c r="AA27" s="973">
        <f t="shared" si="44"/>
        <v>0</v>
      </c>
      <c r="AB27" s="1089">
        <f t="shared" si="45"/>
        <v>0</v>
      </c>
      <c r="AC27" s="973">
        <f t="shared" si="46"/>
        <v>0</v>
      </c>
      <c r="AD27" s="973">
        <v>0</v>
      </c>
      <c r="AE27" s="973">
        <f t="shared" si="47"/>
        <v>0</v>
      </c>
      <c r="AF27" s="973">
        <v>0</v>
      </c>
      <c r="AG27" s="973">
        <f t="shared" si="48"/>
        <v>0</v>
      </c>
      <c r="AH27" s="973">
        <f t="shared" si="49"/>
        <v>0</v>
      </c>
      <c r="AI27" s="974">
        <f t="shared" si="50"/>
        <v>0</v>
      </c>
      <c r="AJ27" s="974">
        <f t="shared" si="30"/>
        <v>0</v>
      </c>
      <c r="AL27" s="49">
        <f t="shared" si="51"/>
        <v>0</v>
      </c>
      <c r="AM27" s="49">
        <f>-'[22]Table 5C1B-DArbonne'!AN27</f>
        <v>0</v>
      </c>
      <c r="AN27">
        <f>-'[21]Table 5C1B-DArbonne'!P27</f>
        <v>0</v>
      </c>
      <c r="AO27" s="49">
        <f t="shared" si="52"/>
        <v>0</v>
      </c>
    </row>
    <row r="28" spans="1:41">
      <c r="A28" s="975">
        <v>22</v>
      </c>
      <c r="B28" s="976" t="s">
        <v>123</v>
      </c>
      <c r="C28" s="1168">
        <f>'Table 8 2.1.12 MFP Funded'!S25</f>
        <v>0</v>
      </c>
      <c r="D28" s="978">
        <f>'Table 3 Levels 1&amp;2'!AL29</f>
        <v>6212.5932514983215</v>
      </c>
      <c r="E28" s="1072">
        <f t="shared" si="31"/>
        <v>0</v>
      </c>
      <c r="F28" s="1072">
        <f>'Table 4 Level 3'!P27</f>
        <v>496.36</v>
      </c>
      <c r="G28" s="1072">
        <f t="shared" si="32"/>
        <v>0</v>
      </c>
      <c r="H28" s="1030">
        <f t="shared" si="33"/>
        <v>0</v>
      </c>
      <c r="I28" s="1415">
        <f>'[1]Oct midyear DArbonne'!K28</f>
        <v>0</v>
      </c>
      <c r="J28" s="1415">
        <f>'[1]Feb midyear DArbonne'!K28</f>
        <v>0</v>
      </c>
      <c r="K28" s="1415">
        <f t="shared" si="34"/>
        <v>0</v>
      </c>
      <c r="L28" s="1030">
        <f t="shared" si="35"/>
        <v>0</v>
      </c>
      <c r="M28" s="1082">
        <f t="shared" si="36"/>
        <v>0</v>
      </c>
      <c r="N28" s="1030">
        <f t="shared" si="37"/>
        <v>0</v>
      </c>
      <c r="O28" s="1030">
        <v>0</v>
      </c>
      <c r="P28" s="1030">
        <f t="shared" si="38"/>
        <v>0</v>
      </c>
      <c r="Q28" s="1030">
        <v>0</v>
      </c>
      <c r="R28" s="1030">
        <f t="shared" si="39"/>
        <v>0</v>
      </c>
      <c r="S28" s="1030">
        <f t="shared" si="40"/>
        <v>0</v>
      </c>
      <c r="T28" s="1029">
        <f>'[14]FY2012-13 Final'!K29</f>
        <v>1412</v>
      </c>
      <c r="U28" s="1031">
        <f t="shared" si="29"/>
        <v>0</v>
      </c>
      <c r="V28" s="1439">
        <f>'[20]Oct midyear DArbonne'!E28</f>
        <v>0</v>
      </c>
      <c r="W28" s="1443">
        <f t="shared" si="41"/>
        <v>0</v>
      </c>
      <c r="X28" s="1474">
        <f>'[20]Feb midyear DArbonne'!E28</f>
        <v>0</v>
      </c>
      <c r="Y28" s="1470">
        <f t="shared" si="42"/>
        <v>0</v>
      </c>
      <c r="Z28" s="1470">
        <f t="shared" si="43"/>
        <v>0</v>
      </c>
      <c r="AA28" s="1031">
        <f t="shared" si="44"/>
        <v>0</v>
      </c>
      <c r="AB28" s="1090">
        <f t="shared" si="45"/>
        <v>0</v>
      </c>
      <c r="AC28" s="1031">
        <f t="shared" si="46"/>
        <v>0</v>
      </c>
      <c r="AD28" s="1031">
        <v>0</v>
      </c>
      <c r="AE28" s="1031">
        <f t="shared" si="47"/>
        <v>0</v>
      </c>
      <c r="AF28" s="1031">
        <v>0</v>
      </c>
      <c r="AG28" s="1031">
        <f t="shared" si="48"/>
        <v>0</v>
      </c>
      <c r="AH28" s="1031">
        <f t="shared" si="49"/>
        <v>0</v>
      </c>
      <c r="AI28" s="1032">
        <f t="shared" si="50"/>
        <v>0</v>
      </c>
      <c r="AJ28" s="1032">
        <f t="shared" si="30"/>
        <v>0</v>
      </c>
      <c r="AL28" s="49">
        <f t="shared" si="51"/>
        <v>0</v>
      </c>
      <c r="AM28" s="49">
        <f>-'[22]Table 5C1B-DArbonne'!AN28</f>
        <v>0</v>
      </c>
      <c r="AN28">
        <f>-'[21]Table 5C1B-DArbonne'!P28</f>
        <v>0</v>
      </c>
      <c r="AO28" s="49">
        <f t="shared" si="52"/>
        <v>0</v>
      </c>
    </row>
    <row r="29" spans="1:41">
      <c r="A29" s="975">
        <v>23</v>
      </c>
      <c r="B29" s="976" t="s">
        <v>124</v>
      </c>
      <c r="C29" s="1168">
        <f>'Table 8 2.1.12 MFP Funded'!S26</f>
        <v>0</v>
      </c>
      <c r="D29" s="978">
        <f>'Table 3 Levels 1&amp;2'!AL30</f>
        <v>4824.5074836036147</v>
      </c>
      <c r="E29" s="1072">
        <f t="shared" si="31"/>
        <v>0</v>
      </c>
      <c r="F29" s="1072">
        <f>'Table 4 Level 3'!P28</f>
        <v>688.58</v>
      </c>
      <c r="G29" s="1072">
        <f t="shared" si="32"/>
        <v>0</v>
      </c>
      <c r="H29" s="1030">
        <f t="shared" si="33"/>
        <v>0</v>
      </c>
      <c r="I29" s="1415">
        <f>'[1]Oct midyear DArbonne'!K29</f>
        <v>0</v>
      </c>
      <c r="J29" s="1415">
        <f>'[1]Feb midyear DArbonne'!K29</f>
        <v>0</v>
      </c>
      <c r="K29" s="1415">
        <f t="shared" si="34"/>
        <v>0</v>
      </c>
      <c r="L29" s="1030">
        <f t="shared" si="35"/>
        <v>0</v>
      </c>
      <c r="M29" s="1082">
        <f t="shared" si="36"/>
        <v>0</v>
      </c>
      <c r="N29" s="1030">
        <f t="shared" si="37"/>
        <v>0</v>
      </c>
      <c r="O29" s="1030">
        <v>0</v>
      </c>
      <c r="P29" s="1030">
        <f t="shared" si="38"/>
        <v>0</v>
      </c>
      <c r="Q29" s="1030">
        <v>0</v>
      </c>
      <c r="R29" s="1030">
        <f t="shared" si="39"/>
        <v>0</v>
      </c>
      <c r="S29" s="1030">
        <f t="shared" si="40"/>
        <v>0</v>
      </c>
      <c r="T29" s="1029">
        <f>'[14]FY2012-13 Final'!K30</f>
        <v>3278</v>
      </c>
      <c r="U29" s="1031">
        <f t="shared" si="29"/>
        <v>0</v>
      </c>
      <c r="V29" s="1439">
        <f>'[20]Oct midyear DArbonne'!E29</f>
        <v>0</v>
      </c>
      <c r="W29" s="1443">
        <f t="shared" si="41"/>
        <v>0</v>
      </c>
      <c r="X29" s="1474">
        <f>'[20]Feb midyear DArbonne'!E29</f>
        <v>0</v>
      </c>
      <c r="Y29" s="1470">
        <f t="shared" si="42"/>
        <v>0</v>
      </c>
      <c r="Z29" s="1470">
        <f t="shared" si="43"/>
        <v>0</v>
      </c>
      <c r="AA29" s="1031">
        <f t="shared" si="44"/>
        <v>0</v>
      </c>
      <c r="AB29" s="1090">
        <f t="shared" si="45"/>
        <v>0</v>
      </c>
      <c r="AC29" s="1031">
        <f t="shared" si="46"/>
        <v>0</v>
      </c>
      <c r="AD29" s="1031">
        <v>0</v>
      </c>
      <c r="AE29" s="1031">
        <f t="shared" si="47"/>
        <v>0</v>
      </c>
      <c r="AF29" s="1031">
        <v>0</v>
      </c>
      <c r="AG29" s="1031">
        <f t="shared" si="48"/>
        <v>0</v>
      </c>
      <c r="AH29" s="1031">
        <f t="shared" si="49"/>
        <v>0</v>
      </c>
      <c r="AI29" s="1032">
        <f t="shared" si="50"/>
        <v>0</v>
      </c>
      <c r="AJ29" s="1032">
        <f t="shared" si="30"/>
        <v>0</v>
      </c>
      <c r="AL29" s="49">
        <f t="shared" si="51"/>
        <v>0</v>
      </c>
      <c r="AM29" s="49">
        <f>-'[22]Table 5C1B-DArbonne'!AN29</f>
        <v>0</v>
      </c>
      <c r="AN29">
        <f>-'[21]Table 5C1B-DArbonne'!P29</f>
        <v>0</v>
      </c>
      <c r="AO29" s="49">
        <f t="shared" si="52"/>
        <v>0</v>
      </c>
    </row>
    <row r="30" spans="1:41">
      <c r="A30" s="975">
        <v>24</v>
      </c>
      <c r="B30" s="976" t="s">
        <v>125</v>
      </c>
      <c r="C30" s="1168">
        <f>'Table 8 2.1.12 MFP Funded'!S27</f>
        <v>0</v>
      </c>
      <c r="D30" s="978">
        <f>'Table 3 Levels 1&amp;2'!AL31</f>
        <v>2654.5104003578617</v>
      </c>
      <c r="E30" s="1072">
        <f t="shared" si="31"/>
        <v>0</v>
      </c>
      <c r="F30" s="1072">
        <f>'Table 4 Level 3'!P29</f>
        <v>854.24999999999989</v>
      </c>
      <c r="G30" s="1072">
        <f t="shared" si="32"/>
        <v>0</v>
      </c>
      <c r="H30" s="1030">
        <f t="shared" si="33"/>
        <v>0</v>
      </c>
      <c r="I30" s="1415">
        <f>'[1]Oct midyear DArbonne'!K30</f>
        <v>0</v>
      </c>
      <c r="J30" s="1415">
        <f>'[1]Feb midyear DArbonne'!K30</f>
        <v>0</v>
      </c>
      <c r="K30" s="1415">
        <f t="shared" si="34"/>
        <v>0</v>
      </c>
      <c r="L30" s="1030">
        <f t="shared" si="35"/>
        <v>0</v>
      </c>
      <c r="M30" s="1082">
        <f t="shared" si="36"/>
        <v>0</v>
      </c>
      <c r="N30" s="1030">
        <f t="shared" si="37"/>
        <v>0</v>
      </c>
      <c r="O30" s="1030">
        <v>0</v>
      </c>
      <c r="P30" s="1030">
        <f t="shared" si="38"/>
        <v>0</v>
      </c>
      <c r="Q30" s="1030">
        <v>0</v>
      </c>
      <c r="R30" s="1030">
        <f t="shared" si="39"/>
        <v>0</v>
      </c>
      <c r="S30" s="1030">
        <f t="shared" si="40"/>
        <v>0</v>
      </c>
      <c r="T30" s="1029">
        <f>'[14]FY2012-13 Final'!K31</f>
        <v>9311</v>
      </c>
      <c r="U30" s="1031">
        <f t="shared" si="29"/>
        <v>0</v>
      </c>
      <c r="V30" s="1439">
        <f>'[20]Oct midyear DArbonne'!E30</f>
        <v>0</v>
      </c>
      <c r="W30" s="1443">
        <f t="shared" si="41"/>
        <v>0</v>
      </c>
      <c r="X30" s="1474">
        <f>'[20]Feb midyear DArbonne'!E30</f>
        <v>0</v>
      </c>
      <c r="Y30" s="1470">
        <f t="shared" si="42"/>
        <v>0</v>
      </c>
      <c r="Z30" s="1470">
        <f t="shared" si="43"/>
        <v>0</v>
      </c>
      <c r="AA30" s="1031">
        <f t="shared" si="44"/>
        <v>0</v>
      </c>
      <c r="AB30" s="1090">
        <f t="shared" si="45"/>
        <v>0</v>
      </c>
      <c r="AC30" s="1031">
        <f t="shared" si="46"/>
        <v>0</v>
      </c>
      <c r="AD30" s="1031">
        <v>0</v>
      </c>
      <c r="AE30" s="1031">
        <f t="shared" si="47"/>
        <v>0</v>
      </c>
      <c r="AF30" s="1031">
        <v>0</v>
      </c>
      <c r="AG30" s="1031">
        <f t="shared" si="48"/>
        <v>0</v>
      </c>
      <c r="AH30" s="1031">
        <f t="shared" si="49"/>
        <v>0</v>
      </c>
      <c r="AI30" s="1032">
        <f t="shared" si="50"/>
        <v>0</v>
      </c>
      <c r="AJ30" s="1032">
        <f t="shared" si="30"/>
        <v>0</v>
      </c>
      <c r="AL30" s="49">
        <f t="shared" si="51"/>
        <v>0</v>
      </c>
      <c r="AM30" s="49">
        <f>-'[22]Table 5C1B-DArbonne'!AN30</f>
        <v>0</v>
      </c>
      <c r="AN30">
        <f>-'[21]Table 5C1B-DArbonne'!P30</f>
        <v>0</v>
      </c>
      <c r="AO30" s="49">
        <f t="shared" si="52"/>
        <v>0</v>
      </c>
    </row>
    <row r="31" spans="1:41">
      <c r="A31" s="979">
        <v>25</v>
      </c>
      <c r="B31" s="980" t="s">
        <v>126</v>
      </c>
      <c r="C31" s="1169">
        <f>'Table 8 2.1.12 MFP Funded'!S28</f>
        <v>0</v>
      </c>
      <c r="D31" s="982">
        <f>'Table 3 Levels 1&amp;2'!AL32</f>
        <v>3876.6607101712493</v>
      </c>
      <c r="E31" s="1073">
        <f t="shared" si="31"/>
        <v>0</v>
      </c>
      <c r="F31" s="1073">
        <f>'Table 4 Level 3'!P30</f>
        <v>653.73</v>
      </c>
      <c r="G31" s="1073">
        <f t="shared" si="32"/>
        <v>0</v>
      </c>
      <c r="H31" s="1033">
        <f t="shared" si="33"/>
        <v>0</v>
      </c>
      <c r="I31" s="1416">
        <f>'[1]Oct midyear DArbonne'!K31</f>
        <v>0</v>
      </c>
      <c r="J31" s="1416">
        <f>'[1]Feb midyear DArbonne'!K31</f>
        <v>0</v>
      </c>
      <c r="K31" s="1416">
        <f t="shared" si="34"/>
        <v>0</v>
      </c>
      <c r="L31" s="1033">
        <f t="shared" si="35"/>
        <v>0</v>
      </c>
      <c r="M31" s="1083">
        <f t="shared" si="36"/>
        <v>0</v>
      </c>
      <c r="N31" s="1033">
        <f t="shared" si="37"/>
        <v>0</v>
      </c>
      <c r="O31" s="1033">
        <v>0</v>
      </c>
      <c r="P31" s="1033">
        <f t="shared" si="38"/>
        <v>0</v>
      </c>
      <c r="Q31" s="1033">
        <v>0</v>
      </c>
      <c r="R31" s="1033">
        <f t="shared" si="39"/>
        <v>0</v>
      </c>
      <c r="S31" s="1033">
        <f t="shared" si="40"/>
        <v>0</v>
      </c>
      <c r="T31" s="1034">
        <f>'[14]FY2012-13 Final'!K32</f>
        <v>5361</v>
      </c>
      <c r="U31" s="1035">
        <f t="shared" si="29"/>
        <v>0</v>
      </c>
      <c r="V31" s="1440">
        <f>'[20]Oct midyear DArbonne'!E31</f>
        <v>0</v>
      </c>
      <c r="W31" s="1445">
        <f t="shared" si="41"/>
        <v>0</v>
      </c>
      <c r="X31" s="1475">
        <f>'[20]Feb midyear DArbonne'!E31</f>
        <v>0</v>
      </c>
      <c r="Y31" s="1471">
        <f t="shared" si="42"/>
        <v>0</v>
      </c>
      <c r="Z31" s="1471">
        <f t="shared" si="43"/>
        <v>0</v>
      </c>
      <c r="AA31" s="1035">
        <f t="shared" si="44"/>
        <v>0</v>
      </c>
      <c r="AB31" s="1091">
        <f t="shared" si="45"/>
        <v>0</v>
      </c>
      <c r="AC31" s="1035">
        <f t="shared" si="46"/>
        <v>0</v>
      </c>
      <c r="AD31" s="1035">
        <v>0</v>
      </c>
      <c r="AE31" s="1035">
        <f t="shared" si="47"/>
        <v>0</v>
      </c>
      <c r="AF31" s="1035">
        <v>0</v>
      </c>
      <c r="AG31" s="1035">
        <f t="shared" si="48"/>
        <v>0</v>
      </c>
      <c r="AH31" s="1035">
        <f t="shared" si="49"/>
        <v>0</v>
      </c>
      <c r="AI31" s="1036">
        <f t="shared" si="50"/>
        <v>0</v>
      </c>
      <c r="AJ31" s="1036">
        <f t="shared" si="30"/>
        <v>0</v>
      </c>
      <c r="AL31" s="49">
        <f t="shared" si="51"/>
        <v>0</v>
      </c>
      <c r="AM31" s="49">
        <f>-'[22]Table 5C1B-DArbonne'!AN31</f>
        <v>0</v>
      </c>
      <c r="AN31">
        <f>-'[21]Table 5C1B-DArbonne'!P31</f>
        <v>0</v>
      </c>
      <c r="AO31" s="49">
        <f t="shared" si="52"/>
        <v>0</v>
      </c>
    </row>
    <row r="32" spans="1:41">
      <c r="A32" s="968">
        <v>26</v>
      </c>
      <c r="B32" s="969" t="s">
        <v>127</v>
      </c>
      <c r="C32" s="1170">
        <f>'Table 8 2.1.12 MFP Funded'!S29</f>
        <v>0</v>
      </c>
      <c r="D32" s="971">
        <f>'Table 3 Levels 1&amp;2'!AL33</f>
        <v>3130.9087022137969</v>
      </c>
      <c r="E32" s="1071">
        <f t="shared" si="31"/>
        <v>0</v>
      </c>
      <c r="F32" s="1071">
        <f>'Table 4 Level 3'!P31</f>
        <v>836.83</v>
      </c>
      <c r="G32" s="1071">
        <f t="shared" si="32"/>
        <v>0</v>
      </c>
      <c r="H32" s="972">
        <f t="shared" si="33"/>
        <v>0</v>
      </c>
      <c r="I32" s="1414">
        <f>'[1]Oct midyear DArbonne'!K32</f>
        <v>0</v>
      </c>
      <c r="J32" s="1414">
        <f>'[1]Feb midyear DArbonne'!K32</f>
        <v>0</v>
      </c>
      <c r="K32" s="1414">
        <f t="shared" si="34"/>
        <v>0</v>
      </c>
      <c r="L32" s="972">
        <f t="shared" si="35"/>
        <v>0</v>
      </c>
      <c r="M32" s="1081">
        <f t="shared" si="36"/>
        <v>0</v>
      </c>
      <c r="N32" s="972">
        <f t="shared" si="37"/>
        <v>0</v>
      </c>
      <c r="O32" s="972">
        <v>0</v>
      </c>
      <c r="P32" s="972">
        <f t="shared" si="38"/>
        <v>0</v>
      </c>
      <c r="Q32" s="972">
        <v>0</v>
      </c>
      <c r="R32" s="972">
        <f t="shared" si="39"/>
        <v>0</v>
      </c>
      <c r="S32" s="972">
        <f t="shared" si="40"/>
        <v>0</v>
      </c>
      <c r="T32" s="1029">
        <f>'[14]FY2012-13 Final'!K33</f>
        <v>5202</v>
      </c>
      <c r="U32" s="973">
        <f t="shared" si="29"/>
        <v>0</v>
      </c>
      <c r="V32" s="1441">
        <f>'[20]Oct midyear DArbonne'!E32</f>
        <v>0</v>
      </c>
      <c r="W32" s="1444">
        <f t="shared" si="41"/>
        <v>0</v>
      </c>
      <c r="X32" s="1466">
        <f>'[20]Feb midyear DArbonne'!E32</f>
        <v>0</v>
      </c>
      <c r="Y32" s="1444">
        <f t="shared" si="42"/>
        <v>0</v>
      </c>
      <c r="Z32" s="1444">
        <f t="shared" si="43"/>
        <v>0</v>
      </c>
      <c r="AA32" s="973">
        <f t="shared" si="44"/>
        <v>0</v>
      </c>
      <c r="AB32" s="1089">
        <f t="shared" si="45"/>
        <v>0</v>
      </c>
      <c r="AC32" s="973">
        <f t="shared" si="46"/>
        <v>0</v>
      </c>
      <c r="AD32" s="973">
        <v>0</v>
      </c>
      <c r="AE32" s="973">
        <f t="shared" si="47"/>
        <v>0</v>
      </c>
      <c r="AF32" s="973">
        <v>0</v>
      </c>
      <c r="AG32" s="973">
        <f t="shared" si="48"/>
        <v>0</v>
      </c>
      <c r="AH32" s="973">
        <f t="shared" si="49"/>
        <v>0</v>
      </c>
      <c r="AI32" s="974">
        <f t="shared" si="50"/>
        <v>0</v>
      </c>
      <c r="AJ32" s="974">
        <f t="shared" si="30"/>
        <v>0</v>
      </c>
      <c r="AL32" s="49">
        <f t="shared" si="51"/>
        <v>0</v>
      </c>
      <c r="AM32" s="49">
        <f>-'[22]Table 5C1B-DArbonne'!AN32</f>
        <v>0</v>
      </c>
      <c r="AN32">
        <f>-'[21]Table 5C1B-DArbonne'!P32</f>
        <v>0</v>
      </c>
      <c r="AO32" s="49">
        <f t="shared" si="52"/>
        <v>0</v>
      </c>
    </row>
    <row r="33" spans="1:41">
      <c r="A33" s="975">
        <v>27</v>
      </c>
      <c r="B33" s="976" t="s">
        <v>128</v>
      </c>
      <c r="C33" s="1171">
        <f>'Table 8 2.1.12 MFP Funded'!S30</f>
        <v>0</v>
      </c>
      <c r="D33" s="984">
        <f>'Table 3 Levels 1&amp;2'!AL34</f>
        <v>5673.3097932359224</v>
      </c>
      <c r="E33" s="1074">
        <f t="shared" si="31"/>
        <v>0</v>
      </c>
      <c r="F33" s="1074">
        <f>'Table 4 Level 3'!P32</f>
        <v>693.06</v>
      </c>
      <c r="G33" s="1074">
        <f t="shared" si="32"/>
        <v>0</v>
      </c>
      <c r="H33" s="1037">
        <f t="shared" si="33"/>
        <v>0</v>
      </c>
      <c r="I33" s="1417">
        <f>'[1]Oct midyear DArbonne'!K33</f>
        <v>0</v>
      </c>
      <c r="J33" s="1417">
        <f>'[1]Feb midyear DArbonne'!K33</f>
        <v>0</v>
      </c>
      <c r="K33" s="1417">
        <f t="shared" si="34"/>
        <v>0</v>
      </c>
      <c r="L33" s="1037">
        <f t="shared" si="35"/>
        <v>0</v>
      </c>
      <c r="M33" s="1084">
        <f t="shared" si="36"/>
        <v>0</v>
      </c>
      <c r="N33" s="1037">
        <f t="shared" si="37"/>
        <v>0</v>
      </c>
      <c r="O33" s="1037">
        <v>0</v>
      </c>
      <c r="P33" s="1037">
        <f t="shared" si="38"/>
        <v>0</v>
      </c>
      <c r="Q33" s="1037">
        <v>0</v>
      </c>
      <c r="R33" s="1037">
        <f t="shared" si="39"/>
        <v>0</v>
      </c>
      <c r="S33" s="1037">
        <f t="shared" si="40"/>
        <v>0</v>
      </c>
      <c r="T33" s="1029">
        <f>'[14]FY2012-13 Final'!K34</f>
        <v>3093</v>
      </c>
      <c r="U33" s="1031">
        <f t="shared" si="29"/>
        <v>0</v>
      </c>
      <c r="V33" s="1439">
        <f>'[20]Oct midyear DArbonne'!E33</f>
        <v>0</v>
      </c>
      <c r="W33" s="1443">
        <f t="shared" si="41"/>
        <v>0</v>
      </c>
      <c r="X33" s="1474">
        <f>'[20]Feb midyear DArbonne'!E33</f>
        <v>0</v>
      </c>
      <c r="Y33" s="1470">
        <f t="shared" si="42"/>
        <v>0</v>
      </c>
      <c r="Z33" s="1470">
        <f t="shared" si="43"/>
        <v>0</v>
      </c>
      <c r="AA33" s="1031">
        <f t="shared" si="44"/>
        <v>0</v>
      </c>
      <c r="AB33" s="1090">
        <f t="shared" si="45"/>
        <v>0</v>
      </c>
      <c r="AC33" s="1031">
        <f t="shared" si="46"/>
        <v>0</v>
      </c>
      <c r="AD33" s="1031">
        <v>0</v>
      </c>
      <c r="AE33" s="1031">
        <f t="shared" si="47"/>
        <v>0</v>
      </c>
      <c r="AF33" s="1031">
        <v>0</v>
      </c>
      <c r="AG33" s="1031">
        <f t="shared" si="48"/>
        <v>0</v>
      </c>
      <c r="AH33" s="1031">
        <f t="shared" si="49"/>
        <v>0</v>
      </c>
      <c r="AI33" s="1032">
        <f t="shared" si="50"/>
        <v>0</v>
      </c>
      <c r="AJ33" s="1032">
        <f t="shared" si="30"/>
        <v>0</v>
      </c>
      <c r="AL33" s="49">
        <f t="shared" si="51"/>
        <v>0</v>
      </c>
      <c r="AM33" s="49">
        <f>-'[22]Table 5C1B-DArbonne'!AN33</f>
        <v>0</v>
      </c>
      <c r="AN33">
        <f>-'[21]Table 5C1B-DArbonne'!P33</f>
        <v>0</v>
      </c>
      <c r="AO33" s="49">
        <f t="shared" si="52"/>
        <v>0</v>
      </c>
    </row>
    <row r="34" spans="1:41">
      <c r="A34" s="975">
        <v>28</v>
      </c>
      <c r="B34" s="976" t="s">
        <v>129</v>
      </c>
      <c r="C34" s="1171">
        <f>'Table 8 2.1.12 MFP Funded'!S31</f>
        <v>0</v>
      </c>
      <c r="D34" s="984">
        <f>'Table 3 Levels 1&amp;2'!AL35</f>
        <v>3225.6961587092846</v>
      </c>
      <c r="E34" s="1074">
        <f t="shared" si="31"/>
        <v>0</v>
      </c>
      <c r="F34" s="1074">
        <f>'Table 4 Level 3'!P33</f>
        <v>694.4</v>
      </c>
      <c r="G34" s="1074">
        <f t="shared" si="32"/>
        <v>0</v>
      </c>
      <c r="H34" s="1037">
        <f t="shared" si="33"/>
        <v>0</v>
      </c>
      <c r="I34" s="1417">
        <f>'[1]Oct midyear DArbonne'!K34</f>
        <v>0</v>
      </c>
      <c r="J34" s="1417">
        <f>'[1]Feb midyear DArbonne'!K34</f>
        <v>0</v>
      </c>
      <c r="K34" s="1417">
        <f t="shared" si="34"/>
        <v>0</v>
      </c>
      <c r="L34" s="1037">
        <f t="shared" si="35"/>
        <v>0</v>
      </c>
      <c r="M34" s="1084">
        <f t="shared" si="36"/>
        <v>0</v>
      </c>
      <c r="N34" s="1037">
        <f t="shared" si="37"/>
        <v>0</v>
      </c>
      <c r="O34" s="1037">
        <v>0</v>
      </c>
      <c r="P34" s="1037">
        <f t="shared" si="38"/>
        <v>0</v>
      </c>
      <c r="Q34" s="1037">
        <v>0</v>
      </c>
      <c r="R34" s="1037">
        <f t="shared" si="39"/>
        <v>0</v>
      </c>
      <c r="S34" s="1037">
        <f t="shared" si="40"/>
        <v>0</v>
      </c>
      <c r="T34" s="1029">
        <f>'[14]FY2012-13 Final'!K35</f>
        <v>5338</v>
      </c>
      <c r="U34" s="1031">
        <f t="shared" si="29"/>
        <v>0</v>
      </c>
      <c r="V34" s="1439">
        <f>'[20]Oct midyear DArbonne'!E34</f>
        <v>0</v>
      </c>
      <c r="W34" s="1443">
        <f t="shared" si="41"/>
        <v>0</v>
      </c>
      <c r="X34" s="1474">
        <f>'[20]Feb midyear DArbonne'!E34</f>
        <v>0</v>
      </c>
      <c r="Y34" s="1470">
        <f t="shared" si="42"/>
        <v>0</v>
      </c>
      <c r="Z34" s="1470">
        <f t="shared" si="43"/>
        <v>0</v>
      </c>
      <c r="AA34" s="1031">
        <f t="shared" si="44"/>
        <v>0</v>
      </c>
      <c r="AB34" s="1090">
        <f t="shared" si="45"/>
        <v>0</v>
      </c>
      <c r="AC34" s="1031">
        <f t="shared" si="46"/>
        <v>0</v>
      </c>
      <c r="AD34" s="1031">
        <v>0</v>
      </c>
      <c r="AE34" s="1031">
        <f t="shared" si="47"/>
        <v>0</v>
      </c>
      <c r="AF34" s="1031">
        <v>0</v>
      </c>
      <c r="AG34" s="1031">
        <f t="shared" si="48"/>
        <v>0</v>
      </c>
      <c r="AH34" s="1031">
        <f t="shared" si="49"/>
        <v>0</v>
      </c>
      <c r="AI34" s="1032">
        <f t="shared" si="50"/>
        <v>0</v>
      </c>
      <c r="AJ34" s="1032">
        <f t="shared" si="30"/>
        <v>0</v>
      </c>
      <c r="AL34" s="49">
        <f t="shared" si="51"/>
        <v>0</v>
      </c>
      <c r="AM34" s="49">
        <f>-'[22]Table 5C1B-DArbonne'!AN34</f>
        <v>0</v>
      </c>
      <c r="AN34">
        <f>-'[21]Table 5C1B-DArbonne'!P34</f>
        <v>0</v>
      </c>
      <c r="AO34" s="49">
        <f t="shared" si="52"/>
        <v>0</v>
      </c>
    </row>
    <row r="35" spans="1:41">
      <c r="A35" s="975">
        <v>29</v>
      </c>
      <c r="B35" s="976" t="s">
        <v>130</v>
      </c>
      <c r="C35" s="1171">
        <f>'Table 8 2.1.12 MFP Funded'!S32</f>
        <v>0</v>
      </c>
      <c r="D35" s="984">
        <f>'Table 3 Levels 1&amp;2'!AL36</f>
        <v>3955.7852148385191</v>
      </c>
      <c r="E35" s="1074">
        <f t="shared" si="31"/>
        <v>0</v>
      </c>
      <c r="F35" s="1074">
        <f>'Table 4 Level 3'!P34</f>
        <v>754.94999999999993</v>
      </c>
      <c r="G35" s="1074">
        <f t="shared" si="32"/>
        <v>0</v>
      </c>
      <c r="H35" s="1037">
        <f t="shared" si="33"/>
        <v>0</v>
      </c>
      <c r="I35" s="1417">
        <f>'[1]Oct midyear DArbonne'!K35</f>
        <v>0</v>
      </c>
      <c r="J35" s="1417">
        <f>'[1]Feb midyear DArbonne'!K35</f>
        <v>0</v>
      </c>
      <c r="K35" s="1417">
        <f t="shared" si="34"/>
        <v>0</v>
      </c>
      <c r="L35" s="1037">
        <f t="shared" si="35"/>
        <v>0</v>
      </c>
      <c r="M35" s="1084">
        <f t="shared" si="36"/>
        <v>0</v>
      </c>
      <c r="N35" s="1037">
        <f t="shared" si="37"/>
        <v>0</v>
      </c>
      <c r="O35" s="1037">
        <v>0</v>
      </c>
      <c r="P35" s="1037">
        <f t="shared" si="38"/>
        <v>0</v>
      </c>
      <c r="Q35" s="1037">
        <v>0</v>
      </c>
      <c r="R35" s="1037">
        <f t="shared" si="39"/>
        <v>0</v>
      </c>
      <c r="S35" s="1037">
        <f t="shared" si="40"/>
        <v>0</v>
      </c>
      <c r="T35" s="1029">
        <f>'[14]FY2012-13 Final'!K36</f>
        <v>4414</v>
      </c>
      <c r="U35" s="1031">
        <f t="shared" si="29"/>
        <v>0</v>
      </c>
      <c r="V35" s="1439">
        <f>'[20]Oct midyear DArbonne'!E35</f>
        <v>0</v>
      </c>
      <c r="W35" s="1443">
        <f t="shared" si="41"/>
        <v>0</v>
      </c>
      <c r="X35" s="1474">
        <f>'[20]Feb midyear DArbonne'!E35</f>
        <v>0</v>
      </c>
      <c r="Y35" s="1470">
        <f t="shared" si="42"/>
        <v>0</v>
      </c>
      <c r="Z35" s="1470">
        <f t="shared" si="43"/>
        <v>0</v>
      </c>
      <c r="AA35" s="1031">
        <f t="shared" si="44"/>
        <v>0</v>
      </c>
      <c r="AB35" s="1090">
        <f t="shared" si="45"/>
        <v>0</v>
      </c>
      <c r="AC35" s="1031">
        <f t="shared" si="46"/>
        <v>0</v>
      </c>
      <c r="AD35" s="1031">
        <v>0</v>
      </c>
      <c r="AE35" s="1031">
        <f t="shared" si="47"/>
        <v>0</v>
      </c>
      <c r="AF35" s="1031">
        <v>0</v>
      </c>
      <c r="AG35" s="1031">
        <f t="shared" si="48"/>
        <v>0</v>
      </c>
      <c r="AH35" s="1031">
        <f t="shared" si="49"/>
        <v>0</v>
      </c>
      <c r="AI35" s="1032">
        <f t="shared" si="50"/>
        <v>0</v>
      </c>
      <c r="AJ35" s="1032">
        <f t="shared" si="30"/>
        <v>0</v>
      </c>
      <c r="AL35" s="49">
        <f t="shared" si="51"/>
        <v>0</v>
      </c>
      <c r="AM35" s="49">
        <f>-'[22]Table 5C1B-DArbonne'!AN35</f>
        <v>0</v>
      </c>
      <c r="AN35">
        <f>-'[21]Table 5C1B-DArbonne'!P35</f>
        <v>0</v>
      </c>
      <c r="AO35" s="49">
        <f t="shared" si="52"/>
        <v>0</v>
      </c>
    </row>
    <row r="36" spans="1:41">
      <c r="A36" s="979">
        <v>30</v>
      </c>
      <c r="B36" s="980" t="s">
        <v>131</v>
      </c>
      <c r="C36" s="1172">
        <f>'Table 8 2.1.12 MFP Funded'!S33</f>
        <v>0</v>
      </c>
      <c r="D36" s="986">
        <f>'Table 3 Levels 1&amp;2'!AL37</f>
        <v>5609.6361466464068</v>
      </c>
      <c r="E36" s="1075">
        <f t="shared" si="31"/>
        <v>0</v>
      </c>
      <c r="F36" s="1075">
        <f>'Table 4 Level 3'!P35</f>
        <v>727.17</v>
      </c>
      <c r="G36" s="1075">
        <f t="shared" si="32"/>
        <v>0</v>
      </c>
      <c r="H36" s="1038">
        <f t="shared" si="33"/>
        <v>0</v>
      </c>
      <c r="I36" s="1418">
        <f>'[1]Oct midyear DArbonne'!K36</f>
        <v>0</v>
      </c>
      <c r="J36" s="1418">
        <f>'[1]Feb midyear DArbonne'!K36</f>
        <v>0</v>
      </c>
      <c r="K36" s="1418">
        <f t="shared" si="34"/>
        <v>0</v>
      </c>
      <c r="L36" s="1038">
        <f t="shared" si="35"/>
        <v>0</v>
      </c>
      <c r="M36" s="1085">
        <f t="shared" si="36"/>
        <v>0</v>
      </c>
      <c r="N36" s="1038">
        <f t="shared" si="37"/>
        <v>0</v>
      </c>
      <c r="O36" s="1038">
        <v>0</v>
      </c>
      <c r="P36" s="1038">
        <f t="shared" si="38"/>
        <v>0</v>
      </c>
      <c r="Q36" s="1038">
        <v>0</v>
      </c>
      <c r="R36" s="1038">
        <f t="shared" si="39"/>
        <v>0</v>
      </c>
      <c r="S36" s="1038">
        <f t="shared" si="40"/>
        <v>0</v>
      </c>
      <c r="T36" s="1034">
        <f>'[14]FY2012-13 Final'!K37</f>
        <v>3703</v>
      </c>
      <c r="U36" s="1035">
        <f t="shared" si="29"/>
        <v>0</v>
      </c>
      <c r="V36" s="1440">
        <f>'[20]Oct midyear DArbonne'!E36</f>
        <v>0</v>
      </c>
      <c r="W36" s="1445">
        <f t="shared" si="41"/>
        <v>0</v>
      </c>
      <c r="X36" s="1475">
        <f>'[20]Feb midyear DArbonne'!E36</f>
        <v>0</v>
      </c>
      <c r="Y36" s="1471">
        <f t="shared" si="42"/>
        <v>0</v>
      </c>
      <c r="Z36" s="1471">
        <f t="shared" si="43"/>
        <v>0</v>
      </c>
      <c r="AA36" s="1035">
        <f t="shared" si="44"/>
        <v>0</v>
      </c>
      <c r="AB36" s="1091">
        <f t="shared" si="45"/>
        <v>0</v>
      </c>
      <c r="AC36" s="1035">
        <f t="shared" si="46"/>
        <v>0</v>
      </c>
      <c r="AD36" s="1035">
        <v>0</v>
      </c>
      <c r="AE36" s="1035">
        <f t="shared" si="47"/>
        <v>0</v>
      </c>
      <c r="AF36" s="1035">
        <v>0</v>
      </c>
      <c r="AG36" s="1035">
        <f t="shared" si="48"/>
        <v>0</v>
      </c>
      <c r="AH36" s="1035">
        <f t="shared" si="49"/>
        <v>0</v>
      </c>
      <c r="AI36" s="1036">
        <f t="shared" si="50"/>
        <v>0</v>
      </c>
      <c r="AJ36" s="1036">
        <f t="shared" si="30"/>
        <v>0</v>
      </c>
      <c r="AL36" s="49">
        <f t="shared" si="51"/>
        <v>0</v>
      </c>
      <c r="AM36" s="49">
        <f>-'[22]Table 5C1B-DArbonne'!AN36</f>
        <v>0</v>
      </c>
      <c r="AN36">
        <f>-'[21]Table 5C1B-DArbonne'!P36</f>
        <v>0</v>
      </c>
      <c r="AO36" s="49">
        <f t="shared" si="52"/>
        <v>0</v>
      </c>
    </row>
    <row r="37" spans="1:41">
      <c r="A37" s="968">
        <v>31</v>
      </c>
      <c r="B37" s="969" t="s">
        <v>132</v>
      </c>
      <c r="C37" s="1173">
        <f>'Table 8 2.1.12 MFP Funded'!S34</f>
        <v>2</v>
      </c>
      <c r="D37" s="988">
        <f>'Table 3 Levels 1&amp;2'!AL38</f>
        <v>4174.0937400224284</v>
      </c>
      <c r="E37" s="1076">
        <f t="shared" si="31"/>
        <v>8348.1874800448568</v>
      </c>
      <c r="F37" s="1076">
        <f>'Table 4 Level 3'!P36</f>
        <v>620.83000000000004</v>
      </c>
      <c r="G37" s="1076">
        <f t="shared" si="32"/>
        <v>1241.6600000000001</v>
      </c>
      <c r="H37" s="1039">
        <f t="shared" si="33"/>
        <v>9589.8474800448566</v>
      </c>
      <c r="I37" s="1419">
        <f>'[1]Oct midyear DArbonne'!K37</f>
        <v>23974.618700112143</v>
      </c>
      <c r="J37" s="1419">
        <f>'[1]Feb midyear DArbonne'!K37</f>
        <v>2397.4618700112142</v>
      </c>
      <c r="K37" s="1419">
        <f t="shared" si="34"/>
        <v>26372.080570123358</v>
      </c>
      <c r="L37" s="1039">
        <f t="shared" si="35"/>
        <v>35961.928050168215</v>
      </c>
      <c r="M37" s="1086">
        <f t="shared" si="36"/>
        <v>-89.904820125420542</v>
      </c>
      <c r="N37" s="1039">
        <f t="shared" si="37"/>
        <v>35872.023230042796</v>
      </c>
      <c r="O37" s="1039">
        <v>0</v>
      </c>
      <c r="P37" s="1039">
        <f t="shared" si="38"/>
        <v>35872.023230042796</v>
      </c>
      <c r="Q37" s="1039">
        <f>795+1228+4089+4089+4089+4089+4089+4089+2302+2302</f>
        <v>31161</v>
      </c>
      <c r="R37" s="1039">
        <f t="shared" si="39"/>
        <v>4711.0232300427961</v>
      </c>
      <c r="S37" s="1039">
        <f t="shared" si="40"/>
        <v>2355.511615021398</v>
      </c>
      <c r="T37" s="1029">
        <f>'[14]FY2012-13 Final'!K38</f>
        <v>4709</v>
      </c>
      <c r="U37" s="973">
        <f t="shared" si="29"/>
        <v>9418</v>
      </c>
      <c r="V37" s="1441">
        <f>'[20]Oct midyear DArbonne'!E37</f>
        <v>5</v>
      </c>
      <c r="W37" s="1444">
        <f t="shared" si="41"/>
        <v>23545</v>
      </c>
      <c r="X37" s="1466">
        <f>'[20]Feb midyear DArbonne'!E37</f>
        <v>1</v>
      </c>
      <c r="Y37" s="1444">
        <f t="shared" si="42"/>
        <v>2354.5</v>
      </c>
      <c r="Z37" s="1444">
        <f t="shared" si="43"/>
        <v>25899.5</v>
      </c>
      <c r="AA37" s="973">
        <f t="shared" si="44"/>
        <v>35317.5</v>
      </c>
      <c r="AB37" s="1089">
        <f t="shared" si="45"/>
        <v>-88.293750000000003</v>
      </c>
      <c r="AC37" s="973">
        <f t="shared" si="46"/>
        <v>35229.206250000003</v>
      </c>
      <c r="AD37" s="973">
        <v>0</v>
      </c>
      <c r="AE37" s="973">
        <f t="shared" si="47"/>
        <v>35229.206250000003</v>
      </c>
      <c r="AF37" s="973">
        <f>785+1212+4037+4037+4037+4037+4037+4037+2178+2178</f>
        <v>30575</v>
      </c>
      <c r="AG37" s="973">
        <f t="shared" si="48"/>
        <v>4654.2062500000029</v>
      </c>
      <c r="AH37" s="973">
        <f t="shared" si="49"/>
        <v>2327.1031250000015</v>
      </c>
      <c r="AI37" s="974">
        <f t="shared" si="50"/>
        <v>71101.229480042792</v>
      </c>
      <c r="AJ37" s="974">
        <f t="shared" si="30"/>
        <v>4682.6147400213995</v>
      </c>
      <c r="AL37" s="49">
        <f t="shared" si="51"/>
        <v>-88.293750000000003</v>
      </c>
      <c r="AM37" s="49">
        <f>-'[22]Table 5C1B-DArbonne'!AN37</f>
        <v>87.543750000000003</v>
      </c>
      <c r="AN37">
        <f>-'[21]Table 5C1B-DArbonne'!P37</f>
        <v>23.594999999999999</v>
      </c>
      <c r="AO37" s="49">
        <f t="shared" si="52"/>
        <v>-0.75</v>
      </c>
    </row>
    <row r="38" spans="1:41">
      <c r="A38" s="975">
        <v>32</v>
      </c>
      <c r="B38" s="976" t="s">
        <v>133</v>
      </c>
      <c r="C38" s="1171">
        <f>'Table 8 2.1.12 MFP Funded'!S35</f>
        <v>0</v>
      </c>
      <c r="D38" s="984">
        <f>'Table 3 Levels 1&amp;2'!AL39</f>
        <v>5486.1585166144778</v>
      </c>
      <c r="E38" s="1074">
        <f t="shared" si="31"/>
        <v>0</v>
      </c>
      <c r="F38" s="1074">
        <f>'Table 4 Level 3'!P37</f>
        <v>559.77</v>
      </c>
      <c r="G38" s="1074">
        <f t="shared" si="32"/>
        <v>0</v>
      </c>
      <c r="H38" s="1037">
        <f t="shared" si="33"/>
        <v>0</v>
      </c>
      <c r="I38" s="1417">
        <f>'[1]Oct midyear DArbonne'!K38</f>
        <v>0</v>
      </c>
      <c r="J38" s="1417">
        <f>'[1]Feb midyear DArbonne'!K38</f>
        <v>0</v>
      </c>
      <c r="K38" s="1417">
        <f t="shared" si="34"/>
        <v>0</v>
      </c>
      <c r="L38" s="1037">
        <f t="shared" si="35"/>
        <v>0</v>
      </c>
      <c r="M38" s="1084">
        <f t="shared" si="36"/>
        <v>0</v>
      </c>
      <c r="N38" s="1037">
        <f t="shared" si="37"/>
        <v>0</v>
      </c>
      <c r="O38" s="1037">
        <v>0</v>
      </c>
      <c r="P38" s="1037">
        <f t="shared" si="38"/>
        <v>0</v>
      </c>
      <c r="Q38" s="1037">
        <v>0</v>
      </c>
      <c r="R38" s="1037">
        <f t="shared" si="39"/>
        <v>0</v>
      </c>
      <c r="S38" s="1037">
        <f t="shared" si="40"/>
        <v>0</v>
      </c>
      <c r="T38" s="1029">
        <f>'[14]FY2012-13 Final'!K39</f>
        <v>1967</v>
      </c>
      <c r="U38" s="1031">
        <f t="shared" si="29"/>
        <v>0</v>
      </c>
      <c r="V38" s="1439">
        <f>'[20]Oct midyear DArbonne'!E38</f>
        <v>0</v>
      </c>
      <c r="W38" s="1443">
        <f t="shared" si="41"/>
        <v>0</v>
      </c>
      <c r="X38" s="1474">
        <f>'[20]Feb midyear DArbonne'!E38</f>
        <v>0</v>
      </c>
      <c r="Y38" s="1470">
        <f t="shared" si="42"/>
        <v>0</v>
      </c>
      <c r="Z38" s="1470">
        <f t="shared" si="43"/>
        <v>0</v>
      </c>
      <c r="AA38" s="1031">
        <f t="shared" si="44"/>
        <v>0</v>
      </c>
      <c r="AB38" s="1090">
        <f t="shared" si="45"/>
        <v>0</v>
      </c>
      <c r="AC38" s="1031">
        <f t="shared" si="46"/>
        <v>0</v>
      </c>
      <c r="AD38" s="1031">
        <v>0</v>
      </c>
      <c r="AE38" s="1031">
        <f t="shared" si="47"/>
        <v>0</v>
      </c>
      <c r="AF38" s="1031">
        <v>0</v>
      </c>
      <c r="AG38" s="1031">
        <f t="shared" si="48"/>
        <v>0</v>
      </c>
      <c r="AH38" s="1031">
        <f t="shared" si="49"/>
        <v>0</v>
      </c>
      <c r="AI38" s="1032">
        <f t="shared" si="50"/>
        <v>0</v>
      </c>
      <c r="AJ38" s="1032">
        <f t="shared" si="30"/>
        <v>0</v>
      </c>
      <c r="AL38" s="49">
        <f t="shared" si="51"/>
        <v>0</v>
      </c>
      <c r="AM38" s="49">
        <f>-'[22]Table 5C1B-DArbonne'!AN38</f>
        <v>0</v>
      </c>
      <c r="AN38">
        <f>-'[21]Table 5C1B-DArbonne'!P38</f>
        <v>0</v>
      </c>
      <c r="AO38" s="49">
        <f t="shared" si="52"/>
        <v>0</v>
      </c>
    </row>
    <row r="39" spans="1:41">
      <c r="A39" s="975">
        <v>33</v>
      </c>
      <c r="B39" s="976" t="s">
        <v>134</v>
      </c>
      <c r="C39" s="1171">
        <f>'Table 8 2.1.12 MFP Funded'!S36</f>
        <v>0</v>
      </c>
      <c r="D39" s="984">
        <f>'Table 3 Levels 1&amp;2'!AL40</f>
        <v>5393.8471941993575</v>
      </c>
      <c r="E39" s="1074">
        <f t="shared" si="31"/>
        <v>0</v>
      </c>
      <c r="F39" s="1074">
        <f>'Table 4 Level 3'!P38</f>
        <v>655.31000000000006</v>
      </c>
      <c r="G39" s="1074">
        <f t="shared" si="32"/>
        <v>0</v>
      </c>
      <c r="H39" s="1037">
        <f t="shared" si="33"/>
        <v>0</v>
      </c>
      <c r="I39" s="1417">
        <f>'[1]Oct midyear DArbonne'!K39</f>
        <v>0</v>
      </c>
      <c r="J39" s="1417">
        <f>'[1]Feb midyear DArbonne'!K39</f>
        <v>0</v>
      </c>
      <c r="K39" s="1417">
        <f t="shared" si="34"/>
        <v>0</v>
      </c>
      <c r="L39" s="1037">
        <f t="shared" si="35"/>
        <v>0</v>
      </c>
      <c r="M39" s="1084">
        <f t="shared" si="36"/>
        <v>0</v>
      </c>
      <c r="N39" s="1037">
        <f t="shared" si="37"/>
        <v>0</v>
      </c>
      <c r="O39" s="1037">
        <v>0</v>
      </c>
      <c r="P39" s="1037">
        <f t="shared" si="38"/>
        <v>0</v>
      </c>
      <c r="Q39" s="1037">
        <v>0</v>
      </c>
      <c r="R39" s="1037">
        <f t="shared" si="39"/>
        <v>0</v>
      </c>
      <c r="S39" s="1037">
        <f t="shared" si="40"/>
        <v>0</v>
      </c>
      <c r="T39" s="1029">
        <f>'[14]FY2012-13 Final'!K40</f>
        <v>2990</v>
      </c>
      <c r="U39" s="1031">
        <f t="shared" ref="U39:U70" si="53">C39*T39</f>
        <v>0</v>
      </c>
      <c r="V39" s="1439">
        <f>'[20]Oct midyear DArbonne'!E39</f>
        <v>0</v>
      </c>
      <c r="W39" s="1443">
        <f t="shared" si="41"/>
        <v>0</v>
      </c>
      <c r="X39" s="1474">
        <f>'[20]Feb midyear DArbonne'!E39</f>
        <v>0</v>
      </c>
      <c r="Y39" s="1470">
        <f t="shared" si="42"/>
        <v>0</v>
      </c>
      <c r="Z39" s="1470">
        <f t="shared" si="43"/>
        <v>0</v>
      </c>
      <c r="AA39" s="1031">
        <f t="shared" si="44"/>
        <v>0</v>
      </c>
      <c r="AB39" s="1090">
        <f t="shared" si="45"/>
        <v>0</v>
      </c>
      <c r="AC39" s="1031">
        <f t="shared" si="46"/>
        <v>0</v>
      </c>
      <c r="AD39" s="1031">
        <v>0</v>
      </c>
      <c r="AE39" s="1031">
        <f t="shared" si="47"/>
        <v>0</v>
      </c>
      <c r="AF39" s="1031">
        <v>0</v>
      </c>
      <c r="AG39" s="1031">
        <f t="shared" si="48"/>
        <v>0</v>
      </c>
      <c r="AH39" s="1031">
        <f t="shared" si="49"/>
        <v>0</v>
      </c>
      <c r="AI39" s="1032">
        <f t="shared" si="50"/>
        <v>0</v>
      </c>
      <c r="AJ39" s="1032">
        <f t="shared" ref="AJ39:AJ70" si="54">S39+AH39</f>
        <v>0</v>
      </c>
      <c r="AL39" s="49">
        <f t="shared" si="51"/>
        <v>0</v>
      </c>
      <c r="AM39" s="49">
        <f>-'[22]Table 5C1B-DArbonne'!AN39</f>
        <v>0</v>
      </c>
      <c r="AN39">
        <f>-'[21]Table 5C1B-DArbonne'!P39</f>
        <v>0</v>
      </c>
      <c r="AO39" s="49">
        <f t="shared" si="52"/>
        <v>0</v>
      </c>
    </row>
    <row r="40" spans="1:41">
      <c r="A40" s="975">
        <v>34</v>
      </c>
      <c r="B40" s="976" t="s">
        <v>135</v>
      </c>
      <c r="C40" s="1171">
        <f>'Table 8 2.1.12 MFP Funded'!S37</f>
        <v>0</v>
      </c>
      <c r="D40" s="984">
        <f>'Table 3 Levels 1&amp;2'!AL41</f>
        <v>5864.3549473361072</v>
      </c>
      <c r="E40" s="1074">
        <f t="shared" si="31"/>
        <v>0</v>
      </c>
      <c r="F40" s="1074">
        <f>'Table 4 Level 3'!P39</f>
        <v>644.11000000000013</v>
      </c>
      <c r="G40" s="1074">
        <f t="shared" si="32"/>
        <v>0</v>
      </c>
      <c r="H40" s="1037">
        <f t="shared" si="33"/>
        <v>0</v>
      </c>
      <c r="I40" s="1417">
        <f>'[1]Oct midyear DArbonne'!K40</f>
        <v>0</v>
      </c>
      <c r="J40" s="1417">
        <f>'[1]Feb midyear DArbonne'!K40</f>
        <v>0</v>
      </c>
      <c r="K40" s="1417">
        <f t="shared" si="34"/>
        <v>0</v>
      </c>
      <c r="L40" s="1037">
        <f t="shared" si="35"/>
        <v>0</v>
      </c>
      <c r="M40" s="1084">
        <f t="shared" si="36"/>
        <v>0</v>
      </c>
      <c r="N40" s="1037">
        <f t="shared" si="37"/>
        <v>0</v>
      </c>
      <c r="O40" s="1037">
        <v>0</v>
      </c>
      <c r="P40" s="1037">
        <f t="shared" si="38"/>
        <v>0</v>
      </c>
      <c r="Q40" s="1037">
        <v>0</v>
      </c>
      <c r="R40" s="1037">
        <f t="shared" si="39"/>
        <v>0</v>
      </c>
      <c r="S40" s="1037">
        <f t="shared" si="40"/>
        <v>0</v>
      </c>
      <c r="T40" s="1029">
        <f>'[14]FY2012-13 Final'!K41</f>
        <v>2768</v>
      </c>
      <c r="U40" s="1031">
        <f t="shared" si="53"/>
        <v>0</v>
      </c>
      <c r="V40" s="1439">
        <f>'[20]Oct midyear DArbonne'!E40</f>
        <v>0</v>
      </c>
      <c r="W40" s="1443">
        <f t="shared" si="41"/>
        <v>0</v>
      </c>
      <c r="X40" s="1474">
        <f>'[20]Feb midyear DArbonne'!E40</f>
        <v>0</v>
      </c>
      <c r="Y40" s="1470">
        <f t="shared" si="42"/>
        <v>0</v>
      </c>
      <c r="Z40" s="1470">
        <f t="shared" si="43"/>
        <v>0</v>
      </c>
      <c r="AA40" s="1031">
        <f t="shared" si="44"/>
        <v>0</v>
      </c>
      <c r="AB40" s="1090">
        <f t="shared" si="45"/>
        <v>0</v>
      </c>
      <c r="AC40" s="1031">
        <f t="shared" si="46"/>
        <v>0</v>
      </c>
      <c r="AD40" s="1031">
        <v>0</v>
      </c>
      <c r="AE40" s="1031">
        <f t="shared" si="47"/>
        <v>0</v>
      </c>
      <c r="AF40" s="1031">
        <v>0</v>
      </c>
      <c r="AG40" s="1031">
        <f t="shared" si="48"/>
        <v>0</v>
      </c>
      <c r="AH40" s="1031">
        <f t="shared" si="49"/>
        <v>0</v>
      </c>
      <c r="AI40" s="1032">
        <f t="shared" si="50"/>
        <v>0</v>
      </c>
      <c r="AJ40" s="1032">
        <f t="shared" si="54"/>
        <v>0</v>
      </c>
      <c r="AL40" s="49">
        <f t="shared" si="51"/>
        <v>0</v>
      </c>
      <c r="AM40" s="49">
        <f>-'[22]Table 5C1B-DArbonne'!AN40</f>
        <v>0</v>
      </c>
      <c r="AN40">
        <f>-'[21]Table 5C1B-DArbonne'!P40</f>
        <v>0</v>
      </c>
      <c r="AO40" s="49">
        <f t="shared" si="52"/>
        <v>0</v>
      </c>
    </row>
    <row r="41" spans="1:41">
      <c r="A41" s="979">
        <v>35</v>
      </c>
      <c r="B41" s="980" t="s">
        <v>136</v>
      </c>
      <c r="C41" s="1172">
        <f>'Table 8 2.1.12 MFP Funded'!S38</f>
        <v>0</v>
      </c>
      <c r="D41" s="986">
        <f>'Table 3 Levels 1&amp;2'!AL42</f>
        <v>4848.8680115701454</v>
      </c>
      <c r="E41" s="1075">
        <f t="shared" si="31"/>
        <v>0</v>
      </c>
      <c r="F41" s="1075">
        <f>'Table 4 Level 3'!P40</f>
        <v>537.96</v>
      </c>
      <c r="G41" s="1075">
        <f t="shared" si="32"/>
        <v>0</v>
      </c>
      <c r="H41" s="1038">
        <f t="shared" si="33"/>
        <v>0</v>
      </c>
      <c r="I41" s="1418">
        <f>'[1]Oct midyear DArbonne'!K41</f>
        <v>0</v>
      </c>
      <c r="J41" s="1418">
        <f>'[1]Feb midyear DArbonne'!K41</f>
        <v>0</v>
      </c>
      <c r="K41" s="1418">
        <f t="shared" si="34"/>
        <v>0</v>
      </c>
      <c r="L41" s="1038">
        <f t="shared" si="35"/>
        <v>0</v>
      </c>
      <c r="M41" s="1085">
        <f t="shared" si="36"/>
        <v>0</v>
      </c>
      <c r="N41" s="1038">
        <f t="shared" si="37"/>
        <v>0</v>
      </c>
      <c r="O41" s="1038">
        <v>0</v>
      </c>
      <c r="P41" s="1038">
        <f t="shared" si="38"/>
        <v>0</v>
      </c>
      <c r="Q41" s="1038">
        <v>0</v>
      </c>
      <c r="R41" s="1038">
        <f t="shared" si="39"/>
        <v>0</v>
      </c>
      <c r="S41" s="1038">
        <f t="shared" si="40"/>
        <v>0</v>
      </c>
      <c r="T41" s="1034">
        <f>'[14]FY2012-13 Final'!K42</f>
        <v>3611</v>
      </c>
      <c r="U41" s="1035">
        <f t="shared" si="53"/>
        <v>0</v>
      </c>
      <c r="V41" s="1440">
        <f>'[20]Oct midyear DArbonne'!E41</f>
        <v>0</v>
      </c>
      <c r="W41" s="1445">
        <f t="shared" si="41"/>
        <v>0</v>
      </c>
      <c r="X41" s="1475">
        <f>'[20]Feb midyear DArbonne'!E41</f>
        <v>0</v>
      </c>
      <c r="Y41" s="1471">
        <f t="shared" si="42"/>
        <v>0</v>
      </c>
      <c r="Z41" s="1471">
        <f t="shared" si="43"/>
        <v>0</v>
      </c>
      <c r="AA41" s="1035">
        <f t="shared" si="44"/>
        <v>0</v>
      </c>
      <c r="AB41" s="1091">
        <f t="shared" si="45"/>
        <v>0</v>
      </c>
      <c r="AC41" s="1035">
        <f t="shared" si="46"/>
        <v>0</v>
      </c>
      <c r="AD41" s="1035">
        <v>0</v>
      </c>
      <c r="AE41" s="1035">
        <f t="shared" si="47"/>
        <v>0</v>
      </c>
      <c r="AF41" s="1035">
        <v>0</v>
      </c>
      <c r="AG41" s="1035">
        <f t="shared" si="48"/>
        <v>0</v>
      </c>
      <c r="AH41" s="1035">
        <f t="shared" si="49"/>
        <v>0</v>
      </c>
      <c r="AI41" s="1036">
        <f t="shared" si="50"/>
        <v>0</v>
      </c>
      <c r="AJ41" s="1036">
        <f t="shared" si="54"/>
        <v>0</v>
      </c>
      <c r="AL41" s="49">
        <f t="shared" si="51"/>
        <v>0</v>
      </c>
      <c r="AM41" s="49">
        <f>-'[22]Table 5C1B-DArbonne'!AN41</f>
        <v>0</v>
      </c>
      <c r="AN41">
        <f>-'[21]Table 5C1B-DArbonne'!P41</f>
        <v>0</v>
      </c>
      <c r="AO41" s="49">
        <f t="shared" si="52"/>
        <v>0</v>
      </c>
    </row>
    <row r="42" spans="1:41">
      <c r="A42" s="968">
        <v>36</v>
      </c>
      <c r="B42" s="969" t="s">
        <v>137</v>
      </c>
      <c r="C42" s="1173">
        <f>'Table 8 2.1.12 MFP Funded'!S39</f>
        <v>0</v>
      </c>
      <c r="D42" s="988">
        <f>'Table 3 Levels 1&amp;2'!AL43</f>
        <v>3442.7546828904692</v>
      </c>
      <c r="E42" s="1076">
        <f t="shared" si="31"/>
        <v>0</v>
      </c>
      <c r="F42" s="1076">
        <f>'Table 5B1_RSD_Orleans'!F78</f>
        <v>746.0335616438357</v>
      </c>
      <c r="G42" s="1076">
        <f t="shared" si="32"/>
        <v>0</v>
      </c>
      <c r="H42" s="1039">
        <f t="shared" si="33"/>
        <v>0</v>
      </c>
      <c r="I42" s="1419">
        <f>'[1]Oct midyear DArbonne'!K42</f>
        <v>0</v>
      </c>
      <c r="J42" s="1419">
        <f>'[1]Feb midyear DArbonne'!K42</f>
        <v>0</v>
      </c>
      <c r="K42" s="1419">
        <f t="shared" si="34"/>
        <v>0</v>
      </c>
      <c r="L42" s="1039">
        <f t="shared" si="35"/>
        <v>0</v>
      </c>
      <c r="M42" s="1086">
        <f t="shared" si="36"/>
        <v>0</v>
      </c>
      <c r="N42" s="1039">
        <f t="shared" si="37"/>
        <v>0</v>
      </c>
      <c r="O42" s="1039">
        <v>0</v>
      </c>
      <c r="P42" s="1039">
        <f t="shared" si="38"/>
        <v>0</v>
      </c>
      <c r="Q42" s="1039">
        <v>0</v>
      </c>
      <c r="R42" s="1039">
        <f t="shared" si="39"/>
        <v>0</v>
      </c>
      <c r="S42" s="1039">
        <f t="shared" si="40"/>
        <v>0</v>
      </c>
      <c r="T42" s="1029">
        <f>'[14]FY2012-13 Final'!K43</f>
        <v>4884</v>
      </c>
      <c r="U42" s="973">
        <f t="shared" si="53"/>
        <v>0</v>
      </c>
      <c r="V42" s="1441">
        <f>'[20]Oct midyear DArbonne'!E42</f>
        <v>0</v>
      </c>
      <c r="W42" s="1444">
        <f t="shared" si="41"/>
        <v>0</v>
      </c>
      <c r="X42" s="1466">
        <f>'[20]Feb midyear DArbonne'!E42</f>
        <v>0</v>
      </c>
      <c r="Y42" s="1444">
        <f t="shared" si="42"/>
        <v>0</v>
      </c>
      <c r="Z42" s="1444">
        <f t="shared" si="43"/>
        <v>0</v>
      </c>
      <c r="AA42" s="973">
        <f t="shared" si="44"/>
        <v>0</v>
      </c>
      <c r="AB42" s="1089">
        <f t="shared" si="45"/>
        <v>0</v>
      </c>
      <c r="AC42" s="973">
        <f t="shared" si="46"/>
        <v>0</v>
      </c>
      <c r="AD42" s="973">
        <v>0</v>
      </c>
      <c r="AE42" s="973">
        <f t="shared" si="47"/>
        <v>0</v>
      </c>
      <c r="AF42" s="973">
        <v>0</v>
      </c>
      <c r="AG42" s="973">
        <f t="shared" si="48"/>
        <v>0</v>
      </c>
      <c r="AH42" s="973">
        <f t="shared" si="49"/>
        <v>0</v>
      </c>
      <c r="AI42" s="974">
        <f t="shared" si="50"/>
        <v>0</v>
      </c>
      <c r="AJ42" s="974">
        <f t="shared" si="54"/>
        <v>0</v>
      </c>
      <c r="AL42" s="49">
        <f t="shared" si="51"/>
        <v>0</v>
      </c>
      <c r="AM42" s="49">
        <f>-'[22]Table 5C1B-DArbonne'!AN42</f>
        <v>0</v>
      </c>
      <c r="AN42">
        <f>-'[21]Table 5C1B-DArbonne'!P42</f>
        <v>0</v>
      </c>
      <c r="AO42" s="49">
        <f t="shared" si="52"/>
        <v>0</v>
      </c>
    </row>
    <row r="43" spans="1:41">
      <c r="A43" s="975">
        <v>37</v>
      </c>
      <c r="B43" s="976" t="s">
        <v>138</v>
      </c>
      <c r="C43" s="1171">
        <f>'Table 8 2.1.12 MFP Funded'!S40</f>
        <v>6</v>
      </c>
      <c r="D43" s="984">
        <f>'Table 3 Levels 1&amp;2'!AL44</f>
        <v>5492.0643232073926</v>
      </c>
      <c r="E43" s="1074">
        <f t="shared" si="31"/>
        <v>32952.385939244356</v>
      </c>
      <c r="F43" s="1074">
        <f>'Table 4 Level 3'!P42</f>
        <v>653.61</v>
      </c>
      <c r="G43" s="1074">
        <f t="shared" si="32"/>
        <v>3921.66</v>
      </c>
      <c r="H43" s="1037">
        <f t="shared" si="33"/>
        <v>36874.045939244359</v>
      </c>
      <c r="I43" s="1417">
        <f>'[1]Oct midyear DArbonne'!K43</f>
        <v>-6145.6743232073923</v>
      </c>
      <c r="J43" s="1417">
        <f>'[1]Feb midyear DArbonne'!K43</f>
        <v>-6145.6743232073923</v>
      </c>
      <c r="K43" s="1417">
        <f t="shared" si="34"/>
        <v>-12291.348646414785</v>
      </c>
      <c r="L43" s="1037">
        <f t="shared" si="35"/>
        <v>24582.697292829573</v>
      </c>
      <c r="M43" s="1084">
        <f t="shared" si="36"/>
        <v>-61.456743232073933</v>
      </c>
      <c r="N43" s="1037">
        <f t="shared" si="37"/>
        <v>24521.2405495975</v>
      </c>
      <c r="O43" s="1037">
        <v>0</v>
      </c>
      <c r="P43" s="1037">
        <f t="shared" si="38"/>
        <v>24521.2405495975</v>
      </c>
      <c r="Q43" s="1037">
        <f>3061+278+278+278+278+278+278+278+4871+4871</f>
        <v>14749</v>
      </c>
      <c r="R43" s="1037">
        <f t="shared" si="39"/>
        <v>9772.2405495974999</v>
      </c>
      <c r="S43" s="1037">
        <f t="shared" si="40"/>
        <v>4886.12027479875</v>
      </c>
      <c r="T43" s="1029">
        <f>'[14]FY2012-13 Final'!K44</f>
        <v>3128</v>
      </c>
      <c r="U43" s="1031">
        <f t="shared" si="53"/>
        <v>18768</v>
      </c>
      <c r="V43" s="1439">
        <f>'[20]Oct midyear DArbonne'!E43</f>
        <v>-1</v>
      </c>
      <c r="W43" s="1443">
        <f t="shared" si="41"/>
        <v>-3128</v>
      </c>
      <c r="X43" s="1474">
        <f>'[20]Feb midyear DArbonne'!E43</f>
        <v>-2</v>
      </c>
      <c r="Y43" s="1470">
        <f t="shared" si="42"/>
        <v>-3128</v>
      </c>
      <c r="Z43" s="1470">
        <f t="shared" si="43"/>
        <v>-6256</v>
      </c>
      <c r="AA43" s="1031">
        <f t="shared" si="44"/>
        <v>12512</v>
      </c>
      <c r="AB43" s="1090">
        <f t="shared" si="45"/>
        <v>-31.28</v>
      </c>
      <c r="AC43" s="1031">
        <f t="shared" si="46"/>
        <v>12480.72</v>
      </c>
      <c r="AD43" s="1031">
        <v>0</v>
      </c>
      <c r="AE43" s="1031">
        <f t="shared" si="47"/>
        <v>12480.72</v>
      </c>
      <c r="AF43" s="1031">
        <f>1552+141+141+141+141+141+141+141+2457+2457</f>
        <v>7453</v>
      </c>
      <c r="AG43" s="1031">
        <f t="shared" si="48"/>
        <v>5027.7199999999993</v>
      </c>
      <c r="AH43" s="1031">
        <f t="shared" si="49"/>
        <v>2513.8599999999997</v>
      </c>
      <c r="AI43" s="1032">
        <f t="shared" si="50"/>
        <v>37001.960549597497</v>
      </c>
      <c r="AJ43" s="1032">
        <f t="shared" si="54"/>
        <v>7399.9802747987496</v>
      </c>
      <c r="AL43" s="49">
        <f t="shared" si="51"/>
        <v>-31.28</v>
      </c>
      <c r="AM43" s="49">
        <f>-'[22]Table 5C1B-DArbonne'!AN43</f>
        <v>30.990000000000002</v>
      </c>
      <c r="AN43">
        <f>-'[21]Table 5C1B-DArbonne'!P43</f>
        <v>46.68</v>
      </c>
      <c r="AO43" s="49">
        <f t="shared" si="52"/>
        <v>-0.28999999999999915</v>
      </c>
    </row>
    <row r="44" spans="1:41">
      <c r="A44" s="975">
        <v>38</v>
      </c>
      <c r="B44" s="976" t="s">
        <v>139</v>
      </c>
      <c r="C44" s="1171">
        <f>'Table 8 2.1.12 MFP Funded'!S41</f>
        <v>0</v>
      </c>
      <c r="D44" s="984">
        <f>'Table 3 Levels 1&amp;2'!AL45</f>
        <v>2296.9220537376964</v>
      </c>
      <c r="E44" s="1074">
        <f t="shared" si="31"/>
        <v>0</v>
      </c>
      <c r="F44" s="1074">
        <f>'Table 4 Level 3'!P43</f>
        <v>829.92000000000007</v>
      </c>
      <c r="G44" s="1074">
        <f t="shared" si="32"/>
        <v>0</v>
      </c>
      <c r="H44" s="1037">
        <f t="shared" si="33"/>
        <v>0</v>
      </c>
      <c r="I44" s="1417">
        <f>'[1]Oct midyear DArbonne'!K44</f>
        <v>0</v>
      </c>
      <c r="J44" s="1417">
        <f>'[1]Feb midyear DArbonne'!K44</f>
        <v>0</v>
      </c>
      <c r="K44" s="1417">
        <f t="shared" si="34"/>
        <v>0</v>
      </c>
      <c r="L44" s="1037">
        <f t="shared" si="35"/>
        <v>0</v>
      </c>
      <c r="M44" s="1084">
        <f t="shared" si="36"/>
        <v>0</v>
      </c>
      <c r="N44" s="1037">
        <f t="shared" si="37"/>
        <v>0</v>
      </c>
      <c r="O44" s="1037">
        <v>0</v>
      </c>
      <c r="P44" s="1037">
        <f t="shared" si="38"/>
        <v>0</v>
      </c>
      <c r="Q44" s="1037">
        <v>0</v>
      </c>
      <c r="R44" s="1037">
        <f t="shared" si="39"/>
        <v>0</v>
      </c>
      <c r="S44" s="1037">
        <f t="shared" si="40"/>
        <v>0</v>
      </c>
      <c r="T44" s="1029">
        <f>'[14]FY2012-13 Final'!K45</f>
        <v>10932</v>
      </c>
      <c r="U44" s="1031">
        <f t="shared" si="53"/>
        <v>0</v>
      </c>
      <c r="V44" s="1439">
        <f>'[20]Oct midyear DArbonne'!E44</f>
        <v>0</v>
      </c>
      <c r="W44" s="1443">
        <f t="shared" si="41"/>
        <v>0</v>
      </c>
      <c r="X44" s="1474">
        <f>'[20]Feb midyear DArbonne'!E44</f>
        <v>0</v>
      </c>
      <c r="Y44" s="1470">
        <f t="shared" si="42"/>
        <v>0</v>
      </c>
      <c r="Z44" s="1470">
        <f t="shared" si="43"/>
        <v>0</v>
      </c>
      <c r="AA44" s="1031">
        <f t="shared" si="44"/>
        <v>0</v>
      </c>
      <c r="AB44" s="1090">
        <f t="shared" si="45"/>
        <v>0</v>
      </c>
      <c r="AC44" s="1031">
        <f t="shared" si="46"/>
        <v>0</v>
      </c>
      <c r="AD44" s="1031">
        <v>0</v>
      </c>
      <c r="AE44" s="1031">
        <f t="shared" si="47"/>
        <v>0</v>
      </c>
      <c r="AF44" s="1031">
        <v>0</v>
      </c>
      <c r="AG44" s="1031">
        <f t="shared" si="48"/>
        <v>0</v>
      </c>
      <c r="AH44" s="1031">
        <f t="shared" si="49"/>
        <v>0</v>
      </c>
      <c r="AI44" s="1032">
        <f t="shared" si="50"/>
        <v>0</v>
      </c>
      <c r="AJ44" s="1032">
        <f t="shared" si="54"/>
        <v>0</v>
      </c>
      <c r="AL44" s="49">
        <f t="shared" si="51"/>
        <v>0</v>
      </c>
      <c r="AM44" s="49">
        <f>-'[22]Table 5C1B-DArbonne'!AN44</f>
        <v>0</v>
      </c>
      <c r="AN44">
        <f>-'[21]Table 5C1B-DArbonne'!P44</f>
        <v>0</v>
      </c>
      <c r="AO44" s="49">
        <f t="shared" si="52"/>
        <v>0</v>
      </c>
    </row>
    <row r="45" spans="1:41">
      <c r="A45" s="975">
        <v>39</v>
      </c>
      <c r="B45" s="976" t="s">
        <v>140</v>
      </c>
      <c r="C45" s="1171">
        <f>'Table 8 2.1.12 MFP Funded'!S42</f>
        <v>0</v>
      </c>
      <c r="D45" s="984">
        <f>'Table 3 Levels 1&amp;2'!AL46</f>
        <v>3692.59215316156</v>
      </c>
      <c r="E45" s="1074">
        <f t="shared" si="31"/>
        <v>0</v>
      </c>
      <c r="F45" s="1074">
        <f>'Table 5B2_RSD_LA'!F21</f>
        <v>779.65573042776441</v>
      </c>
      <c r="G45" s="1074">
        <f t="shared" si="32"/>
        <v>0</v>
      </c>
      <c r="H45" s="1037">
        <f t="shared" si="33"/>
        <v>0</v>
      </c>
      <c r="I45" s="1417">
        <f>'[1]Oct midyear DArbonne'!K45</f>
        <v>0</v>
      </c>
      <c r="J45" s="1417">
        <f>'[1]Feb midyear DArbonne'!K45</f>
        <v>0</v>
      </c>
      <c r="K45" s="1417">
        <f t="shared" si="34"/>
        <v>0</v>
      </c>
      <c r="L45" s="1037">
        <f t="shared" si="35"/>
        <v>0</v>
      </c>
      <c r="M45" s="1084">
        <f t="shared" si="36"/>
        <v>0</v>
      </c>
      <c r="N45" s="1037">
        <f t="shared" si="37"/>
        <v>0</v>
      </c>
      <c r="O45" s="1037">
        <v>0</v>
      </c>
      <c r="P45" s="1037">
        <f t="shared" si="38"/>
        <v>0</v>
      </c>
      <c r="Q45" s="1037">
        <v>0</v>
      </c>
      <c r="R45" s="1037">
        <f t="shared" si="39"/>
        <v>0</v>
      </c>
      <c r="S45" s="1037">
        <f t="shared" si="40"/>
        <v>0</v>
      </c>
      <c r="T45" s="1029">
        <f>'[14]FY2012-13 Final'!K46</f>
        <v>4317</v>
      </c>
      <c r="U45" s="1031">
        <f t="shared" si="53"/>
        <v>0</v>
      </c>
      <c r="V45" s="1439">
        <f>'[20]Oct midyear DArbonne'!E45</f>
        <v>0</v>
      </c>
      <c r="W45" s="1443">
        <f t="shared" si="41"/>
        <v>0</v>
      </c>
      <c r="X45" s="1474">
        <f>'[20]Feb midyear DArbonne'!E45</f>
        <v>0</v>
      </c>
      <c r="Y45" s="1470">
        <f t="shared" si="42"/>
        <v>0</v>
      </c>
      <c r="Z45" s="1470">
        <f t="shared" si="43"/>
        <v>0</v>
      </c>
      <c r="AA45" s="1031">
        <f t="shared" si="44"/>
        <v>0</v>
      </c>
      <c r="AB45" s="1090">
        <f t="shared" si="45"/>
        <v>0</v>
      </c>
      <c r="AC45" s="1031">
        <f t="shared" si="46"/>
        <v>0</v>
      </c>
      <c r="AD45" s="1031">
        <v>0</v>
      </c>
      <c r="AE45" s="1031">
        <f t="shared" si="47"/>
        <v>0</v>
      </c>
      <c r="AF45" s="1031">
        <v>0</v>
      </c>
      <c r="AG45" s="1031">
        <f t="shared" si="48"/>
        <v>0</v>
      </c>
      <c r="AH45" s="1031">
        <f t="shared" si="49"/>
        <v>0</v>
      </c>
      <c r="AI45" s="1032">
        <f t="shared" si="50"/>
        <v>0</v>
      </c>
      <c r="AJ45" s="1032">
        <f t="shared" si="54"/>
        <v>0</v>
      </c>
      <c r="AL45" s="49">
        <f t="shared" si="51"/>
        <v>0</v>
      </c>
      <c r="AM45" s="49">
        <f>-'[22]Table 5C1B-DArbonne'!AN45</f>
        <v>0</v>
      </c>
      <c r="AN45">
        <f>-'[21]Table 5C1B-DArbonne'!P45</f>
        <v>0</v>
      </c>
      <c r="AO45" s="49">
        <f t="shared" si="52"/>
        <v>0</v>
      </c>
    </row>
    <row r="46" spans="1:41">
      <c r="A46" s="979">
        <v>40</v>
      </c>
      <c r="B46" s="980" t="s">
        <v>141</v>
      </c>
      <c r="C46" s="1172">
        <f>'Table 8 2.1.12 MFP Funded'!S43</f>
        <v>0</v>
      </c>
      <c r="D46" s="986">
        <f>'Table 3 Levels 1&amp;2'!AL47</f>
        <v>4897.3087815908475</v>
      </c>
      <c r="E46" s="1075">
        <f t="shared" si="31"/>
        <v>0</v>
      </c>
      <c r="F46" s="1075">
        <f>'Table 4 Level 3'!P45</f>
        <v>700.2700000000001</v>
      </c>
      <c r="G46" s="1075">
        <f t="shared" si="32"/>
        <v>0</v>
      </c>
      <c r="H46" s="1038">
        <f t="shared" si="33"/>
        <v>0</v>
      </c>
      <c r="I46" s="1418">
        <f>'[1]Oct midyear DArbonne'!K46</f>
        <v>0</v>
      </c>
      <c r="J46" s="1418">
        <f>'[1]Feb midyear DArbonne'!K46</f>
        <v>0</v>
      </c>
      <c r="K46" s="1418">
        <f t="shared" si="34"/>
        <v>0</v>
      </c>
      <c r="L46" s="1038">
        <f t="shared" si="35"/>
        <v>0</v>
      </c>
      <c r="M46" s="1085">
        <f t="shared" si="36"/>
        <v>0</v>
      </c>
      <c r="N46" s="1038">
        <f t="shared" si="37"/>
        <v>0</v>
      </c>
      <c r="O46" s="1038">
        <v>0</v>
      </c>
      <c r="P46" s="1038">
        <f t="shared" si="38"/>
        <v>0</v>
      </c>
      <c r="Q46" s="1038">
        <v>0</v>
      </c>
      <c r="R46" s="1038">
        <f t="shared" si="39"/>
        <v>0</v>
      </c>
      <c r="S46" s="1038">
        <f t="shared" si="40"/>
        <v>0</v>
      </c>
      <c r="T46" s="1034">
        <f>'[14]FY2012-13 Final'!K47</f>
        <v>2932</v>
      </c>
      <c r="U46" s="1035">
        <f t="shared" si="53"/>
        <v>0</v>
      </c>
      <c r="V46" s="1440">
        <f>'[20]Oct midyear DArbonne'!E46</f>
        <v>0</v>
      </c>
      <c r="W46" s="1445">
        <f t="shared" si="41"/>
        <v>0</v>
      </c>
      <c r="X46" s="1475">
        <f>'[20]Feb midyear DArbonne'!E46</f>
        <v>0</v>
      </c>
      <c r="Y46" s="1471">
        <f t="shared" si="42"/>
        <v>0</v>
      </c>
      <c r="Z46" s="1471">
        <f t="shared" si="43"/>
        <v>0</v>
      </c>
      <c r="AA46" s="1035">
        <f t="shared" si="44"/>
        <v>0</v>
      </c>
      <c r="AB46" s="1091">
        <f t="shared" si="45"/>
        <v>0</v>
      </c>
      <c r="AC46" s="1035">
        <f t="shared" si="46"/>
        <v>0</v>
      </c>
      <c r="AD46" s="1035">
        <v>0</v>
      </c>
      <c r="AE46" s="1035">
        <f t="shared" si="47"/>
        <v>0</v>
      </c>
      <c r="AF46" s="1035">
        <v>0</v>
      </c>
      <c r="AG46" s="1035">
        <f t="shared" si="48"/>
        <v>0</v>
      </c>
      <c r="AH46" s="1035">
        <f t="shared" si="49"/>
        <v>0</v>
      </c>
      <c r="AI46" s="1036">
        <f t="shared" si="50"/>
        <v>0</v>
      </c>
      <c r="AJ46" s="1036">
        <f t="shared" si="54"/>
        <v>0</v>
      </c>
      <c r="AL46" s="49">
        <f t="shared" si="51"/>
        <v>0</v>
      </c>
      <c r="AM46" s="49">
        <f>-'[22]Table 5C1B-DArbonne'!AN46</f>
        <v>0</v>
      </c>
      <c r="AN46">
        <f>-'[21]Table 5C1B-DArbonne'!P46</f>
        <v>0</v>
      </c>
      <c r="AO46" s="49">
        <f t="shared" si="52"/>
        <v>0</v>
      </c>
    </row>
    <row r="47" spans="1:41">
      <c r="A47" s="968">
        <v>41</v>
      </c>
      <c r="B47" s="969" t="s">
        <v>142</v>
      </c>
      <c r="C47" s="1173">
        <f>'Table 8 2.1.12 MFP Funded'!S44</f>
        <v>0</v>
      </c>
      <c r="D47" s="988">
        <f>'Table 3 Levels 1&amp;2'!AL48</f>
        <v>1613.0487891737891</v>
      </c>
      <c r="E47" s="1076">
        <f t="shared" si="31"/>
        <v>0</v>
      </c>
      <c r="F47" s="1076">
        <f>'Table 4 Level 3'!P46</f>
        <v>886.22</v>
      </c>
      <c r="G47" s="1076">
        <f t="shared" si="32"/>
        <v>0</v>
      </c>
      <c r="H47" s="1039">
        <f t="shared" si="33"/>
        <v>0</v>
      </c>
      <c r="I47" s="1419">
        <f>'[1]Oct midyear DArbonne'!K47</f>
        <v>0</v>
      </c>
      <c r="J47" s="1419">
        <f>'[1]Feb midyear DArbonne'!K47</f>
        <v>0</v>
      </c>
      <c r="K47" s="1419">
        <f t="shared" si="34"/>
        <v>0</v>
      </c>
      <c r="L47" s="1039">
        <f t="shared" si="35"/>
        <v>0</v>
      </c>
      <c r="M47" s="1086">
        <f t="shared" si="36"/>
        <v>0</v>
      </c>
      <c r="N47" s="1039">
        <f t="shared" si="37"/>
        <v>0</v>
      </c>
      <c r="O47" s="1039">
        <v>0</v>
      </c>
      <c r="P47" s="1039">
        <f t="shared" si="38"/>
        <v>0</v>
      </c>
      <c r="Q47" s="1039">
        <v>0</v>
      </c>
      <c r="R47" s="1039">
        <f t="shared" si="39"/>
        <v>0</v>
      </c>
      <c r="S47" s="1039">
        <f t="shared" si="40"/>
        <v>0</v>
      </c>
      <c r="T47" s="1029">
        <f>'[14]FY2012-13 Final'!K48</f>
        <v>12026</v>
      </c>
      <c r="U47" s="973">
        <f t="shared" si="53"/>
        <v>0</v>
      </c>
      <c r="V47" s="1441">
        <f>'[20]Oct midyear DArbonne'!E47</f>
        <v>0</v>
      </c>
      <c r="W47" s="1444">
        <f t="shared" si="41"/>
        <v>0</v>
      </c>
      <c r="X47" s="1466">
        <f>'[20]Feb midyear DArbonne'!E47</f>
        <v>0</v>
      </c>
      <c r="Y47" s="1444">
        <f t="shared" si="42"/>
        <v>0</v>
      </c>
      <c r="Z47" s="1444">
        <f t="shared" si="43"/>
        <v>0</v>
      </c>
      <c r="AA47" s="973">
        <f t="shared" si="44"/>
        <v>0</v>
      </c>
      <c r="AB47" s="1089">
        <f t="shared" si="45"/>
        <v>0</v>
      </c>
      <c r="AC47" s="973">
        <f t="shared" si="46"/>
        <v>0</v>
      </c>
      <c r="AD47" s="973">
        <v>0</v>
      </c>
      <c r="AE47" s="973">
        <f t="shared" si="47"/>
        <v>0</v>
      </c>
      <c r="AF47" s="973">
        <v>0</v>
      </c>
      <c r="AG47" s="973">
        <f t="shared" si="48"/>
        <v>0</v>
      </c>
      <c r="AH47" s="973">
        <f t="shared" si="49"/>
        <v>0</v>
      </c>
      <c r="AI47" s="974">
        <f t="shared" si="50"/>
        <v>0</v>
      </c>
      <c r="AJ47" s="974">
        <f t="shared" si="54"/>
        <v>0</v>
      </c>
      <c r="AL47" s="49">
        <f t="shared" si="51"/>
        <v>0</v>
      </c>
      <c r="AM47" s="49">
        <f>-'[22]Table 5C1B-DArbonne'!AN47</f>
        <v>0</v>
      </c>
      <c r="AN47">
        <f>-'[21]Table 5C1B-DArbonne'!P47</f>
        <v>0</v>
      </c>
      <c r="AO47" s="49">
        <f t="shared" si="52"/>
        <v>0</v>
      </c>
    </row>
    <row r="48" spans="1:41">
      <c r="A48" s="975">
        <v>42</v>
      </c>
      <c r="B48" s="976" t="s">
        <v>143</v>
      </c>
      <c r="C48" s="1171">
        <f>'Table 8 2.1.12 MFP Funded'!S45</f>
        <v>0</v>
      </c>
      <c r="D48" s="984">
        <f>'Table 3 Levels 1&amp;2'!AL49</f>
        <v>5259.3837602759822</v>
      </c>
      <c r="E48" s="1074">
        <f t="shared" si="31"/>
        <v>0</v>
      </c>
      <c r="F48" s="1074">
        <f>'Table 4 Level 3'!P47</f>
        <v>534.28</v>
      </c>
      <c r="G48" s="1074">
        <f t="shared" si="32"/>
        <v>0</v>
      </c>
      <c r="H48" s="1037">
        <f t="shared" si="33"/>
        <v>0</v>
      </c>
      <c r="I48" s="1417">
        <f>'[1]Oct midyear DArbonne'!K48</f>
        <v>0</v>
      </c>
      <c r="J48" s="1417">
        <f>'[1]Feb midyear DArbonne'!K48</f>
        <v>0</v>
      </c>
      <c r="K48" s="1417">
        <f t="shared" si="34"/>
        <v>0</v>
      </c>
      <c r="L48" s="1037">
        <f t="shared" si="35"/>
        <v>0</v>
      </c>
      <c r="M48" s="1084">
        <f t="shared" si="36"/>
        <v>0</v>
      </c>
      <c r="N48" s="1037">
        <f t="shared" si="37"/>
        <v>0</v>
      </c>
      <c r="O48" s="1037">
        <v>0</v>
      </c>
      <c r="P48" s="1037">
        <f t="shared" si="38"/>
        <v>0</v>
      </c>
      <c r="Q48" s="1037">
        <v>0</v>
      </c>
      <c r="R48" s="1037">
        <f t="shared" si="39"/>
        <v>0</v>
      </c>
      <c r="S48" s="1037">
        <f t="shared" si="40"/>
        <v>0</v>
      </c>
      <c r="T48" s="1029">
        <f>'[14]FY2012-13 Final'!K49</f>
        <v>2881</v>
      </c>
      <c r="U48" s="1031">
        <f t="shared" si="53"/>
        <v>0</v>
      </c>
      <c r="V48" s="1439">
        <f>'[20]Oct midyear DArbonne'!E48</f>
        <v>0</v>
      </c>
      <c r="W48" s="1443">
        <f t="shared" si="41"/>
        <v>0</v>
      </c>
      <c r="X48" s="1474">
        <f>'[20]Feb midyear DArbonne'!E48</f>
        <v>0</v>
      </c>
      <c r="Y48" s="1470">
        <f t="shared" si="42"/>
        <v>0</v>
      </c>
      <c r="Z48" s="1470">
        <f t="shared" si="43"/>
        <v>0</v>
      </c>
      <c r="AA48" s="1031">
        <f t="shared" si="44"/>
        <v>0</v>
      </c>
      <c r="AB48" s="1090">
        <f t="shared" si="45"/>
        <v>0</v>
      </c>
      <c r="AC48" s="1031">
        <f t="shared" si="46"/>
        <v>0</v>
      </c>
      <c r="AD48" s="1031">
        <v>0</v>
      </c>
      <c r="AE48" s="1031">
        <f t="shared" si="47"/>
        <v>0</v>
      </c>
      <c r="AF48" s="1031">
        <v>0</v>
      </c>
      <c r="AG48" s="1031">
        <f t="shared" si="48"/>
        <v>0</v>
      </c>
      <c r="AH48" s="1031">
        <f t="shared" si="49"/>
        <v>0</v>
      </c>
      <c r="AI48" s="1032">
        <f t="shared" si="50"/>
        <v>0</v>
      </c>
      <c r="AJ48" s="1032">
        <f t="shared" si="54"/>
        <v>0</v>
      </c>
      <c r="AL48" s="49">
        <f t="shared" si="51"/>
        <v>0</v>
      </c>
      <c r="AM48" s="49">
        <f>-'[22]Table 5C1B-DArbonne'!AN48</f>
        <v>0</v>
      </c>
      <c r="AN48">
        <f>-'[21]Table 5C1B-DArbonne'!P48</f>
        <v>0</v>
      </c>
      <c r="AO48" s="49">
        <f t="shared" si="52"/>
        <v>0</v>
      </c>
    </row>
    <row r="49" spans="1:41">
      <c r="A49" s="975">
        <v>43</v>
      </c>
      <c r="B49" s="976" t="s">
        <v>144</v>
      </c>
      <c r="C49" s="1171">
        <f>'Table 8 2.1.12 MFP Funded'!S46</f>
        <v>0</v>
      </c>
      <c r="D49" s="984">
        <f>'Table 3 Levels 1&amp;2'!AL50</f>
        <v>5602.7225412254893</v>
      </c>
      <c r="E49" s="1074">
        <f t="shared" si="31"/>
        <v>0</v>
      </c>
      <c r="F49" s="1074">
        <f>'Table 4 Level 3'!P48</f>
        <v>574.6099999999999</v>
      </c>
      <c r="G49" s="1074">
        <f t="shared" si="32"/>
        <v>0</v>
      </c>
      <c r="H49" s="1037">
        <f t="shared" si="33"/>
        <v>0</v>
      </c>
      <c r="I49" s="1417">
        <f>'[1]Oct midyear DArbonne'!K49</f>
        <v>0</v>
      </c>
      <c r="J49" s="1417">
        <f>'[1]Feb midyear DArbonne'!K49</f>
        <v>0</v>
      </c>
      <c r="K49" s="1417">
        <f t="shared" si="34"/>
        <v>0</v>
      </c>
      <c r="L49" s="1037">
        <f t="shared" si="35"/>
        <v>0</v>
      </c>
      <c r="M49" s="1084">
        <f t="shared" si="36"/>
        <v>0</v>
      </c>
      <c r="N49" s="1037">
        <f t="shared" si="37"/>
        <v>0</v>
      </c>
      <c r="O49" s="1037">
        <v>0</v>
      </c>
      <c r="P49" s="1037">
        <f t="shared" si="38"/>
        <v>0</v>
      </c>
      <c r="Q49" s="1037">
        <v>0</v>
      </c>
      <c r="R49" s="1037">
        <f t="shared" si="39"/>
        <v>0</v>
      </c>
      <c r="S49" s="1037">
        <f t="shared" si="40"/>
        <v>0</v>
      </c>
      <c r="T49" s="1029">
        <f>'[14]FY2012-13 Final'!K50</f>
        <v>5270</v>
      </c>
      <c r="U49" s="1031">
        <f t="shared" si="53"/>
        <v>0</v>
      </c>
      <c r="V49" s="1439">
        <f>'[20]Oct midyear DArbonne'!E49</f>
        <v>0</v>
      </c>
      <c r="W49" s="1443">
        <f t="shared" si="41"/>
        <v>0</v>
      </c>
      <c r="X49" s="1474">
        <f>'[20]Feb midyear DArbonne'!E49</f>
        <v>0</v>
      </c>
      <c r="Y49" s="1470">
        <f t="shared" si="42"/>
        <v>0</v>
      </c>
      <c r="Z49" s="1470">
        <f t="shared" si="43"/>
        <v>0</v>
      </c>
      <c r="AA49" s="1031">
        <f t="shared" si="44"/>
        <v>0</v>
      </c>
      <c r="AB49" s="1090">
        <f t="shared" si="45"/>
        <v>0</v>
      </c>
      <c r="AC49" s="1031">
        <f t="shared" si="46"/>
        <v>0</v>
      </c>
      <c r="AD49" s="1031">
        <v>0</v>
      </c>
      <c r="AE49" s="1031">
        <f t="shared" si="47"/>
        <v>0</v>
      </c>
      <c r="AF49" s="1031">
        <v>0</v>
      </c>
      <c r="AG49" s="1031">
        <f t="shared" si="48"/>
        <v>0</v>
      </c>
      <c r="AH49" s="1031">
        <f t="shared" si="49"/>
        <v>0</v>
      </c>
      <c r="AI49" s="1032">
        <f t="shared" si="50"/>
        <v>0</v>
      </c>
      <c r="AJ49" s="1032">
        <f t="shared" si="54"/>
        <v>0</v>
      </c>
      <c r="AL49" s="49">
        <f t="shared" si="51"/>
        <v>0</v>
      </c>
      <c r="AM49" s="49">
        <f>-'[22]Table 5C1B-DArbonne'!AN49</f>
        <v>0</v>
      </c>
      <c r="AN49">
        <f>-'[21]Table 5C1B-DArbonne'!P49</f>
        <v>0</v>
      </c>
      <c r="AO49" s="49">
        <f t="shared" si="52"/>
        <v>0</v>
      </c>
    </row>
    <row r="50" spans="1:41">
      <c r="A50" s="975">
        <v>44</v>
      </c>
      <c r="B50" s="976" t="s">
        <v>145</v>
      </c>
      <c r="C50" s="1171">
        <f>'Table 8 2.1.12 MFP Funded'!S47</f>
        <v>0</v>
      </c>
      <c r="D50" s="984">
        <f>'Table 3 Levels 1&amp;2'!AL51</f>
        <v>4123.0310925034155</v>
      </c>
      <c r="E50" s="1074">
        <f t="shared" si="31"/>
        <v>0</v>
      </c>
      <c r="F50" s="1074">
        <f>'Table 4 Level 3'!P49</f>
        <v>663.16000000000008</v>
      </c>
      <c r="G50" s="1074">
        <f t="shared" si="32"/>
        <v>0</v>
      </c>
      <c r="H50" s="1037">
        <f t="shared" si="33"/>
        <v>0</v>
      </c>
      <c r="I50" s="1417">
        <f>'[1]Oct midyear DArbonne'!K50</f>
        <v>0</v>
      </c>
      <c r="J50" s="1417">
        <f>'[1]Feb midyear DArbonne'!K50</f>
        <v>0</v>
      </c>
      <c r="K50" s="1417">
        <f t="shared" si="34"/>
        <v>0</v>
      </c>
      <c r="L50" s="1037">
        <f t="shared" si="35"/>
        <v>0</v>
      </c>
      <c r="M50" s="1084">
        <f t="shared" si="36"/>
        <v>0</v>
      </c>
      <c r="N50" s="1037">
        <f t="shared" si="37"/>
        <v>0</v>
      </c>
      <c r="O50" s="1037">
        <v>0</v>
      </c>
      <c r="P50" s="1037">
        <f t="shared" si="38"/>
        <v>0</v>
      </c>
      <c r="Q50" s="1037">
        <v>0</v>
      </c>
      <c r="R50" s="1037">
        <f t="shared" si="39"/>
        <v>0</v>
      </c>
      <c r="S50" s="1037">
        <f t="shared" si="40"/>
        <v>0</v>
      </c>
      <c r="T50" s="1029">
        <f>'[14]FY2012-13 Final'!K51</f>
        <v>4133</v>
      </c>
      <c r="U50" s="1031">
        <f t="shared" si="53"/>
        <v>0</v>
      </c>
      <c r="V50" s="1439">
        <f>'[20]Oct midyear DArbonne'!E50</f>
        <v>0</v>
      </c>
      <c r="W50" s="1443">
        <f t="shared" si="41"/>
        <v>0</v>
      </c>
      <c r="X50" s="1474">
        <f>'[20]Feb midyear DArbonne'!E50</f>
        <v>0</v>
      </c>
      <c r="Y50" s="1470">
        <f t="shared" si="42"/>
        <v>0</v>
      </c>
      <c r="Z50" s="1470">
        <f t="shared" si="43"/>
        <v>0</v>
      </c>
      <c r="AA50" s="1031">
        <f t="shared" si="44"/>
        <v>0</v>
      </c>
      <c r="AB50" s="1090">
        <f t="shared" si="45"/>
        <v>0</v>
      </c>
      <c r="AC50" s="1031">
        <f t="shared" si="46"/>
        <v>0</v>
      </c>
      <c r="AD50" s="1031">
        <v>0</v>
      </c>
      <c r="AE50" s="1031">
        <f t="shared" si="47"/>
        <v>0</v>
      </c>
      <c r="AF50" s="1031">
        <v>0</v>
      </c>
      <c r="AG50" s="1031">
        <f t="shared" si="48"/>
        <v>0</v>
      </c>
      <c r="AH50" s="1031">
        <f t="shared" si="49"/>
        <v>0</v>
      </c>
      <c r="AI50" s="1032">
        <f t="shared" si="50"/>
        <v>0</v>
      </c>
      <c r="AJ50" s="1032">
        <f t="shared" si="54"/>
        <v>0</v>
      </c>
      <c r="AL50" s="49">
        <f t="shared" si="51"/>
        <v>0</v>
      </c>
      <c r="AM50" s="49">
        <f>-'[22]Table 5C1B-DArbonne'!AN50</f>
        <v>0</v>
      </c>
      <c r="AN50">
        <f>-'[21]Table 5C1B-DArbonne'!P50</f>
        <v>0</v>
      </c>
      <c r="AO50" s="49">
        <f t="shared" si="52"/>
        <v>0</v>
      </c>
    </row>
    <row r="51" spans="1:41">
      <c r="A51" s="979">
        <v>45</v>
      </c>
      <c r="B51" s="980" t="s">
        <v>146</v>
      </c>
      <c r="C51" s="1172">
        <f>'Table 8 2.1.12 MFP Funded'!S48</f>
        <v>0</v>
      </c>
      <c r="D51" s="986">
        <f>'Table 3 Levels 1&amp;2'!AL52</f>
        <v>2428.6757675555082</v>
      </c>
      <c r="E51" s="1075">
        <f t="shared" si="31"/>
        <v>0</v>
      </c>
      <c r="F51" s="1075">
        <f>'Table 4 Level 3'!P50</f>
        <v>753.96000000000015</v>
      </c>
      <c r="G51" s="1075">
        <f t="shared" si="32"/>
        <v>0</v>
      </c>
      <c r="H51" s="1038">
        <f t="shared" si="33"/>
        <v>0</v>
      </c>
      <c r="I51" s="1418">
        <f>'[1]Oct midyear DArbonne'!K51</f>
        <v>0</v>
      </c>
      <c r="J51" s="1418">
        <f>'[1]Feb midyear DArbonne'!K51</f>
        <v>0</v>
      </c>
      <c r="K51" s="1418">
        <f t="shared" si="34"/>
        <v>0</v>
      </c>
      <c r="L51" s="1038">
        <f t="shared" si="35"/>
        <v>0</v>
      </c>
      <c r="M51" s="1085">
        <f t="shared" si="36"/>
        <v>0</v>
      </c>
      <c r="N51" s="1038">
        <f t="shared" si="37"/>
        <v>0</v>
      </c>
      <c r="O51" s="1038">
        <v>0</v>
      </c>
      <c r="P51" s="1038">
        <f t="shared" si="38"/>
        <v>0</v>
      </c>
      <c r="Q51" s="1038">
        <v>0</v>
      </c>
      <c r="R51" s="1038">
        <f t="shared" si="39"/>
        <v>0</v>
      </c>
      <c r="S51" s="1038">
        <f t="shared" si="40"/>
        <v>0</v>
      </c>
      <c r="T51" s="1034">
        <f>'[14]FY2012-13 Final'!K52</f>
        <v>12446</v>
      </c>
      <c r="U51" s="1035">
        <f t="shared" si="53"/>
        <v>0</v>
      </c>
      <c r="V51" s="1440">
        <f>'[20]Oct midyear DArbonne'!E51</f>
        <v>0</v>
      </c>
      <c r="W51" s="1445">
        <f t="shared" si="41"/>
        <v>0</v>
      </c>
      <c r="X51" s="1475">
        <f>'[20]Feb midyear DArbonne'!E51</f>
        <v>0</v>
      </c>
      <c r="Y51" s="1471">
        <f t="shared" si="42"/>
        <v>0</v>
      </c>
      <c r="Z51" s="1471">
        <f t="shared" si="43"/>
        <v>0</v>
      </c>
      <c r="AA51" s="1035">
        <f t="shared" si="44"/>
        <v>0</v>
      </c>
      <c r="AB51" s="1091">
        <f t="shared" si="45"/>
        <v>0</v>
      </c>
      <c r="AC51" s="1035">
        <f t="shared" si="46"/>
        <v>0</v>
      </c>
      <c r="AD51" s="1035">
        <v>0</v>
      </c>
      <c r="AE51" s="1035">
        <f t="shared" si="47"/>
        <v>0</v>
      </c>
      <c r="AF51" s="1035">
        <v>0</v>
      </c>
      <c r="AG51" s="1035">
        <f t="shared" si="48"/>
        <v>0</v>
      </c>
      <c r="AH51" s="1035">
        <f t="shared" si="49"/>
        <v>0</v>
      </c>
      <c r="AI51" s="1036">
        <f t="shared" si="50"/>
        <v>0</v>
      </c>
      <c r="AJ51" s="1036">
        <f t="shared" si="54"/>
        <v>0</v>
      </c>
      <c r="AL51" s="49">
        <f t="shared" si="51"/>
        <v>0</v>
      </c>
      <c r="AM51" s="49">
        <f>-'[22]Table 5C1B-DArbonne'!AN51</f>
        <v>0</v>
      </c>
      <c r="AN51">
        <f>-'[21]Table 5C1B-DArbonne'!P51</f>
        <v>0</v>
      </c>
      <c r="AO51" s="49">
        <f t="shared" si="52"/>
        <v>0</v>
      </c>
    </row>
    <row r="52" spans="1:41">
      <c r="A52" s="968">
        <v>46</v>
      </c>
      <c r="B52" s="969" t="s">
        <v>147</v>
      </c>
      <c r="C52" s="1173">
        <f>'Table 8 2.1.12 MFP Funded'!S49</f>
        <v>0</v>
      </c>
      <c r="D52" s="988">
        <f>'Table 3 Levels 1&amp;2'!AL53</f>
        <v>5783.612845780598</v>
      </c>
      <c r="E52" s="1076">
        <f t="shared" si="31"/>
        <v>0</v>
      </c>
      <c r="F52" s="1076">
        <f>'Table 4 Level 3'!P51</f>
        <v>728.06</v>
      </c>
      <c r="G52" s="1076">
        <f t="shared" si="32"/>
        <v>0</v>
      </c>
      <c r="H52" s="1039">
        <f t="shared" si="33"/>
        <v>0</v>
      </c>
      <c r="I52" s="1419">
        <f>'[1]Oct midyear DArbonne'!K52</f>
        <v>0</v>
      </c>
      <c r="J52" s="1419">
        <f>'[1]Feb midyear DArbonne'!K52</f>
        <v>0</v>
      </c>
      <c r="K52" s="1419">
        <f t="shared" si="34"/>
        <v>0</v>
      </c>
      <c r="L52" s="1039">
        <f t="shared" si="35"/>
        <v>0</v>
      </c>
      <c r="M52" s="1086">
        <f t="shared" si="36"/>
        <v>0</v>
      </c>
      <c r="N52" s="1039">
        <f t="shared" si="37"/>
        <v>0</v>
      </c>
      <c r="O52" s="1039">
        <v>0</v>
      </c>
      <c r="P52" s="1039">
        <f t="shared" si="38"/>
        <v>0</v>
      </c>
      <c r="Q52" s="1039">
        <v>0</v>
      </c>
      <c r="R52" s="1039">
        <f t="shared" si="39"/>
        <v>0</v>
      </c>
      <c r="S52" s="1039">
        <f t="shared" si="40"/>
        <v>0</v>
      </c>
      <c r="T52" s="1029">
        <f>'[14]FY2012-13 Final'!K53</f>
        <v>1976</v>
      </c>
      <c r="U52" s="973">
        <f t="shared" si="53"/>
        <v>0</v>
      </c>
      <c r="V52" s="1441">
        <f>'[20]Oct midyear DArbonne'!E52</f>
        <v>0</v>
      </c>
      <c r="W52" s="1444">
        <f t="shared" si="41"/>
        <v>0</v>
      </c>
      <c r="X52" s="1466">
        <f>'[20]Feb midyear DArbonne'!E52</f>
        <v>0</v>
      </c>
      <c r="Y52" s="1444">
        <f t="shared" si="42"/>
        <v>0</v>
      </c>
      <c r="Z52" s="1444">
        <f t="shared" si="43"/>
        <v>0</v>
      </c>
      <c r="AA52" s="973">
        <f t="shared" si="44"/>
        <v>0</v>
      </c>
      <c r="AB52" s="1089">
        <f t="shared" si="45"/>
        <v>0</v>
      </c>
      <c r="AC52" s="973">
        <f t="shared" si="46"/>
        <v>0</v>
      </c>
      <c r="AD52" s="973">
        <v>0</v>
      </c>
      <c r="AE52" s="973">
        <f t="shared" si="47"/>
        <v>0</v>
      </c>
      <c r="AF52" s="973">
        <v>0</v>
      </c>
      <c r="AG52" s="973">
        <f t="shared" si="48"/>
        <v>0</v>
      </c>
      <c r="AH52" s="973">
        <f t="shared" si="49"/>
        <v>0</v>
      </c>
      <c r="AI52" s="974">
        <f t="shared" si="50"/>
        <v>0</v>
      </c>
      <c r="AJ52" s="974">
        <f t="shared" si="54"/>
        <v>0</v>
      </c>
      <c r="AL52" s="49">
        <f t="shared" si="51"/>
        <v>0</v>
      </c>
      <c r="AM52" s="49">
        <f>-'[22]Table 5C1B-DArbonne'!AN52</f>
        <v>0</v>
      </c>
      <c r="AN52">
        <f>-'[21]Table 5C1B-DArbonne'!P52</f>
        <v>0</v>
      </c>
      <c r="AO52" s="49">
        <f t="shared" si="52"/>
        <v>0</v>
      </c>
    </row>
    <row r="53" spans="1:41">
      <c r="A53" s="975">
        <v>47</v>
      </c>
      <c r="B53" s="976" t="s">
        <v>148</v>
      </c>
      <c r="C53" s="1171">
        <f>'Table 8 2.1.12 MFP Funded'!S50</f>
        <v>0</v>
      </c>
      <c r="D53" s="984">
        <f>'Table 3 Levels 1&amp;2'!AL54</f>
        <v>3209.8138023141523</v>
      </c>
      <c r="E53" s="1074">
        <f t="shared" si="31"/>
        <v>0</v>
      </c>
      <c r="F53" s="1074">
        <f>'Table 4 Level 3'!P52</f>
        <v>910.76</v>
      </c>
      <c r="G53" s="1074">
        <f t="shared" si="32"/>
        <v>0</v>
      </c>
      <c r="H53" s="1037">
        <f t="shared" si="33"/>
        <v>0</v>
      </c>
      <c r="I53" s="1417">
        <f>'[1]Oct midyear DArbonne'!K53</f>
        <v>0</v>
      </c>
      <c r="J53" s="1417">
        <f>'[1]Feb midyear DArbonne'!K53</f>
        <v>0</v>
      </c>
      <c r="K53" s="1417">
        <f t="shared" si="34"/>
        <v>0</v>
      </c>
      <c r="L53" s="1037">
        <f t="shared" si="35"/>
        <v>0</v>
      </c>
      <c r="M53" s="1084">
        <f t="shared" si="36"/>
        <v>0</v>
      </c>
      <c r="N53" s="1037">
        <f t="shared" si="37"/>
        <v>0</v>
      </c>
      <c r="O53" s="1037">
        <v>0</v>
      </c>
      <c r="P53" s="1037">
        <f t="shared" si="38"/>
        <v>0</v>
      </c>
      <c r="Q53" s="1037">
        <v>0</v>
      </c>
      <c r="R53" s="1037">
        <f t="shared" si="39"/>
        <v>0</v>
      </c>
      <c r="S53" s="1037">
        <f t="shared" si="40"/>
        <v>0</v>
      </c>
      <c r="T53" s="1029">
        <f>'[14]FY2012-13 Final'!K54</f>
        <v>10067</v>
      </c>
      <c r="U53" s="1031">
        <f t="shared" si="53"/>
        <v>0</v>
      </c>
      <c r="V53" s="1439">
        <f>'[20]Oct midyear DArbonne'!E53</f>
        <v>0</v>
      </c>
      <c r="W53" s="1443">
        <f t="shared" si="41"/>
        <v>0</v>
      </c>
      <c r="X53" s="1474">
        <f>'[20]Feb midyear DArbonne'!E53</f>
        <v>0</v>
      </c>
      <c r="Y53" s="1470">
        <f t="shared" si="42"/>
        <v>0</v>
      </c>
      <c r="Z53" s="1470">
        <f t="shared" si="43"/>
        <v>0</v>
      </c>
      <c r="AA53" s="1031">
        <f t="shared" si="44"/>
        <v>0</v>
      </c>
      <c r="AB53" s="1090">
        <f t="shared" si="45"/>
        <v>0</v>
      </c>
      <c r="AC53" s="1031">
        <f t="shared" si="46"/>
        <v>0</v>
      </c>
      <c r="AD53" s="1031">
        <v>0</v>
      </c>
      <c r="AE53" s="1031">
        <f t="shared" si="47"/>
        <v>0</v>
      </c>
      <c r="AF53" s="1031">
        <v>0</v>
      </c>
      <c r="AG53" s="1031">
        <f t="shared" si="48"/>
        <v>0</v>
      </c>
      <c r="AH53" s="1031">
        <f t="shared" si="49"/>
        <v>0</v>
      </c>
      <c r="AI53" s="1032">
        <f t="shared" si="50"/>
        <v>0</v>
      </c>
      <c r="AJ53" s="1032">
        <f t="shared" si="54"/>
        <v>0</v>
      </c>
      <c r="AL53" s="49">
        <f t="shared" si="51"/>
        <v>0</v>
      </c>
      <c r="AM53" s="49">
        <f>-'[22]Table 5C1B-DArbonne'!AN53</f>
        <v>0</v>
      </c>
      <c r="AN53">
        <f>-'[21]Table 5C1B-DArbonne'!P53</f>
        <v>0</v>
      </c>
      <c r="AO53" s="49">
        <f t="shared" si="52"/>
        <v>0</v>
      </c>
    </row>
    <row r="54" spans="1:41">
      <c r="A54" s="975">
        <v>48</v>
      </c>
      <c r="B54" s="976" t="s">
        <v>217</v>
      </c>
      <c r="C54" s="1171">
        <f>'Table 8 2.1.12 MFP Funded'!S51</f>
        <v>0</v>
      </c>
      <c r="D54" s="984">
        <f>'Table 3 Levels 1&amp;2'!AL55</f>
        <v>4278.1956772731837</v>
      </c>
      <c r="E54" s="1074">
        <f t="shared" si="31"/>
        <v>0</v>
      </c>
      <c r="F54" s="1074">
        <f>'Table 4 Level 3'!P53</f>
        <v>871.07</v>
      </c>
      <c r="G54" s="1074">
        <f t="shared" si="32"/>
        <v>0</v>
      </c>
      <c r="H54" s="1037">
        <f t="shared" si="33"/>
        <v>0</v>
      </c>
      <c r="I54" s="1417">
        <f>'[1]Oct midyear DArbonne'!K54</f>
        <v>0</v>
      </c>
      <c r="J54" s="1417">
        <f>'[1]Feb midyear DArbonne'!K54</f>
        <v>0</v>
      </c>
      <c r="K54" s="1417">
        <f t="shared" si="34"/>
        <v>0</v>
      </c>
      <c r="L54" s="1037">
        <f t="shared" si="35"/>
        <v>0</v>
      </c>
      <c r="M54" s="1084">
        <f t="shared" si="36"/>
        <v>0</v>
      </c>
      <c r="N54" s="1037">
        <f t="shared" si="37"/>
        <v>0</v>
      </c>
      <c r="O54" s="1037">
        <v>0</v>
      </c>
      <c r="P54" s="1037">
        <f t="shared" si="38"/>
        <v>0</v>
      </c>
      <c r="Q54" s="1037">
        <v>0</v>
      </c>
      <c r="R54" s="1037">
        <f t="shared" si="39"/>
        <v>0</v>
      </c>
      <c r="S54" s="1037">
        <f t="shared" si="40"/>
        <v>0</v>
      </c>
      <c r="T54" s="1029">
        <f>'[14]FY2012-13 Final'!K55</f>
        <v>5849</v>
      </c>
      <c r="U54" s="1031">
        <f t="shared" si="53"/>
        <v>0</v>
      </c>
      <c r="V54" s="1439">
        <f>'[20]Oct midyear DArbonne'!E54</f>
        <v>0</v>
      </c>
      <c r="W54" s="1443">
        <f t="shared" si="41"/>
        <v>0</v>
      </c>
      <c r="X54" s="1474">
        <f>'[20]Feb midyear DArbonne'!E54</f>
        <v>0</v>
      </c>
      <c r="Y54" s="1470">
        <f t="shared" si="42"/>
        <v>0</v>
      </c>
      <c r="Z54" s="1470">
        <f t="shared" si="43"/>
        <v>0</v>
      </c>
      <c r="AA54" s="1031">
        <f t="shared" si="44"/>
        <v>0</v>
      </c>
      <c r="AB54" s="1090">
        <f t="shared" si="45"/>
        <v>0</v>
      </c>
      <c r="AC54" s="1031">
        <f t="shared" si="46"/>
        <v>0</v>
      </c>
      <c r="AD54" s="1031">
        <v>0</v>
      </c>
      <c r="AE54" s="1031">
        <f t="shared" si="47"/>
        <v>0</v>
      </c>
      <c r="AF54" s="1031">
        <v>0</v>
      </c>
      <c r="AG54" s="1031">
        <f t="shared" si="48"/>
        <v>0</v>
      </c>
      <c r="AH54" s="1031">
        <f t="shared" si="49"/>
        <v>0</v>
      </c>
      <c r="AI54" s="1032">
        <f t="shared" si="50"/>
        <v>0</v>
      </c>
      <c r="AJ54" s="1032">
        <f t="shared" si="54"/>
        <v>0</v>
      </c>
      <c r="AL54" s="49">
        <f t="shared" si="51"/>
        <v>0</v>
      </c>
      <c r="AM54" s="49">
        <f>-'[22]Table 5C1B-DArbonne'!AN54</f>
        <v>0</v>
      </c>
      <c r="AN54">
        <f>-'[21]Table 5C1B-DArbonne'!P54</f>
        <v>0</v>
      </c>
      <c r="AO54" s="49">
        <f t="shared" si="52"/>
        <v>0</v>
      </c>
    </row>
    <row r="55" spans="1:41">
      <c r="A55" s="975">
        <v>49</v>
      </c>
      <c r="B55" s="976" t="s">
        <v>149</v>
      </c>
      <c r="C55" s="1171">
        <f>'Table 8 2.1.12 MFP Funded'!S52</f>
        <v>0</v>
      </c>
      <c r="D55" s="984">
        <f>'Table 3 Levels 1&amp;2'!AL56</f>
        <v>4819.172186397177</v>
      </c>
      <c r="E55" s="1074">
        <f t="shared" si="31"/>
        <v>0</v>
      </c>
      <c r="F55" s="1074">
        <f>'Table 4 Level 3'!P54</f>
        <v>574.43999999999994</v>
      </c>
      <c r="G55" s="1074">
        <f t="shared" si="32"/>
        <v>0</v>
      </c>
      <c r="H55" s="1037">
        <f t="shared" si="33"/>
        <v>0</v>
      </c>
      <c r="I55" s="1417">
        <f>'[1]Oct midyear DArbonne'!K55</f>
        <v>0</v>
      </c>
      <c r="J55" s="1417">
        <f>'[1]Feb midyear DArbonne'!K55</f>
        <v>0</v>
      </c>
      <c r="K55" s="1417">
        <f t="shared" si="34"/>
        <v>0</v>
      </c>
      <c r="L55" s="1037">
        <f t="shared" si="35"/>
        <v>0</v>
      </c>
      <c r="M55" s="1084">
        <f t="shared" si="36"/>
        <v>0</v>
      </c>
      <c r="N55" s="1037">
        <f t="shared" si="37"/>
        <v>0</v>
      </c>
      <c r="O55" s="1037">
        <v>0</v>
      </c>
      <c r="P55" s="1037">
        <f t="shared" si="38"/>
        <v>0</v>
      </c>
      <c r="Q55" s="1037">
        <v>0</v>
      </c>
      <c r="R55" s="1037">
        <f t="shared" si="39"/>
        <v>0</v>
      </c>
      <c r="S55" s="1037">
        <f t="shared" si="40"/>
        <v>0</v>
      </c>
      <c r="T55" s="1029">
        <f>'[14]FY2012-13 Final'!K56</f>
        <v>2345</v>
      </c>
      <c r="U55" s="1031">
        <f t="shared" si="53"/>
        <v>0</v>
      </c>
      <c r="V55" s="1439">
        <f>'[20]Oct midyear DArbonne'!E55</f>
        <v>0</v>
      </c>
      <c r="W55" s="1443">
        <f t="shared" si="41"/>
        <v>0</v>
      </c>
      <c r="X55" s="1474">
        <f>'[20]Feb midyear DArbonne'!E55</f>
        <v>0</v>
      </c>
      <c r="Y55" s="1470">
        <f t="shared" si="42"/>
        <v>0</v>
      </c>
      <c r="Z55" s="1470">
        <f t="shared" si="43"/>
        <v>0</v>
      </c>
      <c r="AA55" s="1031">
        <f t="shared" si="44"/>
        <v>0</v>
      </c>
      <c r="AB55" s="1090">
        <f t="shared" si="45"/>
        <v>0</v>
      </c>
      <c r="AC55" s="1031">
        <f t="shared" si="46"/>
        <v>0</v>
      </c>
      <c r="AD55" s="1031">
        <v>0</v>
      </c>
      <c r="AE55" s="1031">
        <f t="shared" si="47"/>
        <v>0</v>
      </c>
      <c r="AF55" s="1031">
        <v>0</v>
      </c>
      <c r="AG55" s="1031">
        <f t="shared" si="48"/>
        <v>0</v>
      </c>
      <c r="AH55" s="1031">
        <f t="shared" si="49"/>
        <v>0</v>
      </c>
      <c r="AI55" s="1032">
        <f t="shared" si="50"/>
        <v>0</v>
      </c>
      <c r="AJ55" s="1032">
        <f t="shared" si="54"/>
        <v>0</v>
      </c>
      <c r="AL55" s="49">
        <f t="shared" si="51"/>
        <v>0</v>
      </c>
      <c r="AM55" s="49">
        <f>-'[22]Table 5C1B-DArbonne'!AN55</f>
        <v>0</v>
      </c>
      <c r="AN55">
        <f>-'[21]Table 5C1B-DArbonne'!P55</f>
        <v>0</v>
      </c>
      <c r="AO55" s="49">
        <f t="shared" si="52"/>
        <v>0</v>
      </c>
    </row>
    <row r="56" spans="1:41">
      <c r="A56" s="979">
        <v>50</v>
      </c>
      <c r="B56" s="980" t="s">
        <v>150</v>
      </c>
      <c r="C56" s="1172">
        <f>'Table 8 2.1.12 MFP Funded'!S53</f>
        <v>0</v>
      </c>
      <c r="D56" s="986">
        <f>'Table 3 Levels 1&amp;2'!AL57</f>
        <v>5078.3381494368732</v>
      </c>
      <c r="E56" s="1075">
        <f t="shared" si="31"/>
        <v>0</v>
      </c>
      <c r="F56" s="1075">
        <f>'Table 4 Level 3'!P55</f>
        <v>634.46</v>
      </c>
      <c r="G56" s="1075">
        <f t="shared" si="32"/>
        <v>0</v>
      </c>
      <c r="H56" s="1038">
        <f t="shared" si="33"/>
        <v>0</v>
      </c>
      <c r="I56" s="1418">
        <f>'[1]Oct midyear DArbonne'!K56</f>
        <v>0</v>
      </c>
      <c r="J56" s="1418">
        <f>'[1]Feb midyear DArbonne'!K56</f>
        <v>0</v>
      </c>
      <c r="K56" s="1418">
        <f t="shared" si="34"/>
        <v>0</v>
      </c>
      <c r="L56" s="1038">
        <f t="shared" si="35"/>
        <v>0</v>
      </c>
      <c r="M56" s="1085">
        <f t="shared" si="36"/>
        <v>0</v>
      </c>
      <c r="N56" s="1038">
        <f t="shared" si="37"/>
        <v>0</v>
      </c>
      <c r="O56" s="1038">
        <v>0</v>
      </c>
      <c r="P56" s="1038">
        <f t="shared" si="38"/>
        <v>0</v>
      </c>
      <c r="Q56" s="1038">
        <v>0</v>
      </c>
      <c r="R56" s="1038">
        <f t="shared" si="39"/>
        <v>0</v>
      </c>
      <c r="S56" s="1038">
        <f t="shared" si="40"/>
        <v>0</v>
      </c>
      <c r="T56" s="1034">
        <f>'[14]FY2012-13 Final'!K57</f>
        <v>2810</v>
      </c>
      <c r="U56" s="1035">
        <f t="shared" si="53"/>
        <v>0</v>
      </c>
      <c r="V56" s="1440">
        <f>'[20]Oct midyear DArbonne'!E56</f>
        <v>0</v>
      </c>
      <c r="W56" s="1445">
        <f t="shared" si="41"/>
        <v>0</v>
      </c>
      <c r="X56" s="1475">
        <f>'[20]Feb midyear DArbonne'!E56</f>
        <v>0</v>
      </c>
      <c r="Y56" s="1471">
        <f t="shared" si="42"/>
        <v>0</v>
      </c>
      <c r="Z56" s="1471">
        <f t="shared" si="43"/>
        <v>0</v>
      </c>
      <c r="AA56" s="1035">
        <f t="shared" si="44"/>
        <v>0</v>
      </c>
      <c r="AB56" s="1091">
        <f t="shared" si="45"/>
        <v>0</v>
      </c>
      <c r="AC56" s="1035">
        <f t="shared" si="46"/>
        <v>0</v>
      </c>
      <c r="AD56" s="1035">
        <v>0</v>
      </c>
      <c r="AE56" s="1035">
        <f t="shared" si="47"/>
        <v>0</v>
      </c>
      <c r="AF56" s="1035">
        <v>0</v>
      </c>
      <c r="AG56" s="1035">
        <f t="shared" si="48"/>
        <v>0</v>
      </c>
      <c r="AH56" s="1035">
        <f t="shared" si="49"/>
        <v>0</v>
      </c>
      <c r="AI56" s="1036">
        <f t="shared" si="50"/>
        <v>0</v>
      </c>
      <c r="AJ56" s="1036">
        <f t="shared" si="54"/>
        <v>0</v>
      </c>
      <c r="AL56" s="49">
        <f t="shared" si="51"/>
        <v>0</v>
      </c>
      <c r="AM56" s="49">
        <f>-'[22]Table 5C1B-DArbonne'!AN56</f>
        <v>0</v>
      </c>
      <c r="AN56">
        <f>-'[21]Table 5C1B-DArbonne'!P56</f>
        <v>0</v>
      </c>
      <c r="AO56" s="49">
        <f t="shared" si="52"/>
        <v>0</v>
      </c>
    </row>
    <row r="57" spans="1:41">
      <c r="A57" s="968">
        <v>51</v>
      </c>
      <c r="B57" s="969" t="s">
        <v>151</v>
      </c>
      <c r="C57" s="1173">
        <f>'Table 8 2.1.12 MFP Funded'!S54</f>
        <v>0</v>
      </c>
      <c r="D57" s="988">
        <f>'Table 3 Levels 1&amp;2'!AL58</f>
        <v>4327.8748353683095</v>
      </c>
      <c r="E57" s="1076">
        <f t="shared" si="31"/>
        <v>0</v>
      </c>
      <c r="F57" s="1076">
        <f>'Table 4 Level 3'!P56</f>
        <v>706.66</v>
      </c>
      <c r="G57" s="1076">
        <f t="shared" si="32"/>
        <v>0</v>
      </c>
      <c r="H57" s="1039">
        <f t="shared" si="33"/>
        <v>0</v>
      </c>
      <c r="I57" s="1419">
        <f>'[1]Oct midyear DArbonne'!K57</f>
        <v>0</v>
      </c>
      <c r="J57" s="1419">
        <f>'[1]Feb midyear DArbonne'!K57</f>
        <v>0</v>
      </c>
      <c r="K57" s="1419">
        <f t="shared" si="34"/>
        <v>0</v>
      </c>
      <c r="L57" s="1039">
        <f t="shared" si="35"/>
        <v>0</v>
      </c>
      <c r="M57" s="1086">
        <f t="shared" si="36"/>
        <v>0</v>
      </c>
      <c r="N57" s="1039">
        <f t="shared" si="37"/>
        <v>0</v>
      </c>
      <c r="O57" s="1039">
        <v>0</v>
      </c>
      <c r="P57" s="1039">
        <f t="shared" si="38"/>
        <v>0</v>
      </c>
      <c r="Q57" s="1039">
        <v>0</v>
      </c>
      <c r="R57" s="1039">
        <f t="shared" si="39"/>
        <v>0</v>
      </c>
      <c r="S57" s="1039">
        <f t="shared" si="40"/>
        <v>0</v>
      </c>
      <c r="T57" s="1029">
        <f>'[14]FY2012-13 Final'!K58</f>
        <v>4191</v>
      </c>
      <c r="U57" s="973">
        <f t="shared" si="53"/>
        <v>0</v>
      </c>
      <c r="V57" s="1441">
        <f>'[20]Oct midyear DArbonne'!E57</f>
        <v>0</v>
      </c>
      <c r="W57" s="1444">
        <f t="shared" si="41"/>
        <v>0</v>
      </c>
      <c r="X57" s="1466">
        <f>'[20]Feb midyear DArbonne'!E57</f>
        <v>0</v>
      </c>
      <c r="Y57" s="1444">
        <f t="shared" si="42"/>
        <v>0</v>
      </c>
      <c r="Z57" s="1444">
        <f t="shared" si="43"/>
        <v>0</v>
      </c>
      <c r="AA57" s="973">
        <f t="shared" si="44"/>
        <v>0</v>
      </c>
      <c r="AB57" s="1089">
        <f t="shared" si="45"/>
        <v>0</v>
      </c>
      <c r="AC57" s="973">
        <f t="shared" si="46"/>
        <v>0</v>
      </c>
      <c r="AD57" s="973">
        <v>0</v>
      </c>
      <c r="AE57" s="973">
        <f t="shared" si="47"/>
        <v>0</v>
      </c>
      <c r="AF57" s="973">
        <v>0</v>
      </c>
      <c r="AG57" s="973">
        <f t="shared" si="48"/>
        <v>0</v>
      </c>
      <c r="AH57" s="973">
        <f t="shared" si="49"/>
        <v>0</v>
      </c>
      <c r="AI57" s="974">
        <f t="shared" si="50"/>
        <v>0</v>
      </c>
      <c r="AJ57" s="974">
        <f t="shared" si="54"/>
        <v>0</v>
      </c>
      <c r="AL57" s="49">
        <f t="shared" si="51"/>
        <v>0</v>
      </c>
      <c r="AM57" s="49">
        <f>-'[22]Table 5C1B-DArbonne'!AN57</f>
        <v>0</v>
      </c>
      <c r="AN57">
        <f>-'[21]Table 5C1B-DArbonne'!P57</f>
        <v>0</v>
      </c>
      <c r="AO57" s="49">
        <f t="shared" si="52"/>
        <v>0</v>
      </c>
    </row>
    <row r="58" spans="1:41">
      <c r="A58" s="975">
        <v>52</v>
      </c>
      <c r="B58" s="976" t="s">
        <v>152</v>
      </c>
      <c r="C58" s="1171">
        <f>'Table 8 2.1.12 MFP Funded'!S55</f>
        <v>0</v>
      </c>
      <c r="D58" s="984">
        <f>'Table 3 Levels 1&amp;2'!AL59</f>
        <v>4936.6461759855838</v>
      </c>
      <c r="E58" s="1074">
        <f t="shared" si="31"/>
        <v>0</v>
      </c>
      <c r="F58" s="1074">
        <f>'Table 4 Level 3'!P57</f>
        <v>658.37</v>
      </c>
      <c r="G58" s="1074">
        <f t="shared" si="32"/>
        <v>0</v>
      </c>
      <c r="H58" s="1037">
        <f t="shared" si="33"/>
        <v>0</v>
      </c>
      <c r="I58" s="1417">
        <f>'[1]Oct midyear DArbonne'!K58</f>
        <v>0</v>
      </c>
      <c r="J58" s="1417">
        <f>'[1]Feb midyear DArbonne'!K58</f>
        <v>0</v>
      </c>
      <c r="K58" s="1417">
        <f t="shared" si="34"/>
        <v>0</v>
      </c>
      <c r="L58" s="1037">
        <f t="shared" si="35"/>
        <v>0</v>
      </c>
      <c r="M58" s="1084">
        <f t="shared" si="36"/>
        <v>0</v>
      </c>
      <c r="N58" s="1037">
        <f t="shared" si="37"/>
        <v>0</v>
      </c>
      <c r="O58" s="1037">
        <v>0</v>
      </c>
      <c r="P58" s="1037">
        <f t="shared" si="38"/>
        <v>0</v>
      </c>
      <c r="Q58" s="1037">
        <v>0</v>
      </c>
      <c r="R58" s="1037">
        <f t="shared" si="39"/>
        <v>0</v>
      </c>
      <c r="S58" s="1037">
        <f t="shared" si="40"/>
        <v>0</v>
      </c>
      <c r="T58" s="1029">
        <f>'[14]FY2012-13 Final'!K59</f>
        <v>4895</v>
      </c>
      <c r="U58" s="1031">
        <f t="shared" si="53"/>
        <v>0</v>
      </c>
      <c r="V58" s="1439">
        <f>'[20]Oct midyear DArbonne'!E58</f>
        <v>0</v>
      </c>
      <c r="W58" s="1443">
        <f t="shared" si="41"/>
        <v>0</v>
      </c>
      <c r="X58" s="1474">
        <f>'[20]Feb midyear DArbonne'!E58</f>
        <v>0</v>
      </c>
      <c r="Y58" s="1470">
        <f t="shared" si="42"/>
        <v>0</v>
      </c>
      <c r="Z58" s="1470">
        <f t="shared" si="43"/>
        <v>0</v>
      </c>
      <c r="AA58" s="1031">
        <f t="shared" si="44"/>
        <v>0</v>
      </c>
      <c r="AB58" s="1090">
        <f t="shared" si="45"/>
        <v>0</v>
      </c>
      <c r="AC58" s="1031">
        <f t="shared" si="46"/>
        <v>0</v>
      </c>
      <c r="AD58" s="1031">
        <v>0</v>
      </c>
      <c r="AE58" s="1031">
        <f t="shared" si="47"/>
        <v>0</v>
      </c>
      <c r="AF58" s="1031">
        <v>0</v>
      </c>
      <c r="AG58" s="1031">
        <f t="shared" si="48"/>
        <v>0</v>
      </c>
      <c r="AH58" s="1031">
        <f t="shared" si="49"/>
        <v>0</v>
      </c>
      <c r="AI58" s="1032">
        <f t="shared" si="50"/>
        <v>0</v>
      </c>
      <c r="AJ58" s="1032">
        <f t="shared" si="54"/>
        <v>0</v>
      </c>
      <c r="AL58" s="49">
        <f t="shared" si="51"/>
        <v>0</v>
      </c>
      <c r="AM58" s="49">
        <f>-'[22]Table 5C1B-DArbonne'!AN58</f>
        <v>0</v>
      </c>
      <c r="AN58">
        <f>-'[21]Table 5C1B-DArbonne'!P58</f>
        <v>0</v>
      </c>
      <c r="AO58" s="49">
        <f t="shared" si="52"/>
        <v>0</v>
      </c>
    </row>
    <row r="59" spans="1:41">
      <c r="A59" s="975">
        <v>53</v>
      </c>
      <c r="B59" s="976" t="s">
        <v>153</v>
      </c>
      <c r="C59" s="1171">
        <f>'Table 8 2.1.12 MFP Funded'!S56</f>
        <v>0</v>
      </c>
      <c r="D59" s="984">
        <f>'Table 3 Levels 1&amp;2'!AL60</f>
        <v>4800.3207499962118</v>
      </c>
      <c r="E59" s="1074">
        <f t="shared" si="31"/>
        <v>0</v>
      </c>
      <c r="F59" s="1074">
        <f>'Table 4 Level 3'!P58</f>
        <v>689.74</v>
      </c>
      <c r="G59" s="1074">
        <f t="shared" si="32"/>
        <v>0</v>
      </c>
      <c r="H59" s="1037">
        <f t="shared" si="33"/>
        <v>0</v>
      </c>
      <c r="I59" s="1417">
        <f>'[1]Oct midyear DArbonne'!K59</f>
        <v>0</v>
      </c>
      <c r="J59" s="1417">
        <f>'[1]Feb midyear DArbonne'!K59</f>
        <v>0</v>
      </c>
      <c r="K59" s="1417">
        <f t="shared" si="34"/>
        <v>0</v>
      </c>
      <c r="L59" s="1037">
        <f t="shared" si="35"/>
        <v>0</v>
      </c>
      <c r="M59" s="1084">
        <f t="shared" si="36"/>
        <v>0</v>
      </c>
      <c r="N59" s="1037">
        <f t="shared" si="37"/>
        <v>0</v>
      </c>
      <c r="O59" s="1037">
        <v>0</v>
      </c>
      <c r="P59" s="1037">
        <f t="shared" si="38"/>
        <v>0</v>
      </c>
      <c r="Q59" s="1037">
        <v>0</v>
      </c>
      <c r="R59" s="1037">
        <f t="shared" si="39"/>
        <v>0</v>
      </c>
      <c r="S59" s="1037">
        <f t="shared" si="40"/>
        <v>0</v>
      </c>
      <c r="T59" s="1029">
        <f>'[14]FY2012-13 Final'!K60</f>
        <v>1935</v>
      </c>
      <c r="U59" s="1031">
        <f t="shared" si="53"/>
        <v>0</v>
      </c>
      <c r="V59" s="1439">
        <f>'[20]Oct midyear DArbonne'!E59</f>
        <v>0</v>
      </c>
      <c r="W59" s="1443">
        <f t="shared" si="41"/>
        <v>0</v>
      </c>
      <c r="X59" s="1474">
        <f>'[20]Feb midyear DArbonne'!E59</f>
        <v>0</v>
      </c>
      <c r="Y59" s="1470">
        <f t="shared" si="42"/>
        <v>0</v>
      </c>
      <c r="Z59" s="1470">
        <f t="shared" si="43"/>
        <v>0</v>
      </c>
      <c r="AA59" s="1031">
        <f t="shared" si="44"/>
        <v>0</v>
      </c>
      <c r="AB59" s="1090">
        <f t="shared" si="45"/>
        <v>0</v>
      </c>
      <c r="AC59" s="1031">
        <f t="shared" si="46"/>
        <v>0</v>
      </c>
      <c r="AD59" s="1031">
        <v>0</v>
      </c>
      <c r="AE59" s="1031">
        <f t="shared" si="47"/>
        <v>0</v>
      </c>
      <c r="AF59" s="1031">
        <v>0</v>
      </c>
      <c r="AG59" s="1031">
        <f t="shared" si="48"/>
        <v>0</v>
      </c>
      <c r="AH59" s="1031">
        <f t="shared" si="49"/>
        <v>0</v>
      </c>
      <c r="AI59" s="1032">
        <f t="shared" si="50"/>
        <v>0</v>
      </c>
      <c r="AJ59" s="1032">
        <f t="shared" si="54"/>
        <v>0</v>
      </c>
      <c r="AL59" s="49">
        <f t="shared" si="51"/>
        <v>0</v>
      </c>
      <c r="AM59" s="49">
        <f>-'[22]Table 5C1B-DArbonne'!AN59</f>
        <v>0</v>
      </c>
      <c r="AN59">
        <f>-'[21]Table 5C1B-DArbonne'!P59</f>
        <v>0</v>
      </c>
      <c r="AO59" s="49">
        <f t="shared" si="52"/>
        <v>0</v>
      </c>
    </row>
    <row r="60" spans="1:41">
      <c r="A60" s="975">
        <v>54</v>
      </c>
      <c r="B60" s="976" t="s">
        <v>154</v>
      </c>
      <c r="C60" s="1171">
        <f>'Table 8 2.1.12 MFP Funded'!S57</f>
        <v>0</v>
      </c>
      <c r="D60" s="984">
        <f>'Table 3 Levels 1&amp;2'!AL61</f>
        <v>6010.7753360515026</v>
      </c>
      <c r="E60" s="1074">
        <f t="shared" si="31"/>
        <v>0</v>
      </c>
      <c r="F60" s="1074">
        <f>'Table 4 Level 3'!P59</f>
        <v>951.45</v>
      </c>
      <c r="G60" s="1074">
        <f t="shared" si="32"/>
        <v>0</v>
      </c>
      <c r="H60" s="1037">
        <f t="shared" si="33"/>
        <v>0</v>
      </c>
      <c r="I60" s="1417">
        <f>'[1]Oct midyear DArbonne'!K60</f>
        <v>0</v>
      </c>
      <c r="J60" s="1417">
        <f>'[1]Feb midyear DArbonne'!K60</f>
        <v>0</v>
      </c>
      <c r="K60" s="1417">
        <f t="shared" si="34"/>
        <v>0</v>
      </c>
      <c r="L60" s="1037">
        <f t="shared" si="35"/>
        <v>0</v>
      </c>
      <c r="M60" s="1084">
        <f t="shared" si="36"/>
        <v>0</v>
      </c>
      <c r="N60" s="1037">
        <f t="shared" si="37"/>
        <v>0</v>
      </c>
      <c r="O60" s="1037">
        <v>0</v>
      </c>
      <c r="P60" s="1037">
        <f t="shared" si="38"/>
        <v>0</v>
      </c>
      <c r="Q60" s="1037">
        <v>0</v>
      </c>
      <c r="R60" s="1037">
        <f t="shared" si="39"/>
        <v>0</v>
      </c>
      <c r="S60" s="1037">
        <f t="shared" si="40"/>
        <v>0</v>
      </c>
      <c r="T60" s="1029">
        <f>'[14]FY2012-13 Final'!K61</f>
        <v>3397</v>
      </c>
      <c r="U60" s="1031">
        <f t="shared" si="53"/>
        <v>0</v>
      </c>
      <c r="V60" s="1439">
        <f>'[20]Oct midyear DArbonne'!E60</f>
        <v>0</v>
      </c>
      <c r="W60" s="1443">
        <f t="shared" si="41"/>
        <v>0</v>
      </c>
      <c r="X60" s="1474">
        <f>'[20]Feb midyear DArbonne'!E60</f>
        <v>0</v>
      </c>
      <c r="Y60" s="1470">
        <f t="shared" si="42"/>
        <v>0</v>
      </c>
      <c r="Z60" s="1470">
        <f t="shared" si="43"/>
        <v>0</v>
      </c>
      <c r="AA60" s="1031">
        <f t="shared" si="44"/>
        <v>0</v>
      </c>
      <c r="AB60" s="1090">
        <f t="shared" si="45"/>
        <v>0</v>
      </c>
      <c r="AC60" s="1031">
        <f t="shared" si="46"/>
        <v>0</v>
      </c>
      <c r="AD60" s="1031">
        <v>0</v>
      </c>
      <c r="AE60" s="1031">
        <f t="shared" si="47"/>
        <v>0</v>
      </c>
      <c r="AF60" s="1031">
        <v>0</v>
      </c>
      <c r="AG60" s="1031">
        <f t="shared" si="48"/>
        <v>0</v>
      </c>
      <c r="AH60" s="1031">
        <f t="shared" si="49"/>
        <v>0</v>
      </c>
      <c r="AI60" s="1032">
        <f t="shared" si="50"/>
        <v>0</v>
      </c>
      <c r="AJ60" s="1032">
        <f t="shared" si="54"/>
        <v>0</v>
      </c>
      <c r="AL60" s="49">
        <f t="shared" si="51"/>
        <v>0</v>
      </c>
      <c r="AM60" s="49">
        <f>-'[22]Table 5C1B-DArbonne'!AN60</f>
        <v>0</v>
      </c>
      <c r="AN60">
        <f>-'[21]Table 5C1B-DArbonne'!P60</f>
        <v>0</v>
      </c>
      <c r="AO60" s="49">
        <f t="shared" si="52"/>
        <v>0</v>
      </c>
    </row>
    <row r="61" spans="1:41">
      <c r="A61" s="979">
        <v>55</v>
      </c>
      <c r="B61" s="980" t="s">
        <v>155</v>
      </c>
      <c r="C61" s="1172">
        <f>'Table 8 2.1.12 MFP Funded'!S58</f>
        <v>0</v>
      </c>
      <c r="D61" s="986">
        <f>'Table 3 Levels 1&amp;2'!AL62</f>
        <v>4103.7453851303217</v>
      </c>
      <c r="E61" s="1075">
        <f t="shared" si="31"/>
        <v>0</v>
      </c>
      <c r="F61" s="1075">
        <f>'Table 4 Level 3'!P60</f>
        <v>795.14</v>
      </c>
      <c r="G61" s="1075">
        <f t="shared" si="32"/>
        <v>0</v>
      </c>
      <c r="H61" s="1038">
        <f t="shared" si="33"/>
        <v>0</v>
      </c>
      <c r="I61" s="1418">
        <f>'[1]Oct midyear DArbonne'!K61</f>
        <v>0</v>
      </c>
      <c r="J61" s="1418">
        <f>'[1]Feb midyear DArbonne'!K61</f>
        <v>0</v>
      </c>
      <c r="K61" s="1418">
        <f t="shared" si="34"/>
        <v>0</v>
      </c>
      <c r="L61" s="1038">
        <f t="shared" si="35"/>
        <v>0</v>
      </c>
      <c r="M61" s="1085">
        <f t="shared" si="36"/>
        <v>0</v>
      </c>
      <c r="N61" s="1038">
        <f t="shared" si="37"/>
        <v>0</v>
      </c>
      <c r="O61" s="1038">
        <v>0</v>
      </c>
      <c r="P61" s="1038">
        <f t="shared" si="38"/>
        <v>0</v>
      </c>
      <c r="Q61" s="1038">
        <v>0</v>
      </c>
      <c r="R61" s="1038">
        <f t="shared" si="39"/>
        <v>0</v>
      </c>
      <c r="S61" s="1038">
        <f t="shared" si="40"/>
        <v>0</v>
      </c>
      <c r="T61" s="1034">
        <f>'[14]FY2012-13 Final'!K62</f>
        <v>3139</v>
      </c>
      <c r="U61" s="1035">
        <f t="shared" si="53"/>
        <v>0</v>
      </c>
      <c r="V61" s="1440">
        <f>'[20]Oct midyear DArbonne'!E61</f>
        <v>0</v>
      </c>
      <c r="W61" s="1445">
        <f t="shared" si="41"/>
        <v>0</v>
      </c>
      <c r="X61" s="1475">
        <f>'[20]Feb midyear DArbonne'!E61</f>
        <v>0</v>
      </c>
      <c r="Y61" s="1471">
        <f t="shared" si="42"/>
        <v>0</v>
      </c>
      <c r="Z61" s="1471">
        <f t="shared" si="43"/>
        <v>0</v>
      </c>
      <c r="AA61" s="1035">
        <f t="shared" si="44"/>
        <v>0</v>
      </c>
      <c r="AB61" s="1091">
        <f t="shared" si="45"/>
        <v>0</v>
      </c>
      <c r="AC61" s="1035">
        <f t="shared" si="46"/>
        <v>0</v>
      </c>
      <c r="AD61" s="1035">
        <v>0</v>
      </c>
      <c r="AE61" s="1035">
        <f t="shared" si="47"/>
        <v>0</v>
      </c>
      <c r="AF61" s="1035">
        <v>0</v>
      </c>
      <c r="AG61" s="1035">
        <f t="shared" si="48"/>
        <v>0</v>
      </c>
      <c r="AH61" s="1035">
        <f t="shared" si="49"/>
        <v>0</v>
      </c>
      <c r="AI61" s="1036">
        <f t="shared" si="50"/>
        <v>0</v>
      </c>
      <c r="AJ61" s="1036">
        <f t="shared" si="54"/>
        <v>0</v>
      </c>
      <c r="AL61" s="49">
        <f t="shared" si="51"/>
        <v>0</v>
      </c>
      <c r="AM61" s="49">
        <f>-'[22]Table 5C1B-DArbonne'!AN61</f>
        <v>0</v>
      </c>
      <c r="AN61">
        <f>-'[21]Table 5C1B-DArbonne'!P61</f>
        <v>0</v>
      </c>
      <c r="AO61" s="49">
        <f t="shared" si="52"/>
        <v>0</v>
      </c>
    </row>
    <row r="62" spans="1:41">
      <c r="A62" s="968">
        <v>56</v>
      </c>
      <c r="B62" s="969" t="s">
        <v>156</v>
      </c>
      <c r="C62" s="1173">
        <f>'Table 8 2.1.12 MFP Funded'!S59</f>
        <v>352</v>
      </c>
      <c r="D62" s="988">
        <f>'Table 3 Levels 1&amp;2'!AL63</f>
        <v>5076.2407002640311</v>
      </c>
      <c r="E62" s="1076">
        <f t="shared" si="31"/>
        <v>1786836.7264929391</v>
      </c>
      <c r="F62" s="1076">
        <f>'Table 4 Level 3'!P61</f>
        <v>614.66000000000008</v>
      </c>
      <c r="G62" s="1076">
        <f t="shared" si="32"/>
        <v>216360.32000000004</v>
      </c>
      <c r="H62" s="1039">
        <f t="shared" si="33"/>
        <v>2003197.0464929391</v>
      </c>
      <c r="I62" s="1419">
        <f>'[1]Oct midyear DArbonne'!K62</f>
        <v>1012980.3246469975</v>
      </c>
      <c r="J62" s="1419">
        <f>'[1]Feb midyear DArbonne'!K62</f>
        <v>2845.4503501320155</v>
      </c>
      <c r="K62" s="1419">
        <f t="shared" si="34"/>
        <v>1015825.7749971296</v>
      </c>
      <c r="L62" s="1039">
        <f t="shared" si="35"/>
        <v>3019022.8214900689</v>
      </c>
      <c r="M62" s="1086">
        <f t="shared" si="36"/>
        <v>-7547.5570537251724</v>
      </c>
      <c r="N62" s="1039">
        <f t="shared" si="37"/>
        <v>3011475.2644363437</v>
      </c>
      <c r="O62" s="1211">
        <v>-4837.7519524325298</v>
      </c>
      <c r="P62" s="1039">
        <f t="shared" si="38"/>
        <v>3006637.5124839111</v>
      </c>
      <c r="Q62" s="1039">
        <f>165410+274353+255134+255134+255134+255134+255134+255134+255841+255841+8454</f>
        <v>2490703</v>
      </c>
      <c r="R62" s="1039">
        <f t="shared" si="39"/>
        <v>515934.51248391112</v>
      </c>
      <c r="S62" s="1039">
        <f t="shared" si="40"/>
        <v>257967.25624195556</v>
      </c>
      <c r="T62" s="1029">
        <f>'[14]FY2012-13 Final'!K63</f>
        <v>2781</v>
      </c>
      <c r="U62" s="973">
        <f t="shared" si="53"/>
        <v>978912</v>
      </c>
      <c r="V62" s="1441">
        <f>'[20]Oct midyear DArbonne'!E62</f>
        <v>178</v>
      </c>
      <c r="W62" s="1444">
        <f t="shared" si="41"/>
        <v>495018</v>
      </c>
      <c r="X62" s="1466">
        <f>'[20]Feb midyear DArbonne'!E62</f>
        <v>1</v>
      </c>
      <c r="Y62" s="1444">
        <f t="shared" si="42"/>
        <v>1390.5</v>
      </c>
      <c r="Z62" s="1444">
        <f t="shared" si="43"/>
        <v>496408.5</v>
      </c>
      <c r="AA62" s="973">
        <f t="shared" si="44"/>
        <v>1475320.5</v>
      </c>
      <c r="AB62" s="1089">
        <f t="shared" si="45"/>
        <v>-3688.30125</v>
      </c>
      <c r="AC62" s="973">
        <f t="shared" si="46"/>
        <v>1471632.19875</v>
      </c>
      <c r="AD62" s="973">
        <v>0</v>
      </c>
      <c r="AE62" s="973">
        <f t="shared" si="47"/>
        <v>1471632.19875</v>
      </c>
      <c r="AF62" s="973">
        <f>76954+127514+118595+118595+118595+118595+118595+118595+137179+137179</f>
        <v>1190396</v>
      </c>
      <c r="AG62" s="973">
        <f t="shared" si="48"/>
        <v>281236.19874999998</v>
      </c>
      <c r="AH62" s="973">
        <f t="shared" si="49"/>
        <v>140618.09937499999</v>
      </c>
      <c r="AI62" s="974">
        <f t="shared" si="50"/>
        <v>4478269.7112339111</v>
      </c>
      <c r="AJ62" s="974">
        <f t="shared" si="54"/>
        <v>398585.35561695555</v>
      </c>
      <c r="AL62" s="49">
        <f t="shared" si="51"/>
        <v>-3688.30125</v>
      </c>
      <c r="AM62" s="49">
        <f>-'[22]Table 5C1B-DArbonne'!AN62</f>
        <v>3671.06</v>
      </c>
      <c r="AN62">
        <f>-'[21]Table 5C1B-DArbonne'!P62</f>
        <v>2314.4</v>
      </c>
      <c r="AO62" s="49">
        <f t="shared" si="52"/>
        <v>-17.241250000000036</v>
      </c>
    </row>
    <row r="63" spans="1:41">
      <c r="A63" s="975">
        <v>57</v>
      </c>
      <c r="B63" s="976" t="s">
        <v>157</v>
      </c>
      <c r="C63" s="1171">
        <f>'Table 8 2.1.12 MFP Funded'!S60</f>
        <v>0</v>
      </c>
      <c r="D63" s="984">
        <f>'Table 3 Levels 1&amp;2'!AL64</f>
        <v>4409.0708210621269</v>
      </c>
      <c r="E63" s="1074">
        <f t="shared" si="31"/>
        <v>0</v>
      </c>
      <c r="F63" s="1074">
        <f>'Table 4 Level 3'!P62</f>
        <v>764.51</v>
      </c>
      <c r="G63" s="1074">
        <f t="shared" si="32"/>
        <v>0</v>
      </c>
      <c r="H63" s="1037">
        <f t="shared" si="33"/>
        <v>0</v>
      </c>
      <c r="I63" s="1417">
        <f>'[1]Oct midyear DArbonne'!K63</f>
        <v>0</v>
      </c>
      <c r="J63" s="1417">
        <f>'[1]Feb midyear DArbonne'!K63</f>
        <v>0</v>
      </c>
      <c r="K63" s="1417">
        <f t="shared" si="34"/>
        <v>0</v>
      </c>
      <c r="L63" s="1037">
        <f t="shared" si="35"/>
        <v>0</v>
      </c>
      <c r="M63" s="1084">
        <f t="shared" si="36"/>
        <v>0</v>
      </c>
      <c r="N63" s="1037">
        <f t="shared" si="37"/>
        <v>0</v>
      </c>
      <c r="O63" s="1037">
        <v>0</v>
      </c>
      <c r="P63" s="1037">
        <f t="shared" si="38"/>
        <v>0</v>
      </c>
      <c r="Q63" s="1037">
        <v>0</v>
      </c>
      <c r="R63" s="1037">
        <f t="shared" si="39"/>
        <v>0</v>
      </c>
      <c r="S63" s="1037">
        <f t="shared" si="40"/>
        <v>0</v>
      </c>
      <c r="T63" s="1029">
        <f>'[14]FY2012-13 Final'!K64</f>
        <v>2991</v>
      </c>
      <c r="U63" s="1031">
        <f t="shared" si="53"/>
        <v>0</v>
      </c>
      <c r="V63" s="1439">
        <f>'[20]Oct midyear DArbonne'!E63</f>
        <v>0</v>
      </c>
      <c r="W63" s="1443">
        <f t="shared" si="41"/>
        <v>0</v>
      </c>
      <c r="X63" s="1474">
        <f>'[20]Feb midyear DArbonne'!E63</f>
        <v>0</v>
      </c>
      <c r="Y63" s="1470">
        <f t="shared" si="42"/>
        <v>0</v>
      </c>
      <c r="Z63" s="1470">
        <f t="shared" si="43"/>
        <v>0</v>
      </c>
      <c r="AA63" s="1031">
        <f t="shared" si="44"/>
        <v>0</v>
      </c>
      <c r="AB63" s="1090">
        <f t="shared" si="45"/>
        <v>0</v>
      </c>
      <c r="AC63" s="1031">
        <f t="shared" si="46"/>
        <v>0</v>
      </c>
      <c r="AD63" s="1031">
        <v>0</v>
      </c>
      <c r="AE63" s="1031">
        <f t="shared" si="47"/>
        <v>0</v>
      </c>
      <c r="AF63" s="1031">
        <v>0</v>
      </c>
      <c r="AG63" s="1031">
        <f t="shared" si="48"/>
        <v>0</v>
      </c>
      <c r="AH63" s="1031">
        <f t="shared" si="49"/>
        <v>0</v>
      </c>
      <c r="AI63" s="1032">
        <f t="shared" si="50"/>
        <v>0</v>
      </c>
      <c r="AJ63" s="1032">
        <f t="shared" si="54"/>
        <v>0</v>
      </c>
      <c r="AL63" s="49">
        <f t="shared" si="51"/>
        <v>0</v>
      </c>
      <c r="AM63" s="49">
        <f>-'[22]Table 5C1B-DArbonne'!AN63</f>
        <v>0</v>
      </c>
      <c r="AN63">
        <f>-'[21]Table 5C1B-DArbonne'!P63</f>
        <v>0</v>
      </c>
      <c r="AO63" s="49">
        <f t="shared" si="52"/>
        <v>0</v>
      </c>
    </row>
    <row r="64" spans="1:41">
      <c r="A64" s="975">
        <v>58</v>
      </c>
      <c r="B64" s="976" t="s">
        <v>158</v>
      </c>
      <c r="C64" s="1171">
        <f>'Table 8 2.1.12 MFP Funded'!S61</f>
        <v>0</v>
      </c>
      <c r="D64" s="984">
        <f>'Table 3 Levels 1&amp;2'!AL65</f>
        <v>5341.4512666086594</v>
      </c>
      <c r="E64" s="1074">
        <f t="shared" si="31"/>
        <v>0</v>
      </c>
      <c r="F64" s="1074">
        <f>'Table 4 Level 3'!P63</f>
        <v>697.04</v>
      </c>
      <c r="G64" s="1074">
        <f t="shared" si="32"/>
        <v>0</v>
      </c>
      <c r="H64" s="1037">
        <f t="shared" si="33"/>
        <v>0</v>
      </c>
      <c r="I64" s="1417">
        <f>'[1]Oct midyear DArbonne'!K64</f>
        <v>0</v>
      </c>
      <c r="J64" s="1417">
        <f>'[1]Feb midyear DArbonne'!K64</f>
        <v>0</v>
      </c>
      <c r="K64" s="1417">
        <f t="shared" si="34"/>
        <v>0</v>
      </c>
      <c r="L64" s="1037">
        <f t="shared" si="35"/>
        <v>0</v>
      </c>
      <c r="M64" s="1084">
        <f t="shared" si="36"/>
        <v>0</v>
      </c>
      <c r="N64" s="1037">
        <f t="shared" si="37"/>
        <v>0</v>
      </c>
      <c r="O64" s="1037">
        <v>0</v>
      </c>
      <c r="P64" s="1037">
        <f t="shared" si="38"/>
        <v>0</v>
      </c>
      <c r="Q64" s="1037">
        <v>0</v>
      </c>
      <c r="R64" s="1037">
        <f t="shared" si="39"/>
        <v>0</v>
      </c>
      <c r="S64" s="1037">
        <f t="shared" si="40"/>
        <v>0</v>
      </c>
      <c r="T64" s="1029">
        <f>'[14]FY2012-13 Final'!K65</f>
        <v>2057</v>
      </c>
      <c r="U64" s="1031">
        <f t="shared" si="53"/>
        <v>0</v>
      </c>
      <c r="V64" s="1439">
        <f>'[20]Oct midyear DArbonne'!E64</f>
        <v>0</v>
      </c>
      <c r="W64" s="1443">
        <f t="shared" si="41"/>
        <v>0</v>
      </c>
      <c r="X64" s="1474">
        <f>'[20]Feb midyear DArbonne'!E64</f>
        <v>0</v>
      </c>
      <c r="Y64" s="1470">
        <f t="shared" si="42"/>
        <v>0</v>
      </c>
      <c r="Z64" s="1470">
        <f t="shared" si="43"/>
        <v>0</v>
      </c>
      <c r="AA64" s="1031">
        <f t="shared" si="44"/>
        <v>0</v>
      </c>
      <c r="AB64" s="1090">
        <f t="shared" si="45"/>
        <v>0</v>
      </c>
      <c r="AC64" s="1031">
        <f t="shared" si="46"/>
        <v>0</v>
      </c>
      <c r="AD64" s="1031">
        <v>0</v>
      </c>
      <c r="AE64" s="1031">
        <f t="shared" si="47"/>
        <v>0</v>
      </c>
      <c r="AF64" s="1031">
        <v>0</v>
      </c>
      <c r="AG64" s="1031">
        <f t="shared" si="48"/>
        <v>0</v>
      </c>
      <c r="AH64" s="1031">
        <f t="shared" si="49"/>
        <v>0</v>
      </c>
      <c r="AI64" s="1032">
        <f t="shared" si="50"/>
        <v>0</v>
      </c>
      <c r="AJ64" s="1032">
        <f t="shared" si="54"/>
        <v>0</v>
      </c>
      <c r="AL64" s="49">
        <f t="shared" si="51"/>
        <v>0</v>
      </c>
      <c r="AM64" s="49">
        <f>-'[22]Table 5C1B-DArbonne'!AN64</f>
        <v>0</v>
      </c>
      <c r="AN64">
        <f>-'[21]Table 5C1B-DArbonne'!P64</f>
        <v>0</v>
      </c>
      <c r="AO64" s="49">
        <f t="shared" si="52"/>
        <v>0</v>
      </c>
    </row>
    <row r="65" spans="1:41">
      <c r="A65" s="975">
        <v>59</v>
      </c>
      <c r="B65" s="976" t="s">
        <v>159</v>
      </c>
      <c r="C65" s="1171">
        <f>'Table 8 2.1.12 MFP Funded'!S62</f>
        <v>0</v>
      </c>
      <c r="D65" s="984">
        <f>'Table 3 Levels 1&amp;2'!AL66</f>
        <v>6342.1695127641487</v>
      </c>
      <c r="E65" s="1074">
        <f t="shared" si="31"/>
        <v>0</v>
      </c>
      <c r="F65" s="1074">
        <f>'Table 4 Level 3'!P64</f>
        <v>689.52</v>
      </c>
      <c r="G65" s="1074">
        <f t="shared" si="32"/>
        <v>0</v>
      </c>
      <c r="H65" s="1037">
        <f t="shared" si="33"/>
        <v>0</v>
      </c>
      <c r="I65" s="1417">
        <f>'[1]Oct midyear DArbonne'!K65</f>
        <v>0</v>
      </c>
      <c r="J65" s="1417">
        <f>'[1]Feb midyear DArbonne'!K65</f>
        <v>0</v>
      </c>
      <c r="K65" s="1417">
        <f t="shared" si="34"/>
        <v>0</v>
      </c>
      <c r="L65" s="1037">
        <f t="shared" si="35"/>
        <v>0</v>
      </c>
      <c r="M65" s="1084">
        <f t="shared" si="36"/>
        <v>0</v>
      </c>
      <c r="N65" s="1037">
        <f t="shared" si="37"/>
        <v>0</v>
      </c>
      <c r="O65" s="1037">
        <v>0</v>
      </c>
      <c r="P65" s="1037">
        <f t="shared" si="38"/>
        <v>0</v>
      </c>
      <c r="Q65" s="1037">
        <v>0</v>
      </c>
      <c r="R65" s="1037">
        <f t="shared" si="39"/>
        <v>0</v>
      </c>
      <c r="S65" s="1037">
        <f t="shared" si="40"/>
        <v>0</v>
      </c>
      <c r="T65" s="1029">
        <f>'[14]FY2012-13 Final'!K66</f>
        <v>1530</v>
      </c>
      <c r="U65" s="1031">
        <f t="shared" si="53"/>
        <v>0</v>
      </c>
      <c r="V65" s="1439">
        <f>'[20]Oct midyear DArbonne'!E65</f>
        <v>0</v>
      </c>
      <c r="W65" s="1443">
        <f t="shared" si="41"/>
        <v>0</v>
      </c>
      <c r="X65" s="1474">
        <f>'[20]Feb midyear DArbonne'!E65</f>
        <v>0</v>
      </c>
      <c r="Y65" s="1470">
        <f t="shared" si="42"/>
        <v>0</v>
      </c>
      <c r="Z65" s="1470">
        <f t="shared" si="43"/>
        <v>0</v>
      </c>
      <c r="AA65" s="1031">
        <f t="shared" si="44"/>
        <v>0</v>
      </c>
      <c r="AB65" s="1090">
        <f t="shared" si="45"/>
        <v>0</v>
      </c>
      <c r="AC65" s="1031">
        <f t="shared" si="46"/>
        <v>0</v>
      </c>
      <c r="AD65" s="1031">
        <v>0</v>
      </c>
      <c r="AE65" s="1031">
        <f t="shared" si="47"/>
        <v>0</v>
      </c>
      <c r="AF65" s="1031">
        <v>0</v>
      </c>
      <c r="AG65" s="1031">
        <f t="shared" si="48"/>
        <v>0</v>
      </c>
      <c r="AH65" s="1031">
        <f t="shared" si="49"/>
        <v>0</v>
      </c>
      <c r="AI65" s="1032">
        <f t="shared" si="50"/>
        <v>0</v>
      </c>
      <c r="AJ65" s="1032">
        <f t="shared" si="54"/>
        <v>0</v>
      </c>
      <c r="AL65" s="49">
        <f t="shared" si="51"/>
        <v>0</v>
      </c>
      <c r="AM65" s="49">
        <f>-'[22]Table 5C1B-DArbonne'!AN65</f>
        <v>0</v>
      </c>
      <c r="AN65">
        <f>-'[21]Table 5C1B-DArbonne'!P65</f>
        <v>0</v>
      </c>
      <c r="AO65" s="49">
        <f t="shared" si="52"/>
        <v>0</v>
      </c>
    </row>
    <row r="66" spans="1:41">
      <c r="A66" s="979">
        <v>60</v>
      </c>
      <c r="B66" s="980" t="s">
        <v>160</v>
      </c>
      <c r="C66" s="1172">
        <f>'Table 8 2.1.12 MFP Funded'!S63</f>
        <v>0</v>
      </c>
      <c r="D66" s="986">
        <f>'Table 3 Levels 1&amp;2'!AL67</f>
        <v>4836.7830262372299</v>
      </c>
      <c r="E66" s="1075">
        <f t="shared" si="31"/>
        <v>0</v>
      </c>
      <c r="F66" s="1075">
        <f>'Table 4 Level 3'!P65</f>
        <v>594.04</v>
      </c>
      <c r="G66" s="1075">
        <f t="shared" si="32"/>
        <v>0</v>
      </c>
      <c r="H66" s="1038">
        <f t="shared" si="33"/>
        <v>0</v>
      </c>
      <c r="I66" s="1418">
        <f>'[1]Oct midyear DArbonne'!K66</f>
        <v>0</v>
      </c>
      <c r="J66" s="1418">
        <f>'[1]Feb midyear DArbonne'!K66</f>
        <v>0</v>
      </c>
      <c r="K66" s="1418">
        <f t="shared" si="34"/>
        <v>0</v>
      </c>
      <c r="L66" s="1038">
        <f t="shared" si="35"/>
        <v>0</v>
      </c>
      <c r="M66" s="1085">
        <f t="shared" si="36"/>
        <v>0</v>
      </c>
      <c r="N66" s="1038">
        <f t="shared" si="37"/>
        <v>0</v>
      </c>
      <c r="O66" s="1038">
        <v>0</v>
      </c>
      <c r="P66" s="1038">
        <f t="shared" si="38"/>
        <v>0</v>
      </c>
      <c r="Q66" s="1038">
        <v>0</v>
      </c>
      <c r="R66" s="1038">
        <f t="shared" si="39"/>
        <v>0</v>
      </c>
      <c r="S66" s="1038">
        <f t="shared" si="40"/>
        <v>0</v>
      </c>
      <c r="T66" s="1034">
        <f>'[14]FY2012-13 Final'!K67</f>
        <v>3925</v>
      </c>
      <c r="U66" s="1035">
        <f t="shared" si="53"/>
        <v>0</v>
      </c>
      <c r="V66" s="1440">
        <f>'[20]Oct midyear DArbonne'!E66</f>
        <v>0</v>
      </c>
      <c r="W66" s="1445">
        <f t="shared" si="41"/>
        <v>0</v>
      </c>
      <c r="X66" s="1475">
        <f>'[20]Feb midyear DArbonne'!E66</f>
        <v>0</v>
      </c>
      <c r="Y66" s="1471">
        <f t="shared" si="42"/>
        <v>0</v>
      </c>
      <c r="Z66" s="1471">
        <f t="shared" si="43"/>
        <v>0</v>
      </c>
      <c r="AA66" s="1035">
        <f t="shared" si="44"/>
        <v>0</v>
      </c>
      <c r="AB66" s="1091">
        <f t="shared" si="45"/>
        <v>0</v>
      </c>
      <c r="AC66" s="1035">
        <f t="shared" si="46"/>
        <v>0</v>
      </c>
      <c r="AD66" s="1035">
        <v>0</v>
      </c>
      <c r="AE66" s="1035">
        <f t="shared" si="47"/>
        <v>0</v>
      </c>
      <c r="AF66" s="1035">
        <v>0</v>
      </c>
      <c r="AG66" s="1035">
        <f t="shared" si="48"/>
        <v>0</v>
      </c>
      <c r="AH66" s="1035">
        <f t="shared" si="49"/>
        <v>0</v>
      </c>
      <c r="AI66" s="1036">
        <f t="shared" si="50"/>
        <v>0</v>
      </c>
      <c r="AJ66" s="1036">
        <f t="shared" si="54"/>
        <v>0</v>
      </c>
      <c r="AL66" s="49">
        <f t="shared" si="51"/>
        <v>0</v>
      </c>
      <c r="AM66" s="49">
        <f>-'[22]Table 5C1B-DArbonne'!AN66</f>
        <v>0</v>
      </c>
      <c r="AN66">
        <f>-'[21]Table 5C1B-DArbonne'!P66</f>
        <v>0</v>
      </c>
      <c r="AO66" s="49">
        <f t="shared" si="52"/>
        <v>0</v>
      </c>
    </row>
    <row r="67" spans="1:41">
      <c r="A67" s="968">
        <v>61</v>
      </c>
      <c r="B67" s="969" t="s">
        <v>161</v>
      </c>
      <c r="C67" s="1173">
        <f>'Table 8 2.1.12 MFP Funded'!S64</f>
        <v>0</v>
      </c>
      <c r="D67" s="988">
        <f>'Table 3 Levels 1&amp;2'!AL68</f>
        <v>3068.5254213785697</v>
      </c>
      <c r="E67" s="1076">
        <f t="shared" si="31"/>
        <v>0</v>
      </c>
      <c r="F67" s="1076">
        <f>'Table 4 Level 3'!P66</f>
        <v>833.70999999999992</v>
      </c>
      <c r="G67" s="1076">
        <f t="shared" si="32"/>
        <v>0</v>
      </c>
      <c r="H67" s="1039">
        <f t="shared" si="33"/>
        <v>0</v>
      </c>
      <c r="I67" s="1419">
        <f>'[1]Oct midyear DArbonne'!K67</f>
        <v>0</v>
      </c>
      <c r="J67" s="1419">
        <f>'[1]Feb midyear DArbonne'!K67</f>
        <v>0</v>
      </c>
      <c r="K67" s="1419">
        <f t="shared" si="34"/>
        <v>0</v>
      </c>
      <c r="L67" s="1039">
        <f t="shared" si="35"/>
        <v>0</v>
      </c>
      <c r="M67" s="1086">
        <f t="shared" si="36"/>
        <v>0</v>
      </c>
      <c r="N67" s="1039">
        <f t="shared" si="37"/>
        <v>0</v>
      </c>
      <c r="O67" s="1039">
        <v>0</v>
      </c>
      <c r="P67" s="1039">
        <f t="shared" si="38"/>
        <v>0</v>
      </c>
      <c r="Q67" s="1039">
        <v>0</v>
      </c>
      <c r="R67" s="1039">
        <f t="shared" si="39"/>
        <v>0</v>
      </c>
      <c r="S67" s="1039">
        <f t="shared" si="40"/>
        <v>0</v>
      </c>
      <c r="T67" s="1029">
        <f>'[14]FY2012-13 Final'!K68</f>
        <v>6698</v>
      </c>
      <c r="U67" s="973">
        <f t="shared" si="53"/>
        <v>0</v>
      </c>
      <c r="V67" s="1441">
        <f>'[20]Oct midyear DArbonne'!E67</f>
        <v>0</v>
      </c>
      <c r="W67" s="1444">
        <f t="shared" si="41"/>
        <v>0</v>
      </c>
      <c r="X67" s="1466">
        <f>'[20]Feb midyear DArbonne'!E67</f>
        <v>0</v>
      </c>
      <c r="Y67" s="1444">
        <f t="shared" si="42"/>
        <v>0</v>
      </c>
      <c r="Z67" s="1444">
        <f t="shared" si="43"/>
        <v>0</v>
      </c>
      <c r="AA67" s="973">
        <f t="shared" si="44"/>
        <v>0</v>
      </c>
      <c r="AB67" s="1089">
        <f t="shared" si="45"/>
        <v>0</v>
      </c>
      <c r="AC67" s="973">
        <f t="shared" si="46"/>
        <v>0</v>
      </c>
      <c r="AD67" s="973">
        <v>0</v>
      </c>
      <c r="AE67" s="973">
        <f t="shared" si="47"/>
        <v>0</v>
      </c>
      <c r="AF67" s="973">
        <v>0</v>
      </c>
      <c r="AG67" s="973">
        <f t="shared" si="48"/>
        <v>0</v>
      </c>
      <c r="AH67" s="973">
        <f t="shared" si="49"/>
        <v>0</v>
      </c>
      <c r="AI67" s="974">
        <f t="shared" si="50"/>
        <v>0</v>
      </c>
      <c r="AJ67" s="974">
        <f t="shared" si="54"/>
        <v>0</v>
      </c>
      <c r="AL67" s="49">
        <f t="shared" si="51"/>
        <v>0</v>
      </c>
      <c r="AM67" s="49">
        <f>-'[22]Table 5C1B-DArbonne'!AN67</f>
        <v>0</v>
      </c>
      <c r="AN67">
        <f>-'[21]Table 5C1B-DArbonne'!P67</f>
        <v>0</v>
      </c>
      <c r="AO67" s="49">
        <f t="shared" si="52"/>
        <v>0</v>
      </c>
    </row>
    <row r="68" spans="1:41">
      <c r="A68" s="975">
        <v>62</v>
      </c>
      <c r="B68" s="976" t="s">
        <v>162</v>
      </c>
      <c r="C68" s="1171">
        <f>'Table 8 2.1.12 MFP Funded'!S65</f>
        <v>0</v>
      </c>
      <c r="D68" s="984">
        <f>'Table 3 Levels 1&amp;2'!AL69</f>
        <v>5577.0282124990472</v>
      </c>
      <c r="E68" s="1074">
        <f t="shared" si="31"/>
        <v>0</v>
      </c>
      <c r="F68" s="1074">
        <f>'Table 4 Level 3'!P67</f>
        <v>516.08000000000004</v>
      </c>
      <c r="G68" s="1074">
        <f t="shared" si="32"/>
        <v>0</v>
      </c>
      <c r="H68" s="1037">
        <f t="shared" si="33"/>
        <v>0</v>
      </c>
      <c r="I68" s="1417">
        <f>'[1]Oct midyear DArbonne'!K68</f>
        <v>0</v>
      </c>
      <c r="J68" s="1417">
        <f>'[1]Feb midyear DArbonne'!K68</f>
        <v>0</v>
      </c>
      <c r="K68" s="1417">
        <f t="shared" si="34"/>
        <v>0</v>
      </c>
      <c r="L68" s="1037">
        <f t="shared" si="35"/>
        <v>0</v>
      </c>
      <c r="M68" s="1084">
        <f t="shared" si="36"/>
        <v>0</v>
      </c>
      <c r="N68" s="1037">
        <f t="shared" si="37"/>
        <v>0</v>
      </c>
      <c r="O68" s="1037">
        <v>0</v>
      </c>
      <c r="P68" s="1037">
        <f t="shared" si="38"/>
        <v>0</v>
      </c>
      <c r="Q68" s="1037">
        <v>0</v>
      </c>
      <c r="R68" s="1037">
        <f t="shared" si="39"/>
        <v>0</v>
      </c>
      <c r="S68" s="1037">
        <f t="shared" si="40"/>
        <v>0</v>
      </c>
      <c r="T68" s="1029">
        <f>'[14]FY2012-13 Final'!K69</f>
        <v>1785</v>
      </c>
      <c r="U68" s="1031">
        <f t="shared" si="53"/>
        <v>0</v>
      </c>
      <c r="V68" s="1439">
        <f>'[20]Oct midyear DArbonne'!E68</f>
        <v>0</v>
      </c>
      <c r="W68" s="1443">
        <f t="shared" si="41"/>
        <v>0</v>
      </c>
      <c r="X68" s="1474">
        <f>'[20]Feb midyear DArbonne'!E68</f>
        <v>0</v>
      </c>
      <c r="Y68" s="1470">
        <f t="shared" si="42"/>
        <v>0</v>
      </c>
      <c r="Z68" s="1470">
        <f t="shared" si="43"/>
        <v>0</v>
      </c>
      <c r="AA68" s="1031">
        <f t="shared" si="44"/>
        <v>0</v>
      </c>
      <c r="AB68" s="1090">
        <f t="shared" si="45"/>
        <v>0</v>
      </c>
      <c r="AC68" s="1031">
        <f t="shared" si="46"/>
        <v>0</v>
      </c>
      <c r="AD68" s="1031">
        <v>0</v>
      </c>
      <c r="AE68" s="1031">
        <f t="shared" si="47"/>
        <v>0</v>
      </c>
      <c r="AF68" s="1031">
        <v>0</v>
      </c>
      <c r="AG68" s="1031">
        <f t="shared" si="48"/>
        <v>0</v>
      </c>
      <c r="AH68" s="1031">
        <f t="shared" si="49"/>
        <v>0</v>
      </c>
      <c r="AI68" s="1032">
        <f t="shared" si="50"/>
        <v>0</v>
      </c>
      <c r="AJ68" s="1032">
        <f t="shared" si="54"/>
        <v>0</v>
      </c>
      <c r="AL68" s="49">
        <f t="shared" si="51"/>
        <v>0</v>
      </c>
      <c r="AM68" s="49">
        <f>-'[22]Table 5C1B-DArbonne'!AN68</f>
        <v>0</v>
      </c>
      <c r="AN68">
        <f>-'[21]Table 5C1B-DArbonne'!P68</f>
        <v>0</v>
      </c>
      <c r="AO68" s="49">
        <f t="shared" si="52"/>
        <v>0</v>
      </c>
    </row>
    <row r="69" spans="1:41">
      <c r="A69" s="975">
        <v>63</v>
      </c>
      <c r="B69" s="976" t="s">
        <v>163</v>
      </c>
      <c r="C69" s="1171">
        <f>'Table 8 2.1.12 MFP Funded'!S66</f>
        <v>0</v>
      </c>
      <c r="D69" s="984">
        <f>'Table 3 Levels 1&amp;2'!AL70</f>
        <v>4427.207711317601</v>
      </c>
      <c r="E69" s="1074">
        <f t="shared" si="31"/>
        <v>0</v>
      </c>
      <c r="F69" s="1074">
        <f>'Table 4 Level 3'!P68</f>
        <v>756.79</v>
      </c>
      <c r="G69" s="1074">
        <f t="shared" si="32"/>
        <v>0</v>
      </c>
      <c r="H69" s="1037">
        <f t="shared" si="33"/>
        <v>0</v>
      </c>
      <c r="I69" s="1417">
        <f>'[1]Oct midyear DArbonne'!K69</f>
        <v>0</v>
      </c>
      <c r="J69" s="1417">
        <f>'[1]Feb midyear DArbonne'!K69</f>
        <v>0</v>
      </c>
      <c r="K69" s="1417">
        <f t="shared" si="34"/>
        <v>0</v>
      </c>
      <c r="L69" s="1037">
        <f t="shared" si="35"/>
        <v>0</v>
      </c>
      <c r="M69" s="1084">
        <f t="shared" si="36"/>
        <v>0</v>
      </c>
      <c r="N69" s="1037">
        <f t="shared" si="37"/>
        <v>0</v>
      </c>
      <c r="O69" s="1037">
        <v>0</v>
      </c>
      <c r="P69" s="1037">
        <f t="shared" si="38"/>
        <v>0</v>
      </c>
      <c r="Q69" s="1037">
        <v>0</v>
      </c>
      <c r="R69" s="1037">
        <f t="shared" si="39"/>
        <v>0</v>
      </c>
      <c r="S69" s="1037">
        <f t="shared" si="40"/>
        <v>0</v>
      </c>
      <c r="T69" s="1029">
        <f>'[14]FY2012-13 Final'!K70</f>
        <v>7190</v>
      </c>
      <c r="U69" s="1031">
        <f t="shared" si="53"/>
        <v>0</v>
      </c>
      <c r="V69" s="1439">
        <f>'[20]Oct midyear DArbonne'!E69</f>
        <v>0</v>
      </c>
      <c r="W69" s="1443">
        <f t="shared" si="41"/>
        <v>0</v>
      </c>
      <c r="X69" s="1474">
        <f>'[20]Feb midyear DArbonne'!E69</f>
        <v>0</v>
      </c>
      <c r="Y69" s="1470">
        <f t="shared" si="42"/>
        <v>0</v>
      </c>
      <c r="Z69" s="1470">
        <f t="shared" si="43"/>
        <v>0</v>
      </c>
      <c r="AA69" s="1031">
        <f t="shared" si="44"/>
        <v>0</v>
      </c>
      <c r="AB69" s="1090">
        <f t="shared" si="45"/>
        <v>0</v>
      </c>
      <c r="AC69" s="1031">
        <f t="shared" si="46"/>
        <v>0</v>
      </c>
      <c r="AD69" s="1031">
        <v>0</v>
      </c>
      <c r="AE69" s="1031">
        <f t="shared" si="47"/>
        <v>0</v>
      </c>
      <c r="AF69" s="1031">
        <v>0</v>
      </c>
      <c r="AG69" s="1031">
        <f t="shared" si="48"/>
        <v>0</v>
      </c>
      <c r="AH69" s="1031">
        <f t="shared" si="49"/>
        <v>0</v>
      </c>
      <c r="AI69" s="1032">
        <f t="shared" si="50"/>
        <v>0</v>
      </c>
      <c r="AJ69" s="1032">
        <f t="shared" si="54"/>
        <v>0</v>
      </c>
      <c r="AL69" s="49">
        <f t="shared" si="51"/>
        <v>0</v>
      </c>
      <c r="AM69" s="49">
        <f>-'[22]Table 5C1B-DArbonne'!AN69</f>
        <v>0</v>
      </c>
      <c r="AN69">
        <f>-'[21]Table 5C1B-DArbonne'!P69</f>
        <v>0</v>
      </c>
      <c r="AO69" s="49">
        <f t="shared" si="52"/>
        <v>0</v>
      </c>
    </row>
    <row r="70" spans="1:41">
      <c r="A70" s="975">
        <v>64</v>
      </c>
      <c r="B70" s="976" t="s">
        <v>164</v>
      </c>
      <c r="C70" s="1171">
        <f>'Table 8 2.1.12 MFP Funded'!S67</f>
        <v>0</v>
      </c>
      <c r="D70" s="984">
        <f>'Table 3 Levels 1&amp;2'!AL71</f>
        <v>5888.4725850181812</v>
      </c>
      <c r="E70" s="1074">
        <f t="shared" si="31"/>
        <v>0</v>
      </c>
      <c r="F70" s="1074">
        <f>'Table 4 Level 3'!P69</f>
        <v>592.66</v>
      </c>
      <c r="G70" s="1074">
        <f t="shared" si="32"/>
        <v>0</v>
      </c>
      <c r="H70" s="1037">
        <f t="shared" si="33"/>
        <v>0</v>
      </c>
      <c r="I70" s="1417">
        <f>'[1]Oct midyear DArbonne'!K70</f>
        <v>0</v>
      </c>
      <c r="J70" s="1417">
        <f>'[1]Feb midyear DArbonne'!K70</f>
        <v>0</v>
      </c>
      <c r="K70" s="1417">
        <f t="shared" si="34"/>
        <v>0</v>
      </c>
      <c r="L70" s="1037">
        <f t="shared" si="35"/>
        <v>0</v>
      </c>
      <c r="M70" s="1084">
        <f t="shared" si="36"/>
        <v>0</v>
      </c>
      <c r="N70" s="1037">
        <f t="shared" si="37"/>
        <v>0</v>
      </c>
      <c r="O70" s="1037">
        <v>0</v>
      </c>
      <c r="P70" s="1037">
        <f t="shared" si="38"/>
        <v>0</v>
      </c>
      <c r="Q70" s="1037">
        <v>0</v>
      </c>
      <c r="R70" s="1037">
        <f t="shared" si="39"/>
        <v>0</v>
      </c>
      <c r="S70" s="1037">
        <f t="shared" si="40"/>
        <v>0</v>
      </c>
      <c r="T70" s="1029">
        <f>'[14]FY2012-13 Final'!K71</f>
        <v>2702</v>
      </c>
      <c r="U70" s="1031">
        <f t="shared" si="53"/>
        <v>0</v>
      </c>
      <c r="V70" s="1439">
        <f>'[20]Oct midyear DArbonne'!E70</f>
        <v>0</v>
      </c>
      <c r="W70" s="1443">
        <f t="shared" si="41"/>
        <v>0</v>
      </c>
      <c r="X70" s="1474">
        <f>'[20]Feb midyear DArbonne'!E70</f>
        <v>0</v>
      </c>
      <c r="Y70" s="1470">
        <f t="shared" si="42"/>
        <v>0</v>
      </c>
      <c r="Z70" s="1470">
        <f t="shared" si="43"/>
        <v>0</v>
      </c>
      <c r="AA70" s="1031">
        <f t="shared" si="44"/>
        <v>0</v>
      </c>
      <c r="AB70" s="1090">
        <f t="shared" si="45"/>
        <v>0</v>
      </c>
      <c r="AC70" s="1031">
        <f t="shared" si="46"/>
        <v>0</v>
      </c>
      <c r="AD70" s="1031">
        <v>0</v>
      </c>
      <c r="AE70" s="1031">
        <f t="shared" si="47"/>
        <v>0</v>
      </c>
      <c r="AF70" s="1031">
        <v>0</v>
      </c>
      <c r="AG70" s="1031">
        <f t="shared" si="48"/>
        <v>0</v>
      </c>
      <c r="AH70" s="1031">
        <f t="shared" si="49"/>
        <v>0</v>
      </c>
      <c r="AI70" s="1032">
        <f t="shared" si="50"/>
        <v>0</v>
      </c>
      <c r="AJ70" s="1032">
        <f t="shared" si="54"/>
        <v>0</v>
      </c>
      <c r="AL70" s="49">
        <f t="shared" si="51"/>
        <v>0</v>
      </c>
      <c r="AM70" s="49">
        <f>-'[22]Table 5C1B-DArbonne'!AN70</f>
        <v>0</v>
      </c>
      <c r="AN70">
        <f>-'[21]Table 5C1B-DArbonne'!P70</f>
        <v>0</v>
      </c>
      <c r="AO70" s="49">
        <f t="shared" si="52"/>
        <v>0</v>
      </c>
    </row>
    <row r="71" spans="1:41">
      <c r="A71" s="979">
        <v>65</v>
      </c>
      <c r="B71" s="980" t="s">
        <v>165</v>
      </c>
      <c r="C71" s="1172">
        <f>'Table 8 2.1.12 MFP Funded'!S68</f>
        <v>0</v>
      </c>
      <c r="D71" s="986">
        <f>'Table 3 Levels 1&amp;2'!AL72</f>
        <v>4583.9609010774066</v>
      </c>
      <c r="E71" s="1075">
        <f t="shared" si="31"/>
        <v>0</v>
      </c>
      <c r="F71" s="1075">
        <f>'Table 4 Level 3'!P70</f>
        <v>829.12</v>
      </c>
      <c r="G71" s="1075">
        <f t="shared" si="32"/>
        <v>0</v>
      </c>
      <c r="H71" s="1038">
        <f t="shared" si="33"/>
        <v>0</v>
      </c>
      <c r="I71" s="1418">
        <f>'[1]Oct midyear DArbonne'!K71</f>
        <v>0</v>
      </c>
      <c r="J71" s="1418">
        <f>'[1]Feb midyear DArbonne'!K71</f>
        <v>8119.6213516161097</v>
      </c>
      <c r="K71" s="1418">
        <f t="shared" si="34"/>
        <v>8119.6213516161097</v>
      </c>
      <c r="L71" s="1038">
        <f t="shared" si="35"/>
        <v>8119.6213516161097</v>
      </c>
      <c r="M71" s="1085">
        <f t="shared" si="36"/>
        <v>-20.299053379040274</v>
      </c>
      <c r="N71" s="1038">
        <f t="shared" si="37"/>
        <v>8099.3222982370698</v>
      </c>
      <c r="O71" s="1038">
        <v>0</v>
      </c>
      <c r="P71" s="1038">
        <f t="shared" si="38"/>
        <v>8099.3222982370698</v>
      </c>
      <c r="Q71" s="1038">
        <f>2032+2032</f>
        <v>4064</v>
      </c>
      <c r="R71" s="1038">
        <f t="shared" si="39"/>
        <v>4035.3222982370698</v>
      </c>
      <c r="S71" s="1038">
        <f t="shared" si="40"/>
        <v>2017.6611491185349</v>
      </c>
      <c r="T71" s="1034">
        <f>'[14]FY2012-13 Final'!K72</f>
        <v>4936</v>
      </c>
      <c r="U71" s="1035">
        <f t="shared" ref="U71:U75" si="55">C71*T71</f>
        <v>0</v>
      </c>
      <c r="V71" s="1440">
        <f>'[20]Oct midyear DArbonne'!E71</f>
        <v>0</v>
      </c>
      <c r="W71" s="1445">
        <f t="shared" si="41"/>
        <v>0</v>
      </c>
      <c r="X71" s="1475">
        <f>'[20]Feb midyear DArbonne'!E71</f>
        <v>3</v>
      </c>
      <c r="Y71" s="1471">
        <f t="shared" si="42"/>
        <v>7404</v>
      </c>
      <c r="Z71" s="1471">
        <f t="shared" si="43"/>
        <v>7404</v>
      </c>
      <c r="AA71" s="1035">
        <f>U71+Z71</f>
        <v>7404</v>
      </c>
      <c r="AB71" s="1091">
        <f t="shared" si="45"/>
        <v>-18.510000000000002</v>
      </c>
      <c r="AC71" s="1035">
        <f>SUM(AA71:AB71)</f>
        <v>7385.49</v>
      </c>
      <c r="AD71" s="1035">
        <v>0</v>
      </c>
      <c r="AE71" s="1035">
        <f>SUM(AC71:AD71)</f>
        <v>7385.49</v>
      </c>
      <c r="AF71" s="1035">
        <f>1800+1800</f>
        <v>3600</v>
      </c>
      <c r="AG71" s="1035">
        <f t="shared" si="48"/>
        <v>3785.49</v>
      </c>
      <c r="AH71" s="1035">
        <f t="shared" si="49"/>
        <v>1892.7449999999999</v>
      </c>
      <c r="AI71" s="1036">
        <f t="shared" si="50"/>
        <v>15484.81229823707</v>
      </c>
      <c r="AJ71" s="1036">
        <f t="shared" ref="AJ71:AJ76" si="56">S71+AH71</f>
        <v>3910.4061491185348</v>
      </c>
      <c r="AL71" s="49">
        <f t="shared" si="51"/>
        <v>-18.510000000000002</v>
      </c>
      <c r="AM71" s="49">
        <f>-'[22]Table 5C1B-DArbonne'!AN71</f>
        <v>18.048750000000002</v>
      </c>
      <c r="AN71">
        <f>-'[21]Table 5C1B-DArbonne'!P71</f>
        <v>0</v>
      </c>
      <c r="AO71" s="49">
        <f t="shared" si="52"/>
        <v>-0.46124999999999972</v>
      </c>
    </row>
    <row r="72" spans="1:41">
      <c r="A72" s="968">
        <v>66</v>
      </c>
      <c r="B72" s="969" t="s">
        <v>166</v>
      </c>
      <c r="C72" s="1173">
        <f>'Table 8 2.1.12 MFP Funded'!S69</f>
        <v>0</v>
      </c>
      <c r="D72" s="988">
        <f>'Table 3 Levels 1&amp;2'!AL73</f>
        <v>6262.4784859426345</v>
      </c>
      <c r="E72" s="1076">
        <f t="shared" ref="E72:E76" si="57">C72*D72</f>
        <v>0</v>
      </c>
      <c r="F72" s="1076">
        <f>'Table 4 Level 3'!P71</f>
        <v>730.06</v>
      </c>
      <c r="G72" s="1076">
        <f t="shared" ref="G72:G76" si="58">C72*F72</f>
        <v>0</v>
      </c>
      <c r="H72" s="1039">
        <f t="shared" ref="H72:H76" si="59">E72+G72</f>
        <v>0</v>
      </c>
      <c r="I72" s="1419">
        <f>'[1]Oct midyear DArbonne'!K72</f>
        <v>0</v>
      </c>
      <c r="J72" s="1419">
        <f>'[1]Feb midyear DArbonne'!K72</f>
        <v>0</v>
      </c>
      <c r="K72" s="1419">
        <f t="shared" ref="K72:K76" si="60">I72+J72</f>
        <v>0</v>
      </c>
      <c r="L72" s="1039">
        <f t="shared" ref="L72:L76" si="61">H72+K72</f>
        <v>0</v>
      </c>
      <c r="M72" s="1086">
        <f t="shared" ref="M72:M76" si="62">-(0.25%*L72)</f>
        <v>0</v>
      </c>
      <c r="N72" s="1039">
        <f t="shared" ref="N72:N76" si="63">SUM(L72:M72)</f>
        <v>0</v>
      </c>
      <c r="O72" s="1039">
        <v>0</v>
      </c>
      <c r="P72" s="1039">
        <f t="shared" ref="P72:P74" si="64">SUM(N72:O72)</f>
        <v>0</v>
      </c>
      <c r="Q72" s="1039">
        <v>0</v>
      </c>
      <c r="R72" s="1039">
        <f t="shared" ref="R72:R76" si="65">P72-Q72</f>
        <v>0</v>
      </c>
      <c r="S72" s="1039">
        <f t="shared" ref="S72:S77" si="66">R72/2</f>
        <v>0</v>
      </c>
      <c r="T72" s="1029">
        <f>'[14]FY2012-13 Final'!K73</f>
        <v>3528</v>
      </c>
      <c r="U72" s="973">
        <f t="shared" si="55"/>
        <v>0</v>
      </c>
      <c r="V72" s="1441">
        <f>'[20]Oct midyear DArbonne'!E72</f>
        <v>0</v>
      </c>
      <c r="W72" s="1444">
        <f t="shared" ref="W72:W75" si="67">V72*T72</f>
        <v>0</v>
      </c>
      <c r="X72" s="1466">
        <f>'[20]Feb midyear DArbonne'!E72</f>
        <v>0</v>
      </c>
      <c r="Y72" s="1444">
        <f t="shared" ref="Y72:Y75" si="68">X72*(T72*0.5)</f>
        <v>0</v>
      </c>
      <c r="Z72" s="1444">
        <f t="shared" ref="Z72:Z75" si="69">W72+Y72</f>
        <v>0</v>
      </c>
      <c r="AA72" s="973">
        <f t="shared" ref="AA72:AA75" si="70">U72+Z72</f>
        <v>0</v>
      </c>
      <c r="AB72" s="1089">
        <f t="shared" ref="AB72:AB75" si="71">-(0.25%*AA72)</f>
        <v>0</v>
      </c>
      <c r="AC72" s="973">
        <f t="shared" ref="AC72:AC75" si="72">SUM(AA72:AB72)</f>
        <v>0</v>
      </c>
      <c r="AD72" s="973">
        <v>0</v>
      </c>
      <c r="AE72" s="973">
        <f t="shared" ref="AE72:AE75" si="73">SUM(AC72:AD72)</f>
        <v>0</v>
      </c>
      <c r="AF72" s="973">
        <v>0</v>
      </c>
      <c r="AG72" s="973">
        <f t="shared" ref="AG72:AG75" si="74">AE72-AF72</f>
        <v>0</v>
      </c>
      <c r="AH72" s="973">
        <f t="shared" ref="AH72:AH76" si="75">AG72/2</f>
        <v>0</v>
      </c>
      <c r="AI72" s="974">
        <f t="shared" ref="AI72:AI76" si="76">P72+AE72</f>
        <v>0</v>
      </c>
      <c r="AJ72" s="974">
        <f t="shared" si="56"/>
        <v>0</v>
      </c>
      <c r="AL72" s="49">
        <f t="shared" ref="AL72:AL76" si="77">AB72</f>
        <v>0</v>
      </c>
      <c r="AM72" s="49">
        <f>-'[22]Table 5C1B-DArbonne'!AN72</f>
        <v>0</v>
      </c>
      <c r="AN72">
        <f>-'[21]Table 5C1B-DArbonne'!P72</f>
        <v>0</v>
      </c>
      <c r="AO72" s="49">
        <f t="shared" ref="AO72:AO76" si="78">SUM(AL72:AM72)</f>
        <v>0</v>
      </c>
    </row>
    <row r="73" spans="1:41">
      <c r="A73" s="975">
        <v>67</v>
      </c>
      <c r="B73" s="976" t="s">
        <v>33</v>
      </c>
      <c r="C73" s="1171">
        <f>'Table 8 2.1.12 MFP Funded'!S70</f>
        <v>0</v>
      </c>
      <c r="D73" s="984">
        <f>'Table 3 Levels 1&amp;2'!AL74</f>
        <v>5059.3528695821524</v>
      </c>
      <c r="E73" s="1074">
        <f t="shared" si="57"/>
        <v>0</v>
      </c>
      <c r="F73" s="1074">
        <f>'Table 4 Level 3'!P72</f>
        <v>715.61</v>
      </c>
      <c r="G73" s="1074">
        <f t="shared" si="58"/>
        <v>0</v>
      </c>
      <c r="H73" s="1037">
        <f t="shared" si="59"/>
        <v>0</v>
      </c>
      <c r="I73" s="1417">
        <f>'[1]Oct midyear DArbonne'!K73</f>
        <v>0</v>
      </c>
      <c r="J73" s="1417">
        <f>'[1]Feb midyear DArbonne'!K73</f>
        <v>0</v>
      </c>
      <c r="K73" s="1417">
        <f t="shared" si="60"/>
        <v>0</v>
      </c>
      <c r="L73" s="1037">
        <f t="shared" si="61"/>
        <v>0</v>
      </c>
      <c r="M73" s="1084">
        <f t="shared" si="62"/>
        <v>0</v>
      </c>
      <c r="N73" s="1037">
        <f t="shared" si="63"/>
        <v>0</v>
      </c>
      <c r="O73" s="1037">
        <v>0</v>
      </c>
      <c r="P73" s="1037">
        <f t="shared" si="64"/>
        <v>0</v>
      </c>
      <c r="Q73" s="1037">
        <v>0</v>
      </c>
      <c r="R73" s="1037">
        <f t="shared" si="65"/>
        <v>0</v>
      </c>
      <c r="S73" s="1037">
        <f t="shared" si="66"/>
        <v>0</v>
      </c>
      <c r="T73" s="1029">
        <f>'[14]FY2012-13 Final'!K74</f>
        <v>5055</v>
      </c>
      <c r="U73" s="1031">
        <f t="shared" si="55"/>
        <v>0</v>
      </c>
      <c r="V73" s="1439">
        <f>'[20]Oct midyear DArbonne'!E73</f>
        <v>0</v>
      </c>
      <c r="W73" s="1443">
        <f t="shared" si="67"/>
        <v>0</v>
      </c>
      <c r="X73" s="1474">
        <f>'[20]Feb midyear DArbonne'!E73</f>
        <v>0</v>
      </c>
      <c r="Y73" s="1470">
        <f t="shared" si="68"/>
        <v>0</v>
      </c>
      <c r="Z73" s="1470">
        <f t="shared" si="69"/>
        <v>0</v>
      </c>
      <c r="AA73" s="1031">
        <f t="shared" si="70"/>
        <v>0</v>
      </c>
      <c r="AB73" s="1090">
        <f t="shared" si="71"/>
        <v>0</v>
      </c>
      <c r="AC73" s="1031">
        <f t="shared" si="72"/>
        <v>0</v>
      </c>
      <c r="AD73" s="1031">
        <v>0</v>
      </c>
      <c r="AE73" s="1031">
        <f t="shared" si="73"/>
        <v>0</v>
      </c>
      <c r="AF73" s="1031">
        <v>0</v>
      </c>
      <c r="AG73" s="1031">
        <f t="shared" si="74"/>
        <v>0</v>
      </c>
      <c r="AH73" s="1031">
        <f t="shared" si="75"/>
        <v>0</v>
      </c>
      <c r="AI73" s="1032">
        <f t="shared" si="76"/>
        <v>0</v>
      </c>
      <c r="AJ73" s="1032">
        <f t="shared" si="56"/>
        <v>0</v>
      </c>
      <c r="AL73" s="49">
        <f t="shared" si="77"/>
        <v>0</v>
      </c>
      <c r="AM73" s="49">
        <f>-'[22]Table 5C1B-DArbonne'!AN73</f>
        <v>0</v>
      </c>
      <c r="AN73">
        <f>-'[21]Table 5C1B-DArbonne'!P73</f>
        <v>0</v>
      </c>
      <c r="AO73" s="49">
        <f t="shared" si="78"/>
        <v>0</v>
      </c>
    </row>
    <row r="74" spans="1:41">
      <c r="A74" s="975">
        <v>68</v>
      </c>
      <c r="B74" s="976" t="s">
        <v>31</v>
      </c>
      <c r="C74" s="1171">
        <f>'Table 8 2.1.12 MFP Funded'!S71</f>
        <v>0</v>
      </c>
      <c r="D74" s="984">
        <f>'Table 3 Levels 1&amp;2'!AL75</f>
        <v>5863.2815891318614</v>
      </c>
      <c r="E74" s="1074">
        <f t="shared" si="57"/>
        <v>0</v>
      </c>
      <c r="F74" s="1074">
        <f>'Table 4 Level 3'!P73</f>
        <v>798.7</v>
      </c>
      <c r="G74" s="1074">
        <f t="shared" si="58"/>
        <v>0</v>
      </c>
      <c r="H74" s="1037">
        <f t="shared" si="59"/>
        <v>0</v>
      </c>
      <c r="I74" s="1417">
        <f>'[1]Oct midyear DArbonne'!K74</f>
        <v>0</v>
      </c>
      <c r="J74" s="1417">
        <f>'[1]Feb midyear DArbonne'!K74</f>
        <v>0</v>
      </c>
      <c r="K74" s="1417">
        <f t="shared" si="60"/>
        <v>0</v>
      </c>
      <c r="L74" s="1037">
        <f t="shared" si="61"/>
        <v>0</v>
      </c>
      <c r="M74" s="1084">
        <f t="shared" si="62"/>
        <v>0</v>
      </c>
      <c r="N74" s="1037">
        <f t="shared" si="63"/>
        <v>0</v>
      </c>
      <c r="O74" s="1037">
        <v>0</v>
      </c>
      <c r="P74" s="1037">
        <f t="shared" si="64"/>
        <v>0</v>
      </c>
      <c r="Q74" s="1037">
        <v>0</v>
      </c>
      <c r="R74" s="1037">
        <f t="shared" si="65"/>
        <v>0</v>
      </c>
      <c r="S74" s="1037">
        <f t="shared" si="66"/>
        <v>0</v>
      </c>
      <c r="T74" s="1029">
        <f>'[14]FY2012-13 Final'!K75</f>
        <v>2809</v>
      </c>
      <c r="U74" s="1031">
        <f t="shared" si="55"/>
        <v>0</v>
      </c>
      <c r="V74" s="1439">
        <f>'[20]Oct midyear DArbonne'!E74</f>
        <v>0</v>
      </c>
      <c r="W74" s="1443">
        <f t="shared" si="67"/>
        <v>0</v>
      </c>
      <c r="X74" s="1474">
        <f>'[20]Feb midyear DArbonne'!E74</f>
        <v>0</v>
      </c>
      <c r="Y74" s="1470">
        <f t="shared" si="68"/>
        <v>0</v>
      </c>
      <c r="Z74" s="1470">
        <f t="shared" si="69"/>
        <v>0</v>
      </c>
      <c r="AA74" s="1031">
        <f t="shared" si="70"/>
        <v>0</v>
      </c>
      <c r="AB74" s="1090">
        <f t="shared" si="71"/>
        <v>0</v>
      </c>
      <c r="AC74" s="1031">
        <f t="shared" si="72"/>
        <v>0</v>
      </c>
      <c r="AD74" s="1031">
        <v>0</v>
      </c>
      <c r="AE74" s="1031">
        <f t="shared" si="73"/>
        <v>0</v>
      </c>
      <c r="AF74" s="1031">
        <v>0</v>
      </c>
      <c r="AG74" s="1031">
        <f t="shared" si="74"/>
        <v>0</v>
      </c>
      <c r="AH74" s="1031">
        <f t="shared" si="75"/>
        <v>0</v>
      </c>
      <c r="AI74" s="1032">
        <f t="shared" si="76"/>
        <v>0</v>
      </c>
      <c r="AJ74" s="1032">
        <f t="shared" si="56"/>
        <v>0</v>
      </c>
      <c r="AL74" s="49">
        <f t="shared" si="77"/>
        <v>0</v>
      </c>
      <c r="AM74" s="49">
        <f>-'[22]Table 5C1B-DArbonne'!AN74</f>
        <v>0</v>
      </c>
      <c r="AN74">
        <f>-'[21]Table 5C1B-DArbonne'!P74</f>
        <v>0</v>
      </c>
      <c r="AO74" s="49">
        <f t="shared" si="78"/>
        <v>0</v>
      </c>
    </row>
    <row r="75" spans="1:41">
      <c r="A75" s="1204">
        <v>69</v>
      </c>
      <c r="B75" s="1205" t="s">
        <v>229</v>
      </c>
      <c r="C75" s="1206">
        <f>'Table 8 2.1.12 MFP Funded'!S72</f>
        <v>0</v>
      </c>
      <c r="D75" s="1207">
        <f>'Table 3 Levels 1&amp;2'!AL76</f>
        <v>5520.7940729790862</v>
      </c>
      <c r="E75" s="1077">
        <f t="shared" si="57"/>
        <v>0</v>
      </c>
      <c r="F75" s="1208">
        <f>'Table 4 Level 3'!P74</f>
        <v>705.67</v>
      </c>
      <c r="G75" s="1077">
        <f t="shared" si="58"/>
        <v>0</v>
      </c>
      <c r="H75" s="1040">
        <f t="shared" si="59"/>
        <v>0</v>
      </c>
      <c r="I75" s="1454">
        <f>'[1]Oct midyear DArbonne'!K75</f>
        <v>0</v>
      </c>
      <c r="J75" s="1454">
        <f>'[1]Feb midyear DArbonne'!K75</f>
        <v>0</v>
      </c>
      <c r="K75" s="1454">
        <f t="shared" si="60"/>
        <v>0</v>
      </c>
      <c r="L75" s="1422">
        <f t="shared" si="61"/>
        <v>0</v>
      </c>
      <c r="M75" s="1209">
        <f t="shared" si="62"/>
        <v>0</v>
      </c>
      <c r="N75" s="1210">
        <f t="shared" si="63"/>
        <v>0</v>
      </c>
      <c r="O75" s="1210">
        <v>0</v>
      </c>
      <c r="P75" s="1210">
        <f>SUM(N75:O75)</f>
        <v>0</v>
      </c>
      <c r="Q75" s="1210">
        <v>0</v>
      </c>
      <c r="R75" s="1210">
        <f t="shared" si="65"/>
        <v>0</v>
      </c>
      <c r="S75" s="1210">
        <f t="shared" si="66"/>
        <v>0</v>
      </c>
      <c r="T75" s="1029">
        <f>'[14]FY2012-13 Final'!K76</f>
        <v>3329</v>
      </c>
      <c r="U75" s="1041">
        <f t="shared" si="55"/>
        <v>0</v>
      </c>
      <c r="V75" s="1442">
        <f>'[20]Oct midyear DArbonne'!E75</f>
        <v>0</v>
      </c>
      <c r="W75" s="1446">
        <f t="shared" si="67"/>
        <v>0</v>
      </c>
      <c r="X75" s="1476">
        <f>'[20]Feb midyear DArbonne'!E75</f>
        <v>0</v>
      </c>
      <c r="Y75" s="1472">
        <f t="shared" si="68"/>
        <v>0</v>
      </c>
      <c r="Z75" s="1472">
        <f t="shared" si="69"/>
        <v>0</v>
      </c>
      <c r="AA75" s="1041">
        <f t="shared" si="70"/>
        <v>0</v>
      </c>
      <c r="AB75" s="1092">
        <f t="shared" si="71"/>
        <v>0</v>
      </c>
      <c r="AC75" s="1041">
        <f t="shared" si="72"/>
        <v>0</v>
      </c>
      <c r="AD75" s="1041">
        <v>0</v>
      </c>
      <c r="AE75" s="1041">
        <f t="shared" si="73"/>
        <v>0</v>
      </c>
      <c r="AF75" s="1041">
        <v>0</v>
      </c>
      <c r="AG75" s="1041">
        <f t="shared" si="74"/>
        <v>0</v>
      </c>
      <c r="AH75" s="1041">
        <f t="shared" si="75"/>
        <v>0</v>
      </c>
      <c r="AI75" s="1042">
        <f t="shared" si="76"/>
        <v>0</v>
      </c>
      <c r="AJ75" s="1042">
        <f t="shared" si="56"/>
        <v>0</v>
      </c>
      <c r="AL75" s="49">
        <f t="shared" si="77"/>
        <v>0</v>
      </c>
      <c r="AM75" s="49">
        <f>-'[22]Table 5C1B-DArbonne'!AN75</f>
        <v>0</v>
      </c>
      <c r="AN75">
        <f>-'[21]Table 5C1B-DArbonne'!P75</f>
        <v>0</v>
      </c>
      <c r="AO75" s="49">
        <f t="shared" si="78"/>
        <v>0</v>
      </c>
    </row>
    <row r="76" spans="1:41">
      <c r="A76" s="1191"/>
      <c r="B76" s="1192" t="s">
        <v>807</v>
      </c>
      <c r="C76" s="1203">
        <f>'Table 8 2.1.12 MFP Funded'!S73</f>
        <v>1</v>
      </c>
      <c r="D76" s="988">
        <f>D62</f>
        <v>5076.2407002640311</v>
      </c>
      <c r="E76" s="1077">
        <f t="shared" si="57"/>
        <v>5076.2407002640311</v>
      </c>
      <c r="F76" s="1076">
        <f>'Table 4 Level 3'!P61</f>
        <v>614.66000000000008</v>
      </c>
      <c r="G76" s="1077">
        <f t="shared" si="58"/>
        <v>614.66000000000008</v>
      </c>
      <c r="H76" s="1040">
        <f t="shared" si="59"/>
        <v>5690.900700264031</v>
      </c>
      <c r="I76" s="1455">
        <f>'[1]Oct midyear DArbonne'!K76</f>
        <v>0</v>
      </c>
      <c r="J76" s="1457">
        <f>'[1]Feb midyear DArbonne'!K76</f>
        <v>0</v>
      </c>
      <c r="K76" s="1457">
        <f t="shared" si="60"/>
        <v>0</v>
      </c>
      <c r="L76" s="1423">
        <f t="shared" si="61"/>
        <v>5690.900700264031</v>
      </c>
      <c r="M76" s="1209">
        <f t="shared" si="62"/>
        <v>-14.227251750660077</v>
      </c>
      <c r="N76" s="1210">
        <f t="shared" si="63"/>
        <v>5676.6734485133711</v>
      </c>
      <c r="O76" s="1210">
        <v>0</v>
      </c>
      <c r="P76" s="1210">
        <f t="shared" ref="P76" si="79">SUM(N76:O76)</f>
        <v>5676.6734485133711</v>
      </c>
      <c r="Q76" s="1210">
        <f>(471*8)+474+470</f>
        <v>4712</v>
      </c>
      <c r="R76" s="1210">
        <f t="shared" si="65"/>
        <v>964.67344851337111</v>
      </c>
      <c r="S76" s="1210">
        <f t="shared" si="66"/>
        <v>482.33672425668556</v>
      </c>
      <c r="T76" s="1029"/>
      <c r="U76" s="1041"/>
      <c r="V76" s="1385"/>
      <c r="W76" s="1459"/>
      <c r="X76" s="1480"/>
      <c r="Y76" s="1479"/>
      <c r="Z76" s="1479"/>
      <c r="AA76" s="1386"/>
      <c r="AB76" s="1092"/>
      <c r="AC76" s="1041"/>
      <c r="AD76" s="1041"/>
      <c r="AE76" s="1041"/>
      <c r="AF76" s="1041"/>
      <c r="AG76" s="1041"/>
      <c r="AH76" s="1041">
        <f t="shared" si="75"/>
        <v>0</v>
      </c>
      <c r="AI76" s="1042">
        <f t="shared" si="76"/>
        <v>5676.6734485133711</v>
      </c>
      <c r="AJ76" s="1042">
        <f t="shared" si="56"/>
        <v>482.33672425668556</v>
      </c>
      <c r="AL76" s="49">
        <f t="shared" si="77"/>
        <v>0</v>
      </c>
      <c r="AM76" s="49">
        <f>-'[22]Table 5C1B-DArbonne'!AN76</f>
        <v>0</v>
      </c>
      <c r="AN76" t="e">
        <f>-'[21]Table 5C1B-DArbonne'!P76</f>
        <v>#REF!</v>
      </c>
      <c r="AO76" s="49">
        <f t="shared" si="78"/>
        <v>0</v>
      </c>
    </row>
    <row r="77" spans="1:41" ht="13.5" thickBot="1">
      <c r="A77" s="993"/>
      <c r="B77" s="994" t="s">
        <v>167</v>
      </c>
      <c r="C77" s="995">
        <f>SUM(C7:C76)</f>
        <v>364</v>
      </c>
      <c r="D77" s="996">
        <f>'Table 3 Levels 1&amp;2'!AL77</f>
        <v>4336.5032257801222</v>
      </c>
      <c r="E77" s="1078">
        <f>SUM(E7:E76)</f>
        <v>1849127.2233657506</v>
      </c>
      <c r="F77" s="1078">
        <f>'Table 4 Level 3'!P75</f>
        <v>703.90028204588873</v>
      </c>
      <c r="G77" s="1078">
        <f t="shared" ref="G77:R77" si="80">SUM(G7:G76)</f>
        <v>224568.24000000005</v>
      </c>
      <c r="H77" s="997">
        <f t="shared" si="80"/>
        <v>2073695.4633657509</v>
      </c>
      <c r="I77" s="1456">
        <f>SUM(I7:I76)</f>
        <v>1018580.1871883966</v>
      </c>
      <c r="J77" s="1458">
        <f t="shared" ref="J77:L77" si="81">SUM(J7:J76)</f>
        <v>10274.129707428352</v>
      </c>
      <c r="K77" s="1458">
        <f t="shared" si="81"/>
        <v>1028854.3168958251</v>
      </c>
      <c r="L77" s="1462">
        <f t="shared" si="81"/>
        <v>3102549.7802615762</v>
      </c>
      <c r="M77" s="1088">
        <f t="shared" si="80"/>
        <v>-7756.3744506539397</v>
      </c>
      <c r="N77" s="997">
        <f t="shared" si="80"/>
        <v>3094793.4058109219</v>
      </c>
      <c r="O77" s="1212">
        <f t="shared" si="80"/>
        <v>-4837.7519524325298</v>
      </c>
      <c r="P77" s="997">
        <f t="shared" si="80"/>
        <v>3089955.6538584894</v>
      </c>
      <c r="Q77" s="997">
        <f t="shared" si="80"/>
        <v>2550219</v>
      </c>
      <c r="R77" s="997">
        <f t="shared" si="80"/>
        <v>539736.65385848959</v>
      </c>
      <c r="S77" s="997">
        <f t="shared" si="66"/>
        <v>269868.32692924479</v>
      </c>
      <c r="T77" s="1043"/>
      <c r="U77" s="998">
        <f t="shared" ref="U77:AJ77" si="82">SUM(U7:U76)</f>
        <v>1018768</v>
      </c>
      <c r="V77" s="1387">
        <f>SUM(V7:V76)</f>
        <v>180</v>
      </c>
      <c r="W77" s="1460">
        <f>SUM(W7:W75)</f>
        <v>507655</v>
      </c>
      <c r="X77" s="1481">
        <f>SUM(X7:X76)</f>
        <v>4</v>
      </c>
      <c r="Y77" s="1460">
        <f>SUM(Y7:Y75)</f>
        <v>9966</v>
      </c>
      <c r="Z77" s="1460">
        <f>SUM(Z7:Z75)</f>
        <v>517621</v>
      </c>
      <c r="AA77" s="1461">
        <f>SUM(AA7:AA75)</f>
        <v>1536389</v>
      </c>
      <c r="AB77" s="1093">
        <f t="shared" si="82"/>
        <v>-3840.9725000000003</v>
      </c>
      <c r="AC77" s="998">
        <f t="shared" si="82"/>
        <v>1532548.0275000001</v>
      </c>
      <c r="AD77" s="998">
        <f t="shared" si="82"/>
        <v>0</v>
      </c>
      <c r="AE77" s="998">
        <f t="shared" si="82"/>
        <v>1532548.0275000001</v>
      </c>
      <c r="AF77" s="998">
        <f t="shared" si="82"/>
        <v>1235095</v>
      </c>
      <c r="AG77" s="998">
        <f t="shared" si="82"/>
        <v>297453.02749999997</v>
      </c>
      <c r="AH77" s="998">
        <f t="shared" si="82"/>
        <v>148726.51374999998</v>
      </c>
      <c r="AI77" s="999">
        <f t="shared" si="82"/>
        <v>4622503.6813584892</v>
      </c>
      <c r="AJ77" s="999">
        <f t="shared" si="82"/>
        <v>418594.84067924478</v>
      </c>
      <c r="AL77" s="49">
        <f>SUM(AL7:AL76)</f>
        <v>-3840.9725000000003</v>
      </c>
      <c r="AM77" s="49">
        <f>SUM(AM7:AM76)</f>
        <v>3822.2224999999999</v>
      </c>
      <c r="AN77" s="49" t="e">
        <f t="shared" ref="AN77:AO77" si="83">SUM(AN7:AN76)</f>
        <v>#REF!</v>
      </c>
      <c r="AO77" s="49">
        <f t="shared" si="83"/>
        <v>-18.750000000000036</v>
      </c>
    </row>
    <row r="78" spans="1:41" ht="13.5" hidden="1" thickTop="1"/>
    <row r="79" spans="1:41" hidden="1">
      <c r="M79" s="804" t="s">
        <v>1415</v>
      </c>
      <c r="O79" s="49">
        <f>M77</f>
        <v>-7756.3744506539397</v>
      </c>
    </row>
    <row r="80" spans="1:41" hidden="1">
      <c r="M80" t="s">
        <v>1273</v>
      </c>
      <c r="O80" s="49">
        <f>-'[22]Table 5C1B-DArbonne'!$O$79</f>
        <v>7724.0832143603293</v>
      </c>
    </row>
    <row r="81" spans="13:15" hidden="1">
      <c r="M81" t="s">
        <v>1272</v>
      </c>
      <c r="O81" s="49">
        <f>-'[21]Table 5C1B-DArbonne'!$I$77</f>
        <v>5162.6574109917383</v>
      </c>
    </row>
    <row r="82" spans="13:15" hidden="1">
      <c r="M82" t="s">
        <v>1258</v>
      </c>
      <c r="O82" s="49">
        <f>SUM(O79:O80)</f>
        <v>-32.291236293610382</v>
      </c>
    </row>
    <row r="83" spans="13:15" hidden="1"/>
    <row r="84" spans="13:15" ht="13.5" thickTop="1"/>
  </sheetData>
  <mergeCells count="36">
    <mergeCell ref="A2:B4"/>
    <mergeCell ref="T2:AH2"/>
    <mergeCell ref="L3:L4"/>
    <mergeCell ref="V3:V4"/>
    <mergeCell ref="W3:W4"/>
    <mergeCell ref="AA3:AA4"/>
    <mergeCell ref="AG3:AG4"/>
    <mergeCell ref="AH3:AH4"/>
    <mergeCell ref="AF3:AF4"/>
    <mergeCell ref="J3:J4"/>
    <mergeCell ref="K3:K4"/>
    <mergeCell ref="U3:U4"/>
    <mergeCell ref="X3:X4"/>
    <mergeCell ref="Y3:Y4"/>
    <mergeCell ref="C2:L2"/>
    <mergeCell ref="Q3:Q4"/>
    <mergeCell ref="H3:H4"/>
    <mergeCell ref="N3:N4"/>
    <mergeCell ref="O3:O4"/>
    <mergeCell ref="I3:I4"/>
    <mergeCell ref="T3:T4"/>
    <mergeCell ref="S3:S4"/>
    <mergeCell ref="R3:R4"/>
    <mergeCell ref="P3:P4"/>
    <mergeCell ref="C3:C4"/>
    <mergeCell ref="D3:D4"/>
    <mergeCell ref="E3:E4"/>
    <mergeCell ref="F3:F4"/>
    <mergeCell ref="G3:G4"/>
    <mergeCell ref="M2:S2"/>
    <mergeCell ref="AI2:AI4"/>
    <mergeCell ref="Z3:Z4"/>
    <mergeCell ref="AJ2:AJ4"/>
    <mergeCell ref="AC3:AC4"/>
    <mergeCell ref="AD3:AD4"/>
    <mergeCell ref="AE3:AE4"/>
  </mergeCells>
  <pageMargins left="0.31" right="0.35" top="0.75" bottom="0.75" header="0.3" footer="0.3"/>
  <pageSetup paperSize="5" scale="63" firstPageNumber="52" orientation="portrait" useFirstPageNumber="1" r:id="rId1"/>
  <headerFooter>
    <oddHeader xml:space="preserve">&amp;L&amp;"Arial,Bold"&amp;20Table 5C1-B: FY2012-13 MFP Budget Letter (May 2013)
D'Arbonne Woods Charter School </oddHeader>
    <oddFooter>&amp;R&amp;P</oddFooter>
  </headerFooter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2" bestFit="1" customWidth="1"/>
    <col min="15" max="15" width="13.42578125" bestFit="1" customWidth="1"/>
    <col min="16" max="16" width="13.5703125" bestFit="1" customWidth="1"/>
    <col min="17" max="18" width="13.5703125" customWidth="1"/>
    <col min="19" max="19" width="9.28515625" bestFit="1" customWidth="1"/>
    <col min="20" max="20" width="16.140625" bestFit="1" customWidth="1"/>
    <col min="21" max="21" width="11" bestFit="1" customWidth="1"/>
    <col min="22" max="26" width="13.42578125" customWidth="1"/>
    <col min="27" max="27" width="12" bestFit="1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1.5703125" customWidth="1"/>
    <col min="38" max="41" width="0" hidden="1" customWidth="1"/>
    <col min="44" max="44" width="10.5703125" bestFit="1" customWidth="1"/>
  </cols>
  <sheetData>
    <row r="1" spans="1:42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2" ht="45" customHeight="1">
      <c r="A2" s="2035" t="s">
        <v>1010</v>
      </c>
      <c r="B2" s="2036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2" ht="120" customHeight="1">
      <c r="A3" s="2037"/>
      <c r="B3" s="2038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2044" t="s">
        <v>1266</v>
      </c>
      <c r="U3" s="1409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409" t="s">
        <v>724</v>
      </c>
      <c r="AC3" s="1917" t="s">
        <v>725</v>
      </c>
      <c r="AD3" s="1917" t="s">
        <v>990</v>
      </c>
      <c r="AE3" s="1917" t="s">
        <v>1122</v>
      </c>
      <c r="AF3" s="1409" t="s">
        <v>1406</v>
      </c>
      <c r="AG3" s="1409" t="s">
        <v>1403</v>
      </c>
      <c r="AH3" s="1409" t="s">
        <v>1216</v>
      </c>
      <c r="AI3" s="1915"/>
      <c r="AJ3" s="1915"/>
    </row>
    <row r="4" spans="1:42" ht="42.75" customHeight="1">
      <c r="A4" s="2039"/>
      <c r="B4" s="2040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2045"/>
      <c r="U4" s="140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346"/>
      <c r="AG4" s="1346"/>
      <c r="AH4" s="1200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2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</row>
    <row r="6" spans="1:42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2">
      <c r="A7" s="968">
        <v>1</v>
      </c>
      <c r="B7" s="969" t="s">
        <v>102</v>
      </c>
      <c r="C7" s="970">
        <f>'Table 8 2.1.12 MFP Funded'!V4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Intl_VIBE '!K7</f>
        <v>0</v>
      </c>
      <c r="J7" s="1414">
        <f>'[1]Feb midyear Intl_VIBE 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Final'!D8</f>
        <v>2042</v>
      </c>
      <c r="U7" s="973">
        <f t="shared" ref="U7:U38" si="30">C7*T7</f>
        <v>0</v>
      </c>
      <c r="V7" s="1354">
        <f>'[20]Oct midyear Intl_VIBE '!E7</f>
        <v>0</v>
      </c>
      <c r="W7" s="1348">
        <f>V7*T7</f>
        <v>0</v>
      </c>
      <c r="X7" s="1466">
        <f>'[20]Feb midyear Intl_VIBE '!E7</f>
        <v>0</v>
      </c>
      <c r="Y7" s="1348">
        <f>X7*(T7*0.5)</f>
        <v>0</v>
      </c>
      <c r="Z7" s="1348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v>0</v>
      </c>
      <c r="AG7" s="973">
        <f>AE7-AF7</f>
        <v>0</v>
      </c>
      <c r="AH7" s="973">
        <f>AG7/2</f>
        <v>0</v>
      </c>
      <c r="AI7" s="974">
        <f t="shared" ref="AI7:AI38" si="31">P7+AE7</f>
        <v>0</v>
      </c>
      <c r="AJ7" s="974">
        <f t="shared" ref="AJ7:AJ38" si="32">S7+AH7</f>
        <v>0</v>
      </c>
      <c r="AK7" s="49"/>
      <c r="AL7" s="49">
        <f>AB7</f>
        <v>0</v>
      </c>
      <c r="AM7" s="49">
        <f>-'[22]Table 5C1C-Intl_VIBE'!AL7</f>
        <v>0</v>
      </c>
      <c r="AN7" s="49">
        <f>-'[21]Table 5C1C-Intl_VIBE'!P7</f>
        <v>0</v>
      </c>
      <c r="AO7" s="49">
        <f>SUM(AL7:AM7)</f>
        <v>0</v>
      </c>
      <c r="AP7" s="49"/>
    </row>
    <row r="8" spans="1:42">
      <c r="A8" s="975">
        <v>2</v>
      </c>
      <c r="B8" s="976" t="s">
        <v>103</v>
      </c>
      <c r="C8" s="1168">
        <f>'Table 8 2.1.12 MFP Funded'!V5</f>
        <v>0</v>
      </c>
      <c r="D8" s="978">
        <f>'Table 3 Levels 1&amp;2'!AL9</f>
        <v>6149.545926426621</v>
      </c>
      <c r="E8" s="1072">
        <f t="shared" ref="E8:E71" si="33">C8*D8</f>
        <v>0</v>
      </c>
      <c r="F8" s="1072">
        <f>'Table 4 Level 3'!P7</f>
        <v>842.32</v>
      </c>
      <c r="G8" s="1072">
        <f t="shared" ref="G8:G71" si="34">C8*F8</f>
        <v>0</v>
      </c>
      <c r="H8" s="1030">
        <f t="shared" ref="H8:H71" si="35">E8+G8</f>
        <v>0</v>
      </c>
      <c r="I8" s="1415">
        <f>'[1]Oct midyear Intl_VIBE '!K8</f>
        <v>0</v>
      </c>
      <c r="J8" s="1415">
        <f>'[1]Feb midyear Intl_VIBE '!K8</f>
        <v>0</v>
      </c>
      <c r="K8" s="1415">
        <f t="shared" ref="K8:K71" si="36">I8+J8</f>
        <v>0</v>
      </c>
      <c r="L8" s="1434">
        <f t="shared" ref="L8:L71" si="37">H8+K8</f>
        <v>0</v>
      </c>
      <c r="M8" s="1082">
        <f t="shared" ref="M8:M71" si="38">-(0.25%*L8)</f>
        <v>0</v>
      </c>
      <c r="N8" s="1030">
        <f t="shared" ref="N8:N71" si="39">SUM(L8:M8)</f>
        <v>0</v>
      </c>
      <c r="O8" s="1030">
        <v>0</v>
      </c>
      <c r="P8" s="1030">
        <f t="shared" ref="P8:P71" si="40">SUM(N8:O8)</f>
        <v>0</v>
      </c>
      <c r="Q8" s="1030">
        <v>0</v>
      </c>
      <c r="R8" s="1030">
        <f t="shared" ref="R8:R71" si="41">P8-Q8</f>
        <v>0</v>
      </c>
      <c r="S8" s="1030">
        <f t="shared" ref="S8:S71" si="42">R8/2</f>
        <v>0</v>
      </c>
      <c r="T8" s="1029">
        <f>'[14]FY2012-13 Final'!D9</f>
        <v>2280</v>
      </c>
      <c r="U8" s="1031">
        <f t="shared" si="30"/>
        <v>0</v>
      </c>
      <c r="V8" s="1355">
        <f>'[20]Oct midyear Intl_VIBE '!E8</f>
        <v>0</v>
      </c>
      <c r="W8" s="1349">
        <f t="shared" ref="W8:W71" si="43">V8*T8</f>
        <v>0</v>
      </c>
      <c r="X8" s="1474">
        <f>'[20]Feb midyear Intl_VIBE '!E8</f>
        <v>0</v>
      </c>
      <c r="Y8" s="1468">
        <f t="shared" ref="Y8:Y71" si="44">X8*(T8*0.5)</f>
        <v>0</v>
      </c>
      <c r="Z8" s="1468">
        <f t="shared" ref="Z8:Z71" si="45">W8+Y8</f>
        <v>0</v>
      </c>
      <c r="AA8" s="1031">
        <f t="shared" ref="AA8:AA71" si="46">U8+Z8</f>
        <v>0</v>
      </c>
      <c r="AB8" s="1090">
        <f t="shared" ref="AB8:AB71" si="47">-(0.25%*AA8)</f>
        <v>0</v>
      </c>
      <c r="AC8" s="1031">
        <f t="shared" ref="AC8:AC71" si="48">SUM(AA8:AB8)</f>
        <v>0</v>
      </c>
      <c r="AD8" s="1031">
        <v>0</v>
      </c>
      <c r="AE8" s="1031">
        <f t="shared" ref="AE8:AE71" si="49">SUM(AC8:AD8)</f>
        <v>0</v>
      </c>
      <c r="AF8" s="1031">
        <v>0</v>
      </c>
      <c r="AG8" s="1031">
        <f t="shared" ref="AG8:AG71" si="50">AE8-AF8</f>
        <v>0</v>
      </c>
      <c r="AH8" s="1031">
        <f t="shared" ref="AH8:AH71" si="51">AG8/2</f>
        <v>0</v>
      </c>
      <c r="AI8" s="1032">
        <f t="shared" si="31"/>
        <v>0</v>
      </c>
      <c r="AJ8" s="1032">
        <f t="shared" si="32"/>
        <v>0</v>
      </c>
      <c r="AK8" s="49"/>
      <c r="AL8" s="49">
        <f t="shared" ref="AL8:AL71" si="52">AB8</f>
        <v>0</v>
      </c>
      <c r="AM8" s="49">
        <f>-'[22]Table 5C1C-Intl_VIBE'!AL8</f>
        <v>0</v>
      </c>
      <c r="AN8" s="49">
        <f>-'[21]Table 5C1C-Intl_VIBE'!P8</f>
        <v>0</v>
      </c>
      <c r="AO8" s="49">
        <f t="shared" ref="AO8:AO71" si="53">SUM(AL8:AM8)</f>
        <v>0</v>
      </c>
      <c r="AP8" s="49"/>
    </row>
    <row r="9" spans="1:42">
      <c r="A9" s="975">
        <v>3</v>
      </c>
      <c r="B9" s="976" t="s">
        <v>104</v>
      </c>
      <c r="C9" s="1168">
        <f>'Table 8 2.1.12 MFP Funded'!V6</f>
        <v>0</v>
      </c>
      <c r="D9" s="978">
        <f>'Table 3 Levels 1&amp;2'!AL10</f>
        <v>4340.9401078757892</v>
      </c>
      <c r="E9" s="1072">
        <f t="shared" si="33"/>
        <v>0</v>
      </c>
      <c r="F9" s="1072">
        <f>'Table 4 Level 3'!P8</f>
        <v>596.84</v>
      </c>
      <c r="G9" s="1072">
        <f t="shared" si="34"/>
        <v>0</v>
      </c>
      <c r="H9" s="1030">
        <f t="shared" si="35"/>
        <v>0</v>
      </c>
      <c r="I9" s="1415">
        <f>'[1]Oct midyear Intl_VIBE '!K9</f>
        <v>0</v>
      </c>
      <c r="J9" s="1415">
        <f>'[1]Feb midyear Intl_VIBE '!K9</f>
        <v>0</v>
      </c>
      <c r="K9" s="1415">
        <f t="shared" si="36"/>
        <v>0</v>
      </c>
      <c r="L9" s="1434">
        <f t="shared" si="37"/>
        <v>0</v>
      </c>
      <c r="M9" s="1082">
        <f t="shared" si="38"/>
        <v>0</v>
      </c>
      <c r="N9" s="1030">
        <f t="shared" si="39"/>
        <v>0</v>
      </c>
      <c r="O9" s="1030">
        <v>0</v>
      </c>
      <c r="P9" s="1030">
        <f t="shared" si="40"/>
        <v>0</v>
      </c>
      <c r="Q9" s="1030">
        <v>0</v>
      </c>
      <c r="R9" s="1030">
        <f t="shared" si="41"/>
        <v>0</v>
      </c>
      <c r="S9" s="1030">
        <f t="shared" si="42"/>
        <v>0</v>
      </c>
      <c r="T9" s="1029">
        <f>'[14]FY2012-13 Final'!D10</f>
        <v>4285</v>
      </c>
      <c r="U9" s="1031">
        <f t="shared" si="30"/>
        <v>0</v>
      </c>
      <c r="V9" s="1355">
        <f>'[20]Oct midyear Intl_VIBE '!E9</f>
        <v>0</v>
      </c>
      <c r="W9" s="1349">
        <f t="shared" si="43"/>
        <v>0</v>
      </c>
      <c r="X9" s="1474">
        <f>'[20]Feb midyear Intl_VIBE '!E9</f>
        <v>0</v>
      </c>
      <c r="Y9" s="1468">
        <f t="shared" si="44"/>
        <v>0</v>
      </c>
      <c r="Z9" s="1468">
        <f t="shared" si="45"/>
        <v>0</v>
      </c>
      <c r="AA9" s="1031">
        <f t="shared" si="46"/>
        <v>0</v>
      </c>
      <c r="AB9" s="1090">
        <f t="shared" si="47"/>
        <v>0</v>
      </c>
      <c r="AC9" s="1031">
        <f t="shared" si="48"/>
        <v>0</v>
      </c>
      <c r="AD9" s="1031">
        <v>0</v>
      </c>
      <c r="AE9" s="1031">
        <f t="shared" si="49"/>
        <v>0</v>
      </c>
      <c r="AF9" s="1031">
        <v>0</v>
      </c>
      <c r="AG9" s="1031">
        <f t="shared" si="50"/>
        <v>0</v>
      </c>
      <c r="AH9" s="1031">
        <f t="shared" si="51"/>
        <v>0</v>
      </c>
      <c r="AI9" s="1032">
        <f t="shared" si="31"/>
        <v>0</v>
      </c>
      <c r="AJ9" s="1032">
        <f t="shared" si="32"/>
        <v>0</v>
      </c>
      <c r="AK9" s="49"/>
      <c r="AL9" s="49">
        <f t="shared" si="52"/>
        <v>0</v>
      </c>
      <c r="AM9" s="49">
        <f>-'[22]Table 5C1C-Intl_VIBE'!AL9</f>
        <v>0</v>
      </c>
      <c r="AN9" s="49">
        <f>-'[21]Table 5C1C-Intl_VIBE'!P9</f>
        <v>0</v>
      </c>
      <c r="AO9" s="49">
        <f t="shared" si="53"/>
        <v>0</v>
      </c>
      <c r="AP9" s="49"/>
    </row>
    <row r="10" spans="1:42">
      <c r="A10" s="975">
        <v>4</v>
      </c>
      <c r="B10" s="976" t="s">
        <v>105</v>
      </c>
      <c r="C10" s="1168">
        <f>'Table 8 2.1.12 MFP Funded'!V7</f>
        <v>0</v>
      </c>
      <c r="D10" s="978">
        <f>'Table 3 Levels 1&amp;2'!AL11</f>
        <v>6077.3708498182023</v>
      </c>
      <c r="E10" s="1072">
        <f t="shared" si="33"/>
        <v>0</v>
      </c>
      <c r="F10" s="1072">
        <f>'Table 4 Level 3'!P9</f>
        <v>585.76</v>
      </c>
      <c r="G10" s="1072">
        <f t="shared" si="34"/>
        <v>0</v>
      </c>
      <c r="H10" s="1030">
        <f t="shared" si="35"/>
        <v>0</v>
      </c>
      <c r="I10" s="1415">
        <f>'[1]Oct midyear Intl_VIBE '!K10</f>
        <v>0</v>
      </c>
      <c r="J10" s="1415">
        <f>'[1]Feb midyear Intl_VIBE '!K10</f>
        <v>0</v>
      </c>
      <c r="K10" s="1415">
        <f t="shared" si="36"/>
        <v>0</v>
      </c>
      <c r="L10" s="1434">
        <f t="shared" si="37"/>
        <v>0</v>
      </c>
      <c r="M10" s="1082">
        <f t="shared" si="38"/>
        <v>0</v>
      </c>
      <c r="N10" s="1030">
        <f t="shared" si="39"/>
        <v>0</v>
      </c>
      <c r="O10" s="1030">
        <v>0</v>
      </c>
      <c r="P10" s="1030">
        <f t="shared" si="40"/>
        <v>0</v>
      </c>
      <c r="Q10" s="1030">
        <v>0</v>
      </c>
      <c r="R10" s="1030">
        <f t="shared" si="41"/>
        <v>0</v>
      </c>
      <c r="S10" s="1030">
        <f t="shared" si="42"/>
        <v>0</v>
      </c>
      <c r="T10" s="1029">
        <f>'[14]FY2012-13 Final'!D11</f>
        <v>3455</v>
      </c>
      <c r="U10" s="1031">
        <f t="shared" si="30"/>
        <v>0</v>
      </c>
      <c r="V10" s="1355">
        <f>'[20]Oct midyear Intl_VIBE '!E10</f>
        <v>0</v>
      </c>
      <c r="W10" s="1349">
        <f t="shared" si="43"/>
        <v>0</v>
      </c>
      <c r="X10" s="1474">
        <f>'[20]Feb midyear Intl_VIBE '!E10</f>
        <v>0</v>
      </c>
      <c r="Y10" s="1468">
        <f t="shared" si="44"/>
        <v>0</v>
      </c>
      <c r="Z10" s="1468">
        <f t="shared" si="45"/>
        <v>0</v>
      </c>
      <c r="AA10" s="1031">
        <f t="shared" si="46"/>
        <v>0</v>
      </c>
      <c r="AB10" s="1090">
        <f t="shared" si="47"/>
        <v>0</v>
      </c>
      <c r="AC10" s="1031">
        <f t="shared" si="48"/>
        <v>0</v>
      </c>
      <c r="AD10" s="1031">
        <v>0</v>
      </c>
      <c r="AE10" s="1031">
        <f t="shared" si="49"/>
        <v>0</v>
      </c>
      <c r="AF10" s="1031">
        <v>0</v>
      </c>
      <c r="AG10" s="1031">
        <f t="shared" si="50"/>
        <v>0</v>
      </c>
      <c r="AH10" s="1031">
        <f t="shared" si="51"/>
        <v>0</v>
      </c>
      <c r="AI10" s="1032">
        <f t="shared" si="31"/>
        <v>0</v>
      </c>
      <c r="AJ10" s="1032">
        <f t="shared" si="32"/>
        <v>0</v>
      </c>
      <c r="AK10" s="49"/>
      <c r="AL10" s="49">
        <f t="shared" si="52"/>
        <v>0</v>
      </c>
      <c r="AM10" s="49">
        <f>-'[22]Table 5C1C-Intl_VIBE'!AL10</f>
        <v>0</v>
      </c>
      <c r="AN10" s="49">
        <f>-'[21]Table 5C1C-Intl_VIBE'!P10</f>
        <v>0</v>
      </c>
      <c r="AO10" s="49">
        <f t="shared" si="53"/>
        <v>0</v>
      </c>
      <c r="AP10" s="49"/>
    </row>
    <row r="11" spans="1:42">
      <c r="A11" s="979">
        <v>5</v>
      </c>
      <c r="B11" s="980" t="s">
        <v>106</v>
      </c>
      <c r="C11" s="1169">
        <f>'Table 8 2.1.12 MFP Funded'!V8</f>
        <v>0</v>
      </c>
      <c r="D11" s="982">
        <f>'Table 3 Levels 1&amp;2'!AL12</f>
        <v>4878.1095033692254</v>
      </c>
      <c r="E11" s="1073">
        <f t="shared" si="33"/>
        <v>0</v>
      </c>
      <c r="F11" s="1073">
        <f>'Table 4 Level 3'!P10</f>
        <v>555.91</v>
      </c>
      <c r="G11" s="1073">
        <f t="shared" si="34"/>
        <v>0</v>
      </c>
      <c r="H11" s="1033">
        <f t="shared" si="35"/>
        <v>0</v>
      </c>
      <c r="I11" s="1416">
        <f>'[1]Oct midyear Intl_VIBE '!K11</f>
        <v>0</v>
      </c>
      <c r="J11" s="1416">
        <f>'[1]Feb midyear Intl_VIBE '!K11</f>
        <v>0</v>
      </c>
      <c r="K11" s="1416">
        <f t="shared" si="36"/>
        <v>0</v>
      </c>
      <c r="L11" s="1435">
        <f t="shared" si="37"/>
        <v>0</v>
      </c>
      <c r="M11" s="1083">
        <f t="shared" si="38"/>
        <v>0</v>
      </c>
      <c r="N11" s="1033">
        <f t="shared" si="39"/>
        <v>0</v>
      </c>
      <c r="O11" s="1033">
        <v>0</v>
      </c>
      <c r="P11" s="1033">
        <f t="shared" si="40"/>
        <v>0</v>
      </c>
      <c r="Q11" s="1033">
        <v>0</v>
      </c>
      <c r="R11" s="1033">
        <f t="shared" si="41"/>
        <v>0</v>
      </c>
      <c r="S11" s="1033">
        <f t="shared" si="42"/>
        <v>0</v>
      </c>
      <c r="T11" s="1034">
        <f>'[14]FY2012-13 Final'!D12</f>
        <v>1515</v>
      </c>
      <c r="U11" s="1035">
        <f t="shared" si="30"/>
        <v>0</v>
      </c>
      <c r="V11" s="1356">
        <f>'[20]Oct midyear Intl_VIBE '!E11</f>
        <v>0</v>
      </c>
      <c r="W11" s="1350">
        <f t="shared" si="43"/>
        <v>0</v>
      </c>
      <c r="X11" s="1475">
        <f>'[20]Feb midyear Intl_VIBE '!E11</f>
        <v>0</v>
      </c>
      <c r="Y11" s="1469">
        <f t="shared" si="44"/>
        <v>0</v>
      </c>
      <c r="Z11" s="1469">
        <f t="shared" si="45"/>
        <v>0</v>
      </c>
      <c r="AA11" s="1035">
        <f t="shared" si="46"/>
        <v>0</v>
      </c>
      <c r="AB11" s="1091">
        <f t="shared" si="47"/>
        <v>0</v>
      </c>
      <c r="AC11" s="1035">
        <f t="shared" si="48"/>
        <v>0</v>
      </c>
      <c r="AD11" s="1035">
        <v>0</v>
      </c>
      <c r="AE11" s="1035">
        <f t="shared" si="49"/>
        <v>0</v>
      </c>
      <c r="AF11" s="1035">
        <v>0</v>
      </c>
      <c r="AG11" s="1035">
        <f t="shared" si="50"/>
        <v>0</v>
      </c>
      <c r="AH11" s="1035">
        <f t="shared" si="51"/>
        <v>0</v>
      </c>
      <c r="AI11" s="1036">
        <f t="shared" si="31"/>
        <v>0</v>
      </c>
      <c r="AJ11" s="1036">
        <f t="shared" si="32"/>
        <v>0</v>
      </c>
      <c r="AK11" s="49"/>
      <c r="AL11" s="49">
        <f t="shared" si="52"/>
        <v>0</v>
      </c>
      <c r="AM11" s="49">
        <f>-'[22]Table 5C1C-Intl_VIBE'!AL11</f>
        <v>0</v>
      </c>
      <c r="AN11" s="49">
        <f>-'[21]Table 5C1C-Intl_VIBE'!P11</f>
        <v>0</v>
      </c>
      <c r="AO11" s="49">
        <f t="shared" si="53"/>
        <v>0</v>
      </c>
      <c r="AP11" s="49"/>
    </row>
    <row r="12" spans="1:42">
      <c r="A12" s="968">
        <v>6</v>
      </c>
      <c r="B12" s="969" t="s">
        <v>107</v>
      </c>
      <c r="C12" s="1170">
        <f>'Table 8 2.1.12 MFP Funded'!V9</f>
        <v>0</v>
      </c>
      <c r="D12" s="971">
        <f>'Table 3 Levels 1&amp;2'!AL13</f>
        <v>5550.1901239384006</v>
      </c>
      <c r="E12" s="1071">
        <f t="shared" si="33"/>
        <v>0</v>
      </c>
      <c r="F12" s="1071">
        <f>'Table 4 Level 3'!P11</f>
        <v>545.4799999999999</v>
      </c>
      <c r="G12" s="1071">
        <f t="shared" si="34"/>
        <v>0</v>
      </c>
      <c r="H12" s="972">
        <f t="shared" si="35"/>
        <v>0</v>
      </c>
      <c r="I12" s="1414">
        <f>'[1]Oct midyear Intl_VIBE '!K12</f>
        <v>0</v>
      </c>
      <c r="J12" s="1414">
        <f>'[1]Feb midyear Intl_VIBE '!K12</f>
        <v>0</v>
      </c>
      <c r="K12" s="1414">
        <f t="shared" si="36"/>
        <v>0</v>
      </c>
      <c r="L12" s="1213">
        <f t="shared" si="37"/>
        <v>0</v>
      </c>
      <c r="M12" s="1081">
        <f t="shared" si="38"/>
        <v>0</v>
      </c>
      <c r="N12" s="972">
        <f t="shared" si="39"/>
        <v>0</v>
      </c>
      <c r="O12" s="972">
        <v>0</v>
      </c>
      <c r="P12" s="972">
        <f t="shared" si="40"/>
        <v>0</v>
      </c>
      <c r="Q12" s="972">
        <v>0</v>
      </c>
      <c r="R12" s="972">
        <f t="shared" si="41"/>
        <v>0</v>
      </c>
      <c r="S12" s="972">
        <f t="shared" si="42"/>
        <v>0</v>
      </c>
      <c r="T12" s="1029">
        <f>'[14]FY2012-13 Final'!D13</f>
        <v>2973</v>
      </c>
      <c r="U12" s="973">
        <f t="shared" si="30"/>
        <v>0</v>
      </c>
      <c r="V12" s="1354">
        <f>'[20]Oct midyear Intl_VIBE '!E12</f>
        <v>0</v>
      </c>
      <c r="W12" s="1348">
        <f t="shared" si="43"/>
        <v>0</v>
      </c>
      <c r="X12" s="1466">
        <f>'[20]Feb midyear Intl_VIBE '!E12</f>
        <v>0</v>
      </c>
      <c r="Y12" s="1348">
        <f t="shared" si="44"/>
        <v>0</v>
      </c>
      <c r="Z12" s="1348">
        <f t="shared" si="45"/>
        <v>0</v>
      </c>
      <c r="AA12" s="973">
        <f t="shared" si="46"/>
        <v>0</v>
      </c>
      <c r="AB12" s="1089">
        <f t="shared" si="47"/>
        <v>0</v>
      </c>
      <c r="AC12" s="973">
        <f t="shared" si="48"/>
        <v>0</v>
      </c>
      <c r="AD12" s="973">
        <v>0</v>
      </c>
      <c r="AE12" s="973">
        <f t="shared" si="49"/>
        <v>0</v>
      </c>
      <c r="AF12" s="973">
        <v>0</v>
      </c>
      <c r="AG12" s="973">
        <f t="shared" si="50"/>
        <v>0</v>
      </c>
      <c r="AH12" s="973">
        <f t="shared" si="51"/>
        <v>0</v>
      </c>
      <c r="AI12" s="974">
        <f t="shared" si="31"/>
        <v>0</v>
      </c>
      <c r="AJ12" s="974">
        <f t="shared" si="32"/>
        <v>0</v>
      </c>
      <c r="AK12" s="49"/>
      <c r="AL12" s="49">
        <f t="shared" si="52"/>
        <v>0</v>
      </c>
      <c r="AM12" s="49">
        <f>-'[22]Table 5C1C-Intl_VIBE'!AL12</f>
        <v>0</v>
      </c>
      <c r="AN12" s="49">
        <f>-'[21]Table 5C1C-Intl_VIBE'!P12</f>
        <v>0</v>
      </c>
      <c r="AO12" s="49">
        <f t="shared" si="53"/>
        <v>0</v>
      </c>
      <c r="AP12" s="49"/>
    </row>
    <row r="13" spans="1:42">
      <c r="A13" s="975">
        <v>7</v>
      </c>
      <c r="B13" s="976" t="s">
        <v>108</v>
      </c>
      <c r="C13" s="1168">
        <f>'Table 8 2.1.12 MFP Funded'!V10</f>
        <v>0</v>
      </c>
      <c r="D13" s="978">
        <f>'Table 3 Levels 1&amp;2'!AL14</f>
        <v>1550.5347159603245</v>
      </c>
      <c r="E13" s="1072">
        <f t="shared" si="33"/>
        <v>0</v>
      </c>
      <c r="F13" s="1072">
        <f>'Table 4 Level 3'!P12</f>
        <v>756.91999999999985</v>
      </c>
      <c r="G13" s="1072">
        <f t="shared" si="34"/>
        <v>0</v>
      </c>
      <c r="H13" s="1030">
        <f t="shared" si="35"/>
        <v>0</v>
      </c>
      <c r="I13" s="1415">
        <f>'[1]Oct midyear Intl_VIBE '!K13</f>
        <v>0</v>
      </c>
      <c r="J13" s="1415">
        <f>'[1]Feb midyear Intl_VIBE '!K13</f>
        <v>0</v>
      </c>
      <c r="K13" s="1415">
        <f t="shared" si="36"/>
        <v>0</v>
      </c>
      <c r="L13" s="1434">
        <f t="shared" si="37"/>
        <v>0</v>
      </c>
      <c r="M13" s="1082">
        <f t="shared" si="38"/>
        <v>0</v>
      </c>
      <c r="N13" s="1030">
        <f t="shared" si="39"/>
        <v>0</v>
      </c>
      <c r="O13" s="1030">
        <v>0</v>
      </c>
      <c r="P13" s="1030">
        <f t="shared" si="40"/>
        <v>0</v>
      </c>
      <c r="Q13" s="1030">
        <v>0</v>
      </c>
      <c r="R13" s="1030">
        <f t="shared" si="41"/>
        <v>0</v>
      </c>
      <c r="S13" s="1030">
        <f t="shared" si="42"/>
        <v>0</v>
      </c>
      <c r="T13" s="1029">
        <f>'[14]FY2012-13 Final'!D14</f>
        <v>11788</v>
      </c>
      <c r="U13" s="1031">
        <f t="shared" si="30"/>
        <v>0</v>
      </c>
      <c r="V13" s="1355">
        <f>'[20]Oct midyear Intl_VIBE '!E13</f>
        <v>0</v>
      </c>
      <c r="W13" s="1349">
        <f t="shared" si="43"/>
        <v>0</v>
      </c>
      <c r="X13" s="1474">
        <f>'[20]Feb midyear Intl_VIBE '!E13</f>
        <v>0</v>
      </c>
      <c r="Y13" s="1468">
        <f t="shared" si="44"/>
        <v>0</v>
      </c>
      <c r="Z13" s="1468">
        <f t="shared" si="45"/>
        <v>0</v>
      </c>
      <c r="AA13" s="1031">
        <f t="shared" si="46"/>
        <v>0</v>
      </c>
      <c r="AB13" s="1090">
        <f t="shared" si="47"/>
        <v>0</v>
      </c>
      <c r="AC13" s="1031">
        <f t="shared" si="48"/>
        <v>0</v>
      </c>
      <c r="AD13" s="1031">
        <v>0</v>
      </c>
      <c r="AE13" s="1031">
        <f t="shared" si="49"/>
        <v>0</v>
      </c>
      <c r="AF13" s="1031">
        <v>0</v>
      </c>
      <c r="AG13" s="1031">
        <f t="shared" si="50"/>
        <v>0</v>
      </c>
      <c r="AH13" s="1031">
        <f t="shared" si="51"/>
        <v>0</v>
      </c>
      <c r="AI13" s="1032">
        <f t="shared" si="31"/>
        <v>0</v>
      </c>
      <c r="AJ13" s="1032">
        <f t="shared" si="32"/>
        <v>0</v>
      </c>
      <c r="AK13" s="49"/>
      <c r="AL13" s="49">
        <f t="shared" si="52"/>
        <v>0</v>
      </c>
      <c r="AM13" s="49">
        <f>-'[22]Table 5C1C-Intl_VIBE'!AL13</f>
        <v>0</v>
      </c>
      <c r="AN13" s="49">
        <f>-'[21]Table 5C1C-Intl_VIBE'!P13</f>
        <v>0</v>
      </c>
      <c r="AO13" s="49">
        <f t="shared" si="53"/>
        <v>0</v>
      </c>
      <c r="AP13" s="49"/>
    </row>
    <row r="14" spans="1:42">
      <c r="A14" s="975">
        <v>8</v>
      </c>
      <c r="B14" s="976" t="s">
        <v>109</v>
      </c>
      <c r="C14" s="1168">
        <f>'Table 8 2.1.12 MFP Funded'!V11</f>
        <v>0</v>
      </c>
      <c r="D14" s="978">
        <f>'Table 3 Levels 1&amp;2'!AL15</f>
        <v>4054.7459475361657</v>
      </c>
      <c r="E14" s="1072">
        <f t="shared" si="33"/>
        <v>0</v>
      </c>
      <c r="F14" s="1072">
        <f>'Table 4 Level 3'!P13</f>
        <v>725.76</v>
      </c>
      <c r="G14" s="1072">
        <f t="shared" si="34"/>
        <v>0</v>
      </c>
      <c r="H14" s="1030">
        <f t="shared" si="35"/>
        <v>0</v>
      </c>
      <c r="I14" s="1415">
        <f>'[1]Oct midyear Intl_VIBE '!K14</f>
        <v>0</v>
      </c>
      <c r="J14" s="1415">
        <f>'[1]Feb midyear Intl_VIBE '!K14</f>
        <v>0</v>
      </c>
      <c r="K14" s="1415">
        <f t="shared" si="36"/>
        <v>0</v>
      </c>
      <c r="L14" s="1434">
        <f t="shared" si="37"/>
        <v>0</v>
      </c>
      <c r="M14" s="1082">
        <f t="shared" si="38"/>
        <v>0</v>
      </c>
      <c r="N14" s="1030">
        <f t="shared" si="39"/>
        <v>0</v>
      </c>
      <c r="O14" s="1030">
        <v>0</v>
      </c>
      <c r="P14" s="1030">
        <f t="shared" si="40"/>
        <v>0</v>
      </c>
      <c r="Q14" s="1030">
        <v>0</v>
      </c>
      <c r="R14" s="1030">
        <f t="shared" si="41"/>
        <v>0</v>
      </c>
      <c r="S14" s="1030">
        <f t="shared" si="42"/>
        <v>0</v>
      </c>
      <c r="T14" s="1029">
        <f>'[14]FY2012-13 Final'!D15</f>
        <v>3649</v>
      </c>
      <c r="U14" s="1031">
        <f t="shared" si="30"/>
        <v>0</v>
      </c>
      <c r="V14" s="1355">
        <f>'[20]Oct midyear Intl_VIBE '!E14</f>
        <v>0</v>
      </c>
      <c r="W14" s="1349">
        <f t="shared" si="43"/>
        <v>0</v>
      </c>
      <c r="X14" s="1474">
        <f>'[20]Feb midyear Intl_VIBE '!E14</f>
        <v>0</v>
      </c>
      <c r="Y14" s="1468">
        <f t="shared" si="44"/>
        <v>0</v>
      </c>
      <c r="Z14" s="1468">
        <f t="shared" si="45"/>
        <v>0</v>
      </c>
      <c r="AA14" s="1031">
        <f t="shared" si="46"/>
        <v>0</v>
      </c>
      <c r="AB14" s="1090">
        <f t="shared" si="47"/>
        <v>0</v>
      </c>
      <c r="AC14" s="1031">
        <f t="shared" si="48"/>
        <v>0</v>
      </c>
      <c r="AD14" s="1031">
        <v>0</v>
      </c>
      <c r="AE14" s="1031">
        <f t="shared" si="49"/>
        <v>0</v>
      </c>
      <c r="AF14" s="1031">
        <v>0</v>
      </c>
      <c r="AG14" s="1031">
        <f t="shared" si="50"/>
        <v>0</v>
      </c>
      <c r="AH14" s="1031">
        <f t="shared" si="51"/>
        <v>0</v>
      </c>
      <c r="AI14" s="1032">
        <f t="shared" si="31"/>
        <v>0</v>
      </c>
      <c r="AJ14" s="1032">
        <f t="shared" si="32"/>
        <v>0</v>
      </c>
      <c r="AK14" s="49"/>
      <c r="AL14" s="49">
        <f t="shared" si="52"/>
        <v>0</v>
      </c>
      <c r="AM14" s="49">
        <f>-'[22]Table 5C1C-Intl_VIBE'!AL14</f>
        <v>0</v>
      </c>
      <c r="AN14" s="49">
        <f>-'[21]Table 5C1C-Intl_VIBE'!P14</f>
        <v>0</v>
      </c>
      <c r="AO14" s="49">
        <f t="shared" si="53"/>
        <v>0</v>
      </c>
      <c r="AP14" s="49"/>
    </row>
    <row r="15" spans="1:42">
      <c r="A15" s="975">
        <v>9</v>
      </c>
      <c r="B15" s="976" t="s">
        <v>110</v>
      </c>
      <c r="C15" s="1168">
        <f>'Table 8 2.1.12 MFP Funded'!V12</f>
        <v>0</v>
      </c>
      <c r="D15" s="978">
        <f>'Table 3 Levels 1&amp;2'!AL16</f>
        <v>4287.1210280148016</v>
      </c>
      <c r="E15" s="1072">
        <f t="shared" si="33"/>
        <v>0</v>
      </c>
      <c r="F15" s="1072">
        <f>'Table 4 Level 3'!P14</f>
        <v>744.76</v>
      </c>
      <c r="G15" s="1072">
        <f t="shared" si="34"/>
        <v>0</v>
      </c>
      <c r="H15" s="1030">
        <f t="shared" si="35"/>
        <v>0</v>
      </c>
      <c r="I15" s="1415">
        <f>'[1]Oct midyear Intl_VIBE '!K15</f>
        <v>0</v>
      </c>
      <c r="J15" s="1415">
        <f>'[1]Feb midyear Intl_VIBE '!K15</f>
        <v>0</v>
      </c>
      <c r="K15" s="1415">
        <f t="shared" si="36"/>
        <v>0</v>
      </c>
      <c r="L15" s="1434">
        <f t="shared" si="37"/>
        <v>0</v>
      </c>
      <c r="M15" s="1082">
        <f t="shared" si="38"/>
        <v>0</v>
      </c>
      <c r="N15" s="1030">
        <f t="shared" si="39"/>
        <v>0</v>
      </c>
      <c r="O15" s="1030">
        <v>0</v>
      </c>
      <c r="P15" s="1030">
        <f t="shared" si="40"/>
        <v>0</v>
      </c>
      <c r="Q15" s="1030">
        <v>0</v>
      </c>
      <c r="R15" s="1030">
        <f t="shared" si="41"/>
        <v>0</v>
      </c>
      <c r="S15" s="1030">
        <f t="shared" si="42"/>
        <v>0</v>
      </c>
      <c r="T15" s="1029">
        <f>'[14]FY2012-13 Final'!D16</f>
        <v>3942</v>
      </c>
      <c r="U15" s="1031">
        <f t="shared" si="30"/>
        <v>0</v>
      </c>
      <c r="V15" s="1355">
        <f>'[20]Oct midyear Intl_VIBE '!E15</f>
        <v>0</v>
      </c>
      <c r="W15" s="1349">
        <f t="shared" si="43"/>
        <v>0</v>
      </c>
      <c r="X15" s="1474">
        <f>'[20]Feb midyear Intl_VIBE '!E15</f>
        <v>0</v>
      </c>
      <c r="Y15" s="1468">
        <f t="shared" si="44"/>
        <v>0</v>
      </c>
      <c r="Z15" s="1468">
        <f t="shared" si="45"/>
        <v>0</v>
      </c>
      <c r="AA15" s="1031">
        <f t="shared" si="46"/>
        <v>0</v>
      </c>
      <c r="AB15" s="1090">
        <f t="shared" si="47"/>
        <v>0</v>
      </c>
      <c r="AC15" s="1031">
        <f t="shared" si="48"/>
        <v>0</v>
      </c>
      <c r="AD15" s="1031">
        <v>0</v>
      </c>
      <c r="AE15" s="1031">
        <f t="shared" si="49"/>
        <v>0</v>
      </c>
      <c r="AF15" s="1031">
        <v>0</v>
      </c>
      <c r="AG15" s="1031">
        <f t="shared" si="50"/>
        <v>0</v>
      </c>
      <c r="AH15" s="1031">
        <f t="shared" si="51"/>
        <v>0</v>
      </c>
      <c r="AI15" s="1032">
        <f t="shared" si="31"/>
        <v>0</v>
      </c>
      <c r="AJ15" s="1032">
        <f t="shared" si="32"/>
        <v>0</v>
      </c>
      <c r="AK15" s="49"/>
      <c r="AL15" s="49">
        <f t="shared" si="52"/>
        <v>0</v>
      </c>
      <c r="AM15" s="49">
        <f>-'[22]Table 5C1C-Intl_VIBE'!AL15</f>
        <v>0</v>
      </c>
      <c r="AN15" s="49">
        <f>-'[21]Table 5C1C-Intl_VIBE'!P15</f>
        <v>0</v>
      </c>
      <c r="AO15" s="49">
        <f t="shared" si="53"/>
        <v>0</v>
      </c>
      <c r="AP15" s="49"/>
    </row>
    <row r="16" spans="1:42">
      <c r="A16" s="979">
        <v>10</v>
      </c>
      <c r="B16" s="980" t="s">
        <v>111</v>
      </c>
      <c r="C16" s="1169">
        <f>'Table 8 2.1.12 MFP Funded'!V13</f>
        <v>0</v>
      </c>
      <c r="D16" s="982">
        <f>'Table 3 Levels 1&amp;2'!AL17</f>
        <v>4320.1782742925079</v>
      </c>
      <c r="E16" s="1073">
        <f t="shared" si="33"/>
        <v>0</v>
      </c>
      <c r="F16" s="1073">
        <f>'Table 4 Level 3'!P15</f>
        <v>608.04000000000008</v>
      </c>
      <c r="G16" s="1073">
        <f t="shared" si="34"/>
        <v>0</v>
      </c>
      <c r="H16" s="1033">
        <f t="shared" si="35"/>
        <v>0</v>
      </c>
      <c r="I16" s="1416">
        <f>'[1]Oct midyear Intl_VIBE '!K16</f>
        <v>0</v>
      </c>
      <c r="J16" s="1416">
        <f>'[1]Feb midyear Intl_VIBE '!K16</f>
        <v>0</v>
      </c>
      <c r="K16" s="1416">
        <f t="shared" si="36"/>
        <v>0</v>
      </c>
      <c r="L16" s="1435">
        <f t="shared" si="37"/>
        <v>0</v>
      </c>
      <c r="M16" s="1083">
        <f t="shared" si="38"/>
        <v>0</v>
      </c>
      <c r="N16" s="1033">
        <f t="shared" si="39"/>
        <v>0</v>
      </c>
      <c r="O16" s="1033">
        <v>0</v>
      </c>
      <c r="P16" s="1033">
        <f t="shared" si="40"/>
        <v>0</v>
      </c>
      <c r="Q16" s="1033">
        <v>0</v>
      </c>
      <c r="R16" s="1033">
        <f t="shared" si="41"/>
        <v>0</v>
      </c>
      <c r="S16" s="1033">
        <f t="shared" si="42"/>
        <v>0</v>
      </c>
      <c r="T16" s="1034">
        <f>'[14]FY2012-13 Final'!D17</f>
        <v>3674</v>
      </c>
      <c r="U16" s="1035">
        <f t="shared" si="30"/>
        <v>0</v>
      </c>
      <c r="V16" s="1356">
        <f>'[20]Oct midyear Intl_VIBE '!E16</f>
        <v>0</v>
      </c>
      <c r="W16" s="1350">
        <f t="shared" si="43"/>
        <v>0</v>
      </c>
      <c r="X16" s="1475">
        <f>'[20]Feb midyear Intl_VIBE '!E16</f>
        <v>0</v>
      </c>
      <c r="Y16" s="1469">
        <f t="shared" si="44"/>
        <v>0</v>
      </c>
      <c r="Z16" s="1469">
        <f t="shared" si="45"/>
        <v>0</v>
      </c>
      <c r="AA16" s="1035">
        <f t="shared" si="46"/>
        <v>0</v>
      </c>
      <c r="AB16" s="1091">
        <f t="shared" si="47"/>
        <v>0</v>
      </c>
      <c r="AC16" s="1035">
        <f t="shared" si="48"/>
        <v>0</v>
      </c>
      <c r="AD16" s="1035">
        <v>0</v>
      </c>
      <c r="AE16" s="1035">
        <f t="shared" si="49"/>
        <v>0</v>
      </c>
      <c r="AF16" s="1035">
        <v>0</v>
      </c>
      <c r="AG16" s="1035">
        <f t="shared" si="50"/>
        <v>0</v>
      </c>
      <c r="AH16" s="1035">
        <f t="shared" si="51"/>
        <v>0</v>
      </c>
      <c r="AI16" s="1036">
        <f t="shared" si="31"/>
        <v>0</v>
      </c>
      <c r="AJ16" s="1036">
        <f t="shared" si="32"/>
        <v>0</v>
      </c>
      <c r="AK16" s="49"/>
      <c r="AL16" s="49">
        <f t="shared" si="52"/>
        <v>0</v>
      </c>
      <c r="AM16" s="49">
        <f>-'[22]Table 5C1C-Intl_VIBE'!AL16</f>
        <v>0</v>
      </c>
      <c r="AN16" s="49">
        <f>-'[21]Table 5C1C-Intl_VIBE'!P16</f>
        <v>0</v>
      </c>
      <c r="AO16" s="49">
        <f t="shared" si="53"/>
        <v>0</v>
      </c>
      <c r="AP16" s="49"/>
    </row>
    <row r="17" spans="1:42">
      <c r="A17" s="968">
        <v>11</v>
      </c>
      <c r="B17" s="969" t="s">
        <v>112</v>
      </c>
      <c r="C17" s="1170">
        <f>'Table 8 2.1.12 MFP Funded'!V14</f>
        <v>0</v>
      </c>
      <c r="D17" s="971">
        <f>'Table 3 Levels 1&amp;2'!AL18</f>
        <v>6754.8947842641273</v>
      </c>
      <c r="E17" s="1071">
        <f t="shared" si="33"/>
        <v>0</v>
      </c>
      <c r="F17" s="1071">
        <f>'Table 4 Level 3'!P16</f>
        <v>706.55</v>
      </c>
      <c r="G17" s="1071">
        <f t="shared" si="34"/>
        <v>0</v>
      </c>
      <c r="H17" s="972">
        <f t="shared" si="35"/>
        <v>0</v>
      </c>
      <c r="I17" s="1414">
        <f>'[1]Oct midyear Intl_VIBE '!K17</f>
        <v>0</v>
      </c>
      <c r="J17" s="1414">
        <f>'[1]Feb midyear Intl_VIBE '!K17</f>
        <v>0</v>
      </c>
      <c r="K17" s="1414">
        <f t="shared" si="36"/>
        <v>0</v>
      </c>
      <c r="L17" s="1213">
        <f t="shared" si="37"/>
        <v>0</v>
      </c>
      <c r="M17" s="1081">
        <f t="shared" si="38"/>
        <v>0</v>
      </c>
      <c r="N17" s="972">
        <f t="shared" si="39"/>
        <v>0</v>
      </c>
      <c r="O17" s="972">
        <v>0</v>
      </c>
      <c r="P17" s="972">
        <f t="shared" si="40"/>
        <v>0</v>
      </c>
      <c r="Q17" s="972">
        <v>0</v>
      </c>
      <c r="R17" s="972">
        <f t="shared" si="41"/>
        <v>0</v>
      </c>
      <c r="S17" s="972">
        <f t="shared" si="42"/>
        <v>0</v>
      </c>
      <c r="T17" s="1029">
        <f>'[14]FY2012-13 Final'!D18</f>
        <v>2496</v>
      </c>
      <c r="U17" s="973">
        <f t="shared" si="30"/>
        <v>0</v>
      </c>
      <c r="V17" s="1354">
        <f>'[20]Oct midyear Intl_VIBE '!E17</f>
        <v>0</v>
      </c>
      <c r="W17" s="1348">
        <f t="shared" si="43"/>
        <v>0</v>
      </c>
      <c r="X17" s="1466">
        <f>'[20]Feb midyear Intl_VIBE '!E17</f>
        <v>0</v>
      </c>
      <c r="Y17" s="1348">
        <f t="shared" si="44"/>
        <v>0</v>
      </c>
      <c r="Z17" s="1348">
        <f t="shared" si="45"/>
        <v>0</v>
      </c>
      <c r="AA17" s="973">
        <f t="shared" si="46"/>
        <v>0</v>
      </c>
      <c r="AB17" s="1089">
        <f t="shared" si="47"/>
        <v>0</v>
      </c>
      <c r="AC17" s="973">
        <f t="shared" si="48"/>
        <v>0</v>
      </c>
      <c r="AD17" s="973">
        <v>0</v>
      </c>
      <c r="AE17" s="973">
        <f t="shared" si="49"/>
        <v>0</v>
      </c>
      <c r="AF17" s="973">
        <v>0</v>
      </c>
      <c r="AG17" s="973">
        <f t="shared" si="50"/>
        <v>0</v>
      </c>
      <c r="AH17" s="973">
        <f t="shared" si="51"/>
        <v>0</v>
      </c>
      <c r="AI17" s="974">
        <f t="shared" si="31"/>
        <v>0</v>
      </c>
      <c r="AJ17" s="974">
        <f t="shared" si="32"/>
        <v>0</v>
      </c>
      <c r="AK17" s="49"/>
      <c r="AL17" s="49">
        <f t="shared" si="52"/>
        <v>0</v>
      </c>
      <c r="AM17" s="49">
        <f>-'[22]Table 5C1C-Intl_VIBE'!AL17</f>
        <v>0</v>
      </c>
      <c r="AN17" s="49">
        <f>-'[21]Table 5C1C-Intl_VIBE'!P17</f>
        <v>0</v>
      </c>
      <c r="AO17" s="49">
        <f t="shared" si="53"/>
        <v>0</v>
      </c>
      <c r="AP17" s="49"/>
    </row>
    <row r="18" spans="1:42">
      <c r="A18" s="975">
        <v>12</v>
      </c>
      <c r="B18" s="976" t="s">
        <v>113</v>
      </c>
      <c r="C18" s="1168">
        <f>'Table 8 2.1.12 MFP Funded'!V15</f>
        <v>0</v>
      </c>
      <c r="D18" s="978">
        <f>'Table 3 Levels 1&amp;2'!AL19</f>
        <v>1807.9873469387755</v>
      </c>
      <c r="E18" s="1072">
        <f t="shared" si="33"/>
        <v>0</v>
      </c>
      <c r="F18" s="1072">
        <f>'Table 4 Level 3'!P17</f>
        <v>1063.31</v>
      </c>
      <c r="G18" s="1072">
        <f t="shared" si="34"/>
        <v>0</v>
      </c>
      <c r="H18" s="1030">
        <f t="shared" si="35"/>
        <v>0</v>
      </c>
      <c r="I18" s="1415">
        <f>'[1]Oct midyear Intl_VIBE '!K18</f>
        <v>0</v>
      </c>
      <c r="J18" s="1415">
        <f>'[1]Feb midyear Intl_VIBE '!K18</f>
        <v>0</v>
      </c>
      <c r="K18" s="1415">
        <f t="shared" si="36"/>
        <v>0</v>
      </c>
      <c r="L18" s="1434">
        <f t="shared" si="37"/>
        <v>0</v>
      </c>
      <c r="M18" s="1082">
        <f t="shared" si="38"/>
        <v>0</v>
      </c>
      <c r="N18" s="1030">
        <f t="shared" si="39"/>
        <v>0</v>
      </c>
      <c r="O18" s="1030">
        <v>0</v>
      </c>
      <c r="P18" s="1030">
        <f t="shared" si="40"/>
        <v>0</v>
      </c>
      <c r="Q18" s="1030">
        <v>0</v>
      </c>
      <c r="R18" s="1030">
        <f t="shared" si="41"/>
        <v>0</v>
      </c>
      <c r="S18" s="1030">
        <f t="shared" si="42"/>
        <v>0</v>
      </c>
      <c r="T18" s="1029">
        <f>'[14]FY2012-13 Final'!D19</f>
        <v>11924</v>
      </c>
      <c r="U18" s="1031">
        <f t="shared" si="30"/>
        <v>0</v>
      </c>
      <c r="V18" s="1355">
        <f>'[20]Oct midyear Intl_VIBE '!E18</f>
        <v>0</v>
      </c>
      <c r="W18" s="1349">
        <f t="shared" si="43"/>
        <v>0</v>
      </c>
      <c r="X18" s="1474">
        <f>'[20]Feb midyear Intl_VIBE '!E18</f>
        <v>0</v>
      </c>
      <c r="Y18" s="1468">
        <f t="shared" si="44"/>
        <v>0</v>
      </c>
      <c r="Z18" s="1468">
        <f t="shared" si="45"/>
        <v>0</v>
      </c>
      <c r="AA18" s="1031">
        <f t="shared" si="46"/>
        <v>0</v>
      </c>
      <c r="AB18" s="1090">
        <f t="shared" si="47"/>
        <v>0</v>
      </c>
      <c r="AC18" s="1031">
        <f t="shared" si="48"/>
        <v>0</v>
      </c>
      <c r="AD18" s="1031">
        <v>0</v>
      </c>
      <c r="AE18" s="1031">
        <f t="shared" si="49"/>
        <v>0</v>
      </c>
      <c r="AF18" s="1031">
        <v>0</v>
      </c>
      <c r="AG18" s="1031">
        <f t="shared" si="50"/>
        <v>0</v>
      </c>
      <c r="AH18" s="1031">
        <f t="shared" si="51"/>
        <v>0</v>
      </c>
      <c r="AI18" s="1032">
        <f t="shared" si="31"/>
        <v>0</v>
      </c>
      <c r="AJ18" s="1032">
        <f t="shared" si="32"/>
        <v>0</v>
      </c>
      <c r="AK18" s="49"/>
      <c r="AL18" s="49">
        <f t="shared" si="52"/>
        <v>0</v>
      </c>
      <c r="AM18" s="49">
        <f>-'[22]Table 5C1C-Intl_VIBE'!AL18</f>
        <v>0</v>
      </c>
      <c r="AN18" s="49">
        <f>-'[21]Table 5C1C-Intl_VIBE'!P18</f>
        <v>0</v>
      </c>
      <c r="AO18" s="49">
        <f t="shared" si="53"/>
        <v>0</v>
      </c>
      <c r="AP18" s="49"/>
    </row>
    <row r="19" spans="1:42">
      <c r="A19" s="975">
        <v>13</v>
      </c>
      <c r="B19" s="976" t="s">
        <v>114</v>
      </c>
      <c r="C19" s="1168">
        <f>'Table 8 2.1.12 MFP Funded'!V16</f>
        <v>0</v>
      </c>
      <c r="D19" s="978">
        <f>'Table 3 Levels 1&amp;2'!AL20</f>
        <v>6143.511131744569</v>
      </c>
      <c r="E19" s="1072">
        <f t="shared" si="33"/>
        <v>0</v>
      </c>
      <c r="F19" s="1072">
        <f>'Table 4 Level 3'!P18</f>
        <v>749.43000000000006</v>
      </c>
      <c r="G19" s="1072">
        <f t="shared" si="34"/>
        <v>0</v>
      </c>
      <c r="H19" s="1030">
        <f t="shared" si="35"/>
        <v>0</v>
      </c>
      <c r="I19" s="1415">
        <f>'[1]Oct midyear Intl_VIBE '!K19</f>
        <v>0</v>
      </c>
      <c r="J19" s="1415">
        <f>'[1]Feb midyear Intl_VIBE '!K19</f>
        <v>0</v>
      </c>
      <c r="K19" s="1415">
        <f t="shared" si="36"/>
        <v>0</v>
      </c>
      <c r="L19" s="1434">
        <f t="shared" si="37"/>
        <v>0</v>
      </c>
      <c r="M19" s="1082">
        <f t="shared" si="38"/>
        <v>0</v>
      </c>
      <c r="N19" s="1030">
        <f t="shared" si="39"/>
        <v>0</v>
      </c>
      <c r="O19" s="1030">
        <v>0</v>
      </c>
      <c r="P19" s="1030">
        <f t="shared" si="40"/>
        <v>0</v>
      </c>
      <c r="Q19" s="1030">
        <v>0</v>
      </c>
      <c r="R19" s="1030">
        <f t="shared" si="41"/>
        <v>0</v>
      </c>
      <c r="S19" s="1030">
        <f t="shared" si="42"/>
        <v>0</v>
      </c>
      <c r="T19" s="1029">
        <f>'[14]FY2012-13 Final'!D20</f>
        <v>2410</v>
      </c>
      <c r="U19" s="1031">
        <f t="shared" si="30"/>
        <v>0</v>
      </c>
      <c r="V19" s="1355">
        <f>'[20]Oct midyear Intl_VIBE '!E19</f>
        <v>0</v>
      </c>
      <c r="W19" s="1349">
        <f t="shared" si="43"/>
        <v>0</v>
      </c>
      <c r="X19" s="1474">
        <f>'[20]Feb midyear Intl_VIBE '!E19</f>
        <v>0</v>
      </c>
      <c r="Y19" s="1468">
        <f t="shared" si="44"/>
        <v>0</v>
      </c>
      <c r="Z19" s="1468">
        <f t="shared" si="45"/>
        <v>0</v>
      </c>
      <c r="AA19" s="1031">
        <f t="shared" si="46"/>
        <v>0</v>
      </c>
      <c r="AB19" s="1090">
        <f t="shared" si="47"/>
        <v>0</v>
      </c>
      <c r="AC19" s="1031">
        <f t="shared" si="48"/>
        <v>0</v>
      </c>
      <c r="AD19" s="1031">
        <v>0</v>
      </c>
      <c r="AE19" s="1031">
        <f t="shared" si="49"/>
        <v>0</v>
      </c>
      <c r="AF19" s="1031">
        <v>0</v>
      </c>
      <c r="AG19" s="1031">
        <f t="shared" si="50"/>
        <v>0</v>
      </c>
      <c r="AH19" s="1031">
        <f t="shared" si="51"/>
        <v>0</v>
      </c>
      <c r="AI19" s="1032">
        <f t="shared" si="31"/>
        <v>0</v>
      </c>
      <c r="AJ19" s="1032">
        <f t="shared" si="32"/>
        <v>0</v>
      </c>
      <c r="AK19" s="49"/>
      <c r="AL19" s="49">
        <f t="shared" si="52"/>
        <v>0</v>
      </c>
      <c r="AM19" s="49">
        <f>-'[22]Table 5C1C-Intl_VIBE'!AL19</f>
        <v>0</v>
      </c>
      <c r="AN19" s="49">
        <f>-'[21]Table 5C1C-Intl_VIBE'!P19</f>
        <v>0</v>
      </c>
      <c r="AO19" s="49">
        <f t="shared" si="53"/>
        <v>0</v>
      </c>
      <c r="AP19" s="49"/>
    </row>
    <row r="20" spans="1:42">
      <c r="A20" s="975">
        <v>14</v>
      </c>
      <c r="B20" s="976" t="s">
        <v>115</v>
      </c>
      <c r="C20" s="1168">
        <f>'Table 8 2.1.12 MFP Funded'!V17</f>
        <v>0</v>
      </c>
      <c r="D20" s="978">
        <f>'Table 3 Levels 1&amp;2'!AL21</f>
        <v>5304.5609177528095</v>
      </c>
      <c r="E20" s="1072">
        <f t="shared" si="33"/>
        <v>0</v>
      </c>
      <c r="F20" s="1072">
        <f>'Table 4 Level 3'!P19</f>
        <v>809.9799999999999</v>
      </c>
      <c r="G20" s="1072">
        <f t="shared" si="34"/>
        <v>0</v>
      </c>
      <c r="H20" s="1030">
        <f t="shared" si="35"/>
        <v>0</v>
      </c>
      <c r="I20" s="1415">
        <f>'[1]Oct midyear Intl_VIBE '!K20</f>
        <v>0</v>
      </c>
      <c r="J20" s="1415">
        <f>'[1]Feb midyear Intl_VIBE '!K20</f>
        <v>0</v>
      </c>
      <c r="K20" s="1415">
        <f t="shared" si="36"/>
        <v>0</v>
      </c>
      <c r="L20" s="1434">
        <f t="shared" si="37"/>
        <v>0</v>
      </c>
      <c r="M20" s="1082">
        <f t="shared" si="38"/>
        <v>0</v>
      </c>
      <c r="N20" s="1030">
        <f t="shared" si="39"/>
        <v>0</v>
      </c>
      <c r="O20" s="1030">
        <v>0</v>
      </c>
      <c r="P20" s="1030">
        <f t="shared" si="40"/>
        <v>0</v>
      </c>
      <c r="Q20" s="1030">
        <v>0</v>
      </c>
      <c r="R20" s="1030">
        <f t="shared" si="41"/>
        <v>0</v>
      </c>
      <c r="S20" s="1030">
        <f t="shared" si="42"/>
        <v>0</v>
      </c>
      <c r="T20" s="1029">
        <f>'[14]FY2012-13 Final'!D21</f>
        <v>3331</v>
      </c>
      <c r="U20" s="1031">
        <f t="shared" si="30"/>
        <v>0</v>
      </c>
      <c r="V20" s="1355">
        <f>'[20]Oct midyear Intl_VIBE '!E20</f>
        <v>0</v>
      </c>
      <c r="W20" s="1349">
        <f t="shared" si="43"/>
        <v>0</v>
      </c>
      <c r="X20" s="1474">
        <f>'[20]Feb midyear Intl_VIBE '!E20</f>
        <v>0</v>
      </c>
      <c r="Y20" s="1468">
        <f t="shared" si="44"/>
        <v>0</v>
      </c>
      <c r="Z20" s="1468">
        <f t="shared" si="45"/>
        <v>0</v>
      </c>
      <c r="AA20" s="1031">
        <f t="shared" si="46"/>
        <v>0</v>
      </c>
      <c r="AB20" s="1090">
        <f t="shared" si="47"/>
        <v>0</v>
      </c>
      <c r="AC20" s="1031">
        <f t="shared" si="48"/>
        <v>0</v>
      </c>
      <c r="AD20" s="1031">
        <v>0</v>
      </c>
      <c r="AE20" s="1031">
        <f t="shared" si="49"/>
        <v>0</v>
      </c>
      <c r="AF20" s="1031">
        <v>0</v>
      </c>
      <c r="AG20" s="1031">
        <f t="shared" si="50"/>
        <v>0</v>
      </c>
      <c r="AH20" s="1031">
        <f t="shared" si="51"/>
        <v>0</v>
      </c>
      <c r="AI20" s="1032">
        <f t="shared" si="31"/>
        <v>0</v>
      </c>
      <c r="AJ20" s="1032">
        <f t="shared" si="32"/>
        <v>0</v>
      </c>
      <c r="AK20" s="49"/>
      <c r="AL20" s="49">
        <f t="shared" si="52"/>
        <v>0</v>
      </c>
      <c r="AM20" s="49">
        <f>-'[22]Table 5C1C-Intl_VIBE'!AL20</f>
        <v>0</v>
      </c>
      <c r="AN20" s="49">
        <f>-'[21]Table 5C1C-Intl_VIBE'!P20</f>
        <v>0</v>
      </c>
      <c r="AO20" s="49">
        <f t="shared" si="53"/>
        <v>0</v>
      </c>
      <c r="AP20" s="49"/>
    </row>
    <row r="21" spans="1:42">
      <c r="A21" s="979">
        <v>15</v>
      </c>
      <c r="B21" s="980" t="s">
        <v>116</v>
      </c>
      <c r="C21" s="1169">
        <f>'Table 8 2.1.12 MFP Funded'!V18</f>
        <v>0</v>
      </c>
      <c r="D21" s="982">
        <f>'Table 3 Levels 1&amp;2'!AL22</f>
        <v>5440.6588926253107</v>
      </c>
      <c r="E21" s="1073">
        <f t="shared" si="33"/>
        <v>0</v>
      </c>
      <c r="F21" s="1073">
        <f>'Table 4 Level 3'!P20</f>
        <v>553.79999999999995</v>
      </c>
      <c r="G21" s="1073">
        <f t="shared" si="34"/>
        <v>0</v>
      </c>
      <c r="H21" s="1033">
        <f t="shared" si="35"/>
        <v>0</v>
      </c>
      <c r="I21" s="1416">
        <f>'[1]Oct midyear Intl_VIBE '!K21</f>
        <v>0</v>
      </c>
      <c r="J21" s="1416">
        <f>'[1]Feb midyear Intl_VIBE '!K21</f>
        <v>0</v>
      </c>
      <c r="K21" s="1416">
        <f t="shared" si="36"/>
        <v>0</v>
      </c>
      <c r="L21" s="1435">
        <f t="shared" si="37"/>
        <v>0</v>
      </c>
      <c r="M21" s="1083">
        <f t="shared" si="38"/>
        <v>0</v>
      </c>
      <c r="N21" s="1033">
        <f t="shared" si="39"/>
        <v>0</v>
      </c>
      <c r="O21" s="1033">
        <v>0</v>
      </c>
      <c r="P21" s="1033">
        <f t="shared" si="40"/>
        <v>0</v>
      </c>
      <c r="Q21" s="1033">
        <v>0</v>
      </c>
      <c r="R21" s="1033">
        <f t="shared" si="41"/>
        <v>0</v>
      </c>
      <c r="S21" s="1033">
        <f t="shared" si="42"/>
        <v>0</v>
      </c>
      <c r="T21" s="1034">
        <f>'[14]FY2012-13 Final'!D22</f>
        <v>2752</v>
      </c>
      <c r="U21" s="1035">
        <f t="shared" si="30"/>
        <v>0</v>
      </c>
      <c r="V21" s="1356">
        <f>'[20]Oct midyear Intl_VIBE '!E21</f>
        <v>0</v>
      </c>
      <c r="W21" s="1350">
        <f t="shared" si="43"/>
        <v>0</v>
      </c>
      <c r="X21" s="1475">
        <f>'[20]Feb midyear Intl_VIBE '!E21</f>
        <v>0</v>
      </c>
      <c r="Y21" s="1469">
        <f t="shared" si="44"/>
        <v>0</v>
      </c>
      <c r="Z21" s="1469">
        <f t="shared" si="45"/>
        <v>0</v>
      </c>
      <c r="AA21" s="1035">
        <f t="shared" si="46"/>
        <v>0</v>
      </c>
      <c r="AB21" s="1091">
        <f t="shared" si="47"/>
        <v>0</v>
      </c>
      <c r="AC21" s="1035">
        <f t="shared" si="48"/>
        <v>0</v>
      </c>
      <c r="AD21" s="1035">
        <v>0</v>
      </c>
      <c r="AE21" s="1035">
        <f t="shared" si="49"/>
        <v>0</v>
      </c>
      <c r="AF21" s="1035">
        <v>0</v>
      </c>
      <c r="AG21" s="1035">
        <f t="shared" si="50"/>
        <v>0</v>
      </c>
      <c r="AH21" s="1035">
        <f t="shared" si="51"/>
        <v>0</v>
      </c>
      <c r="AI21" s="1036">
        <f t="shared" si="31"/>
        <v>0</v>
      </c>
      <c r="AJ21" s="1036">
        <f t="shared" si="32"/>
        <v>0</v>
      </c>
      <c r="AK21" s="49"/>
      <c r="AL21" s="49">
        <f t="shared" si="52"/>
        <v>0</v>
      </c>
      <c r="AM21" s="49">
        <f>-'[22]Table 5C1C-Intl_VIBE'!AL21</f>
        <v>0</v>
      </c>
      <c r="AN21" s="49">
        <f>-'[21]Table 5C1C-Intl_VIBE'!P21</f>
        <v>0</v>
      </c>
      <c r="AO21" s="49">
        <f t="shared" si="53"/>
        <v>0</v>
      </c>
      <c r="AP21" s="49"/>
    </row>
    <row r="22" spans="1:42">
      <c r="A22" s="968">
        <v>16</v>
      </c>
      <c r="B22" s="969" t="s">
        <v>117</v>
      </c>
      <c r="C22" s="1170">
        <f>'Table 8 2.1.12 MFP Funded'!V19</f>
        <v>0</v>
      </c>
      <c r="D22" s="971">
        <f>'Table 3 Levels 1&amp;2'!AL23</f>
        <v>1508.2103091706706</v>
      </c>
      <c r="E22" s="1071">
        <f t="shared" si="33"/>
        <v>0</v>
      </c>
      <c r="F22" s="1071">
        <f>'Table 4 Level 3'!P21</f>
        <v>686.73</v>
      </c>
      <c r="G22" s="1071">
        <f t="shared" si="34"/>
        <v>0</v>
      </c>
      <c r="H22" s="972">
        <f t="shared" si="35"/>
        <v>0</v>
      </c>
      <c r="I22" s="1414">
        <f>'[1]Oct midyear Intl_VIBE '!K22</f>
        <v>0</v>
      </c>
      <c r="J22" s="1414">
        <f>'[1]Feb midyear Intl_VIBE '!K22</f>
        <v>0</v>
      </c>
      <c r="K22" s="1414">
        <f t="shared" si="36"/>
        <v>0</v>
      </c>
      <c r="L22" s="1213">
        <f t="shared" si="37"/>
        <v>0</v>
      </c>
      <c r="M22" s="1081">
        <f t="shared" si="38"/>
        <v>0</v>
      </c>
      <c r="N22" s="972">
        <f t="shared" si="39"/>
        <v>0</v>
      </c>
      <c r="O22" s="972">
        <v>0</v>
      </c>
      <c r="P22" s="972">
        <f t="shared" si="40"/>
        <v>0</v>
      </c>
      <c r="Q22" s="972">
        <v>0</v>
      </c>
      <c r="R22" s="972">
        <f t="shared" si="41"/>
        <v>0</v>
      </c>
      <c r="S22" s="972">
        <f t="shared" si="42"/>
        <v>0</v>
      </c>
      <c r="T22" s="1029">
        <f>'[14]FY2012-13 Final'!D23</f>
        <v>13796</v>
      </c>
      <c r="U22" s="973">
        <f t="shared" si="30"/>
        <v>0</v>
      </c>
      <c r="V22" s="1354">
        <f>'[20]Oct midyear Intl_VIBE '!E22</f>
        <v>0</v>
      </c>
      <c r="W22" s="1348">
        <f t="shared" si="43"/>
        <v>0</v>
      </c>
      <c r="X22" s="1466">
        <f>'[20]Feb midyear Intl_VIBE '!E22</f>
        <v>0</v>
      </c>
      <c r="Y22" s="1348">
        <f t="shared" si="44"/>
        <v>0</v>
      </c>
      <c r="Z22" s="1348">
        <f t="shared" si="45"/>
        <v>0</v>
      </c>
      <c r="AA22" s="973">
        <f t="shared" si="46"/>
        <v>0</v>
      </c>
      <c r="AB22" s="1089">
        <f t="shared" si="47"/>
        <v>0</v>
      </c>
      <c r="AC22" s="973">
        <f t="shared" si="48"/>
        <v>0</v>
      </c>
      <c r="AD22" s="973">
        <v>0</v>
      </c>
      <c r="AE22" s="973">
        <f t="shared" si="49"/>
        <v>0</v>
      </c>
      <c r="AF22" s="973">
        <v>0</v>
      </c>
      <c r="AG22" s="973">
        <f t="shared" si="50"/>
        <v>0</v>
      </c>
      <c r="AH22" s="973">
        <f t="shared" si="51"/>
        <v>0</v>
      </c>
      <c r="AI22" s="974">
        <f t="shared" si="31"/>
        <v>0</v>
      </c>
      <c r="AJ22" s="974">
        <f t="shared" si="32"/>
        <v>0</v>
      </c>
      <c r="AK22" s="49"/>
      <c r="AL22" s="49">
        <f t="shared" si="52"/>
        <v>0</v>
      </c>
      <c r="AM22" s="49">
        <f>-'[22]Table 5C1C-Intl_VIBE'!AL22</f>
        <v>0</v>
      </c>
      <c r="AN22" s="49">
        <f>-'[21]Table 5C1C-Intl_VIBE'!P22</f>
        <v>0</v>
      </c>
      <c r="AO22" s="49">
        <f t="shared" si="53"/>
        <v>0</v>
      </c>
      <c r="AP22" s="49"/>
    </row>
    <row r="23" spans="1:42">
      <c r="A23" s="975">
        <v>17</v>
      </c>
      <c r="B23" s="976" t="s">
        <v>118</v>
      </c>
      <c r="C23" s="1168">
        <f>'Table 8 2.1.12 MFP Funded'!V20</f>
        <v>0</v>
      </c>
      <c r="D23" s="978">
        <f>'Table 3 Levels 1&amp;2'!AL24</f>
        <v>3395.7244841073689</v>
      </c>
      <c r="E23" s="1072">
        <f t="shared" si="33"/>
        <v>0</v>
      </c>
      <c r="F23" s="1072">
        <f>'Table 5B2_RSD_LA'!F7</f>
        <v>801.47762416806802</v>
      </c>
      <c r="G23" s="1072">
        <f t="shared" si="34"/>
        <v>0</v>
      </c>
      <c r="H23" s="1030">
        <f t="shared" si="35"/>
        <v>0</v>
      </c>
      <c r="I23" s="1415">
        <f>'[1]Oct midyear Intl_VIBE '!K23</f>
        <v>0</v>
      </c>
      <c r="J23" s="1415">
        <f>'[1]Feb midyear Intl_VIBE '!K23</f>
        <v>0</v>
      </c>
      <c r="K23" s="1415">
        <f t="shared" si="36"/>
        <v>0</v>
      </c>
      <c r="L23" s="1434">
        <f t="shared" si="37"/>
        <v>0</v>
      </c>
      <c r="M23" s="1082">
        <f t="shared" si="38"/>
        <v>0</v>
      </c>
      <c r="N23" s="1030">
        <f t="shared" si="39"/>
        <v>0</v>
      </c>
      <c r="O23" s="1030">
        <v>0</v>
      </c>
      <c r="P23" s="1030">
        <f t="shared" si="40"/>
        <v>0</v>
      </c>
      <c r="Q23" s="1030">
        <v>0</v>
      </c>
      <c r="R23" s="1030">
        <f t="shared" si="41"/>
        <v>0</v>
      </c>
      <c r="S23" s="1030">
        <f t="shared" si="42"/>
        <v>0</v>
      </c>
      <c r="T23" s="1029">
        <f>'[14]FY2012-13 Final'!D24</f>
        <v>5738</v>
      </c>
      <c r="U23" s="1031">
        <f t="shared" si="30"/>
        <v>0</v>
      </c>
      <c r="V23" s="1355">
        <f>'[20]Oct midyear Intl_VIBE '!E23</f>
        <v>0</v>
      </c>
      <c r="W23" s="1349">
        <f t="shared" si="43"/>
        <v>0</v>
      </c>
      <c r="X23" s="1474">
        <f>'[20]Feb midyear Intl_VIBE '!E23</f>
        <v>0</v>
      </c>
      <c r="Y23" s="1468">
        <f t="shared" si="44"/>
        <v>0</v>
      </c>
      <c r="Z23" s="1468">
        <f t="shared" si="45"/>
        <v>0</v>
      </c>
      <c r="AA23" s="1031">
        <f t="shared" si="46"/>
        <v>0</v>
      </c>
      <c r="AB23" s="1090">
        <f t="shared" si="47"/>
        <v>0</v>
      </c>
      <c r="AC23" s="1031">
        <f t="shared" si="48"/>
        <v>0</v>
      </c>
      <c r="AD23" s="1031">
        <v>0</v>
      </c>
      <c r="AE23" s="1031">
        <f t="shared" si="49"/>
        <v>0</v>
      </c>
      <c r="AF23" s="1031">
        <v>0</v>
      </c>
      <c r="AG23" s="1031">
        <f t="shared" si="50"/>
        <v>0</v>
      </c>
      <c r="AH23" s="1031">
        <f t="shared" si="51"/>
        <v>0</v>
      </c>
      <c r="AI23" s="1032">
        <f t="shared" si="31"/>
        <v>0</v>
      </c>
      <c r="AJ23" s="1032">
        <f t="shared" si="32"/>
        <v>0</v>
      </c>
      <c r="AK23" s="49"/>
      <c r="AL23" s="49">
        <f t="shared" si="52"/>
        <v>0</v>
      </c>
      <c r="AM23" s="49">
        <f>-'[22]Table 5C1C-Intl_VIBE'!AL23</f>
        <v>0</v>
      </c>
      <c r="AN23" s="49">
        <f>-'[21]Table 5C1C-Intl_VIBE'!P23</f>
        <v>0</v>
      </c>
      <c r="AO23" s="49">
        <f t="shared" si="53"/>
        <v>0</v>
      </c>
      <c r="AP23" s="49"/>
    </row>
    <row r="24" spans="1:42">
      <c r="A24" s="975">
        <v>18</v>
      </c>
      <c r="B24" s="976" t="s">
        <v>119</v>
      </c>
      <c r="C24" s="1168">
        <f>'Table 8 2.1.12 MFP Funded'!V21</f>
        <v>0</v>
      </c>
      <c r="D24" s="978">
        <f>'Table 3 Levels 1&amp;2'!AL25</f>
        <v>5811.9176591224677</v>
      </c>
      <c r="E24" s="1072">
        <f t="shared" si="33"/>
        <v>0</v>
      </c>
      <c r="F24" s="1072">
        <f>'Table 4 Level 3'!P23</f>
        <v>845.94999999999993</v>
      </c>
      <c r="G24" s="1072">
        <f t="shared" si="34"/>
        <v>0</v>
      </c>
      <c r="H24" s="1030">
        <f t="shared" si="35"/>
        <v>0</v>
      </c>
      <c r="I24" s="1415">
        <f>'[1]Oct midyear Intl_VIBE '!K24</f>
        <v>0</v>
      </c>
      <c r="J24" s="1415">
        <f>'[1]Feb midyear Intl_VIBE '!K24</f>
        <v>0</v>
      </c>
      <c r="K24" s="1415">
        <f t="shared" si="36"/>
        <v>0</v>
      </c>
      <c r="L24" s="1434">
        <f t="shared" si="37"/>
        <v>0</v>
      </c>
      <c r="M24" s="1082">
        <f t="shared" si="38"/>
        <v>0</v>
      </c>
      <c r="N24" s="1030">
        <f t="shared" si="39"/>
        <v>0</v>
      </c>
      <c r="O24" s="1030">
        <v>0</v>
      </c>
      <c r="P24" s="1030">
        <f t="shared" si="40"/>
        <v>0</v>
      </c>
      <c r="Q24" s="1030">
        <v>0</v>
      </c>
      <c r="R24" s="1030">
        <f t="shared" si="41"/>
        <v>0</v>
      </c>
      <c r="S24" s="1030">
        <f t="shared" si="42"/>
        <v>0</v>
      </c>
      <c r="T24" s="1029">
        <f>'[14]FY2012-13 Final'!D25</f>
        <v>2179</v>
      </c>
      <c r="U24" s="1031">
        <f t="shared" si="30"/>
        <v>0</v>
      </c>
      <c r="V24" s="1355">
        <f>'[20]Oct midyear Intl_VIBE '!E24</f>
        <v>0</v>
      </c>
      <c r="W24" s="1349">
        <f t="shared" si="43"/>
        <v>0</v>
      </c>
      <c r="X24" s="1474">
        <f>'[20]Feb midyear Intl_VIBE '!E24</f>
        <v>0</v>
      </c>
      <c r="Y24" s="1468">
        <f t="shared" si="44"/>
        <v>0</v>
      </c>
      <c r="Z24" s="1468">
        <f t="shared" si="45"/>
        <v>0</v>
      </c>
      <c r="AA24" s="1031">
        <f t="shared" si="46"/>
        <v>0</v>
      </c>
      <c r="AB24" s="1090">
        <f t="shared" si="47"/>
        <v>0</v>
      </c>
      <c r="AC24" s="1031">
        <f t="shared" si="48"/>
        <v>0</v>
      </c>
      <c r="AD24" s="1031">
        <v>0</v>
      </c>
      <c r="AE24" s="1031">
        <f t="shared" si="49"/>
        <v>0</v>
      </c>
      <c r="AF24" s="1031">
        <v>0</v>
      </c>
      <c r="AG24" s="1031">
        <f t="shared" si="50"/>
        <v>0</v>
      </c>
      <c r="AH24" s="1031">
        <f t="shared" si="51"/>
        <v>0</v>
      </c>
      <c r="AI24" s="1032">
        <f t="shared" si="31"/>
        <v>0</v>
      </c>
      <c r="AJ24" s="1032">
        <f t="shared" si="32"/>
        <v>0</v>
      </c>
      <c r="AK24" s="49"/>
      <c r="AL24" s="49">
        <f t="shared" si="52"/>
        <v>0</v>
      </c>
      <c r="AM24" s="49">
        <f>-'[22]Table 5C1C-Intl_VIBE'!AL24</f>
        <v>0</v>
      </c>
      <c r="AN24" s="49">
        <f>-'[21]Table 5C1C-Intl_VIBE'!P24</f>
        <v>0</v>
      </c>
      <c r="AO24" s="49">
        <f t="shared" si="53"/>
        <v>0</v>
      </c>
      <c r="AP24" s="49"/>
    </row>
    <row r="25" spans="1:42">
      <c r="A25" s="975">
        <v>19</v>
      </c>
      <c r="B25" s="976" t="s">
        <v>120</v>
      </c>
      <c r="C25" s="1168">
        <f>'Table 8 2.1.12 MFP Funded'!V22</f>
        <v>0</v>
      </c>
      <c r="D25" s="978">
        <f>'Table 3 Levels 1&amp;2'!AL26</f>
        <v>5201.7687653250778</v>
      </c>
      <c r="E25" s="1072">
        <f t="shared" si="33"/>
        <v>0</v>
      </c>
      <c r="F25" s="1072">
        <f>'Table 4 Level 3'!P24</f>
        <v>905.43</v>
      </c>
      <c r="G25" s="1072">
        <f t="shared" si="34"/>
        <v>0</v>
      </c>
      <c r="H25" s="1030">
        <f t="shared" si="35"/>
        <v>0</v>
      </c>
      <c r="I25" s="1415">
        <f>'[1]Oct midyear Intl_VIBE '!K25</f>
        <v>0</v>
      </c>
      <c r="J25" s="1415">
        <f>'[1]Feb midyear Intl_VIBE '!K25</f>
        <v>0</v>
      </c>
      <c r="K25" s="1415">
        <f t="shared" si="36"/>
        <v>0</v>
      </c>
      <c r="L25" s="1434">
        <f t="shared" si="37"/>
        <v>0</v>
      </c>
      <c r="M25" s="1082">
        <f t="shared" si="38"/>
        <v>0</v>
      </c>
      <c r="N25" s="1030">
        <f t="shared" si="39"/>
        <v>0</v>
      </c>
      <c r="O25" s="1030">
        <v>0</v>
      </c>
      <c r="P25" s="1030">
        <f t="shared" si="40"/>
        <v>0</v>
      </c>
      <c r="Q25" s="1030">
        <v>0</v>
      </c>
      <c r="R25" s="1030">
        <f t="shared" si="41"/>
        <v>0</v>
      </c>
      <c r="S25" s="1030">
        <f t="shared" si="42"/>
        <v>0</v>
      </c>
      <c r="T25" s="1029">
        <f>'[14]FY2012-13 Final'!D26</f>
        <v>2736</v>
      </c>
      <c r="U25" s="1031">
        <f t="shared" si="30"/>
        <v>0</v>
      </c>
      <c r="V25" s="1355">
        <f>'[20]Oct midyear Intl_VIBE '!E25</f>
        <v>0</v>
      </c>
      <c r="W25" s="1349">
        <f t="shared" si="43"/>
        <v>0</v>
      </c>
      <c r="X25" s="1474">
        <f>'[20]Feb midyear Intl_VIBE '!E25</f>
        <v>0</v>
      </c>
      <c r="Y25" s="1468">
        <f t="shared" si="44"/>
        <v>0</v>
      </c>
      <c r="Z25" s="1468">
        <f t="shared" si="45"/>
        <v>0</v>
      </c>
      <c r="AA25" s="1031">
        <f t="shared" si="46"/>
        <v>0</v>
      </c>
      <c r="AB25" s="1090">
        <f t="shared" si="47"/>
        <v>0</v>
      </c>
      <c r="AC25" s="1031">
        <f t="shared" si="48"/>
        <v>0</v>
      </c>
      <c r="AD25" s="1031">
        <v>0</v>
      </c>
      <c r="AE25" s="1031">
        <f t="shared" si="49"/>
        <v>0</v>
      </c>
      <c r="AF25" s="1031">
        <v>0</v>
      </c>
      <c r="AG25" s="1031">
        <f t="shared" si="50"/>
        <v>0</v>
      </c>
      <c r="AH25" s="1031">
        <f t="shared" si="51"/>
        <v>0</v>
      </c>
      <c r="AI25" s="1032">
        <f t="shared" si="31"/>
        <v>0</v>
      </c>
      <c r="AJ25" s="1032">
        <f t="shared" si="32"/>
        <v>0</v>
      </c>
      <c r="AK25" s="49"/>
      <c r="AL25" s="49">
        <f t="shared" si="52"/>
        <v>0</v>
      </c>
      <c r="AM25" s="49">
        <f>-'[22]Table 5C1C-Intl_VIBE'!AL25</f>
        <v>0</v>
      </c>
      <c r="AN25" s="49">
        <f>-'[21]Table 5C1C-Intl_VIBE'!P25</f>
        <v>0</v>
      </c>
      <c r="AO25" s="49">
        <f t="shared" si="53"/>
        <v>0</v>
      </c>
      <c r="AP25" s="49"/>
    </row>
    <row r="26" spans="1:42">
      <c r="A26" s="979">
        <v>20</v>
      </c>
      <c r="B26" s="980" t="s">
        <v>121</v>
      </c>
      <c r="C26" s="1169">
        <f>'Table 8 2.1.12 MFP Funded'!V23</f>
        <v>0</v>
      </c>
      <c r="D26" s="982">
        <f>'Table 3 Levels 1&amp;2'!AL27</f>
        <v>5446.6066076220959</v>
      </c>
      <c r="E26" s="1073">
        <f t="shared" si="33"/>
        <v>0</v>
      </c>
      <c r="F26" s="1073">
        <f>'Table 4 Level 3'!P25</f>
        <v>586.16999999999996</v>
      </c>
      <c r="G26" s="1073">
        <f t="shared" si="34"/>
        <v>0</v>
      </c>
      <c r="H26" s="1033">
        <f t="shared" si="35"/>
        <v>0</v>
      </c>
      <c r="I26" s="1416">
        <f>'[1]Oct midyear Intl_VIBE '!K26</f>
        <v>0</v>
      </c>
      <c r="J26" s="1416">
        <f>'[1]Feb midyear Intl_VIBE '!K26</f>
        <v>0</v>
      </c>
      <c r="K26" s="1416">
        <f t="shared" si="36"/>
        <v>0</v>
      </c>
      <c r="L26" s="1435">
        <f t="shared" si="37"/>
        <v>0</v>
      </c>
      <c r="M26" s="1083">
        <f t="shared" si="38"/>
        <v>0</v>
      </c>
      <c r="N26" s="1033">
        <f t="shared" si="39"/>
        <v>0</v>
      </c>
      <c r="O26" s="1033">
        <v>0</v>
      </c>
      <c r="P26" s="1033">
        <f t="shared" si="40"/>
        <v>0</v>
      </c>
      <c r="Q26" s="1033">
        <v>0</v>
      </c>
      <c r="R26" s="1033">
        <f t="shared" si="41"/>
        <v>0</v>
      </c>
      <c r="S26" s="1033">
        <f t="shared" si="42"/>
        <v>0</v>
      </c>
      <c r="T26" s="1034">
        <f>'[14]FY2012-13 Final'!D27</f>
        <v>2266</v>
      </c>
      <c r="U26" s="1035">
        <f t="shared" si="30"/>
        <v>0</v>
      </c>
      <c r="V26" s="1356">
        <f>'[20]Oct midyear Intl_VIBE '!E26</f>
        <v>0</v>
      </c>
      <c r="W26" s="1350">
        <f t="shared" si="43"/>
        <v>0</v>
      </c>
      <c r="X26" s="1475">
        <f>'[20]Feb midyear Intl_VIBE '!E26</f>
        <v>0</v>
      </c>
      <c r="Y26" s="1469">
        <f t="shared" si="44"/>
        <v>0</v>
      </c>
      <c r="Z26" s="1469">
        <f t="shared" si="45"/>
        <v>0</v>
      </c>
      <c r="AA26" s="1035">
        <f t="shared" si="46"/>
        <v>0</v>
      </c>
      <c r="AB26" s="1091">
        <f t="shared" si="47"/>
        <v>0</v>
      </c>
      <c r="AC26" s="1035">
        <f t="shared" si="48"/>
        <v>0</v>
      </c>
      <c r="AD26" s="1035">
        <v>0</v>
      </c>
      <c r="AE26" s="1035">
        <f t="shared" si="49"/>
        <v>0</v>
      </c>
      <c r="AF26" s="1035">
        <v>0</v>
      </c>
      <c r="AG26" s="1035">
        <f t="shared" si="50"/>
        <v>0</v>
      </c>
      <c r="AH26" s="1035">
        <f t="shared" si="51"/>
        <v>0</v>
      </c>
      <c r="AI26" s="1036">
        <f t="shared" si="31"/>
        <v>0</v>
      </c>
      <c r="AJ26" s="1036">
        <f t="shared" si="32"/>
        <v>0</v>
      </c>
      <c r="AK26" s="49"/>
      <c r="AL26" s="49">
        <f t="shared" si="52"/>
        <v>0</v>
      </c>
      <c r="AM26" s="49">
        <f>-'[22]Table 5C1C-Intl_VIBE'!AL26</f>
        <v>0</v>
      </c>
      <c r="AN26" s="49">
        <f>-'[21]Table 5C1C-Intl_VIBE'!P26</f>
        <v>0</v>
      </c>
      <c r="AO26" s="49">
        <f t="shared" si="53"/>
        <v>0</v>
      </c>
      <c r="AP26" s="49"/>
    </row>
    <row r="27" spans="1:42">
      <c r="A27" s="968">
        <v>21</v>
      </c>
      <c r="B27" s="969" t="s">
        <v>122</v>
      </c>
      <c r="C27" s="1170">
        <f>'Table 8 2.1.12 MFP Funded'!V24</f>
        <v>0</v>
      </c>
      <c r="D27" s="971">
        <f>'Table 3 Levels 1&amp;2'!AL28</f>
        <v>5761.9798531850847</v>
      </c>
      <c r="E27" s="1071">
        <f t="shared" si="33"/>
        <v>0</v>
      </c>
      <c r="F27" s="1071">
        <f>'Table 4 Level 3'!P26</f>
        <v>610.35</v>
      </c>
      <c r="G27" s="1071">
        <f t="shared" si="34"/>
        <v>0</v>
      </c>
      <c r="H27" s="972">
        <f t="shared" si="35"/>
        <v>0</v>
      </c>
      <c r="I27" s="1414">
        <f>'[1]Oct midyear Intl_VIBE '!K27</f>
        <v>0</v>
      </c>
      <c r="J27" s="1414">
        <f>'[1]Feb midyear Intl_VIBE '!K27</f>
        <v>0</v>
      </c>
      <c r="K27" s="1414">
        <f t="shared" si="36"/>
        <v>0</v>
      </c>
      <c r="L27" s="1213">
        <f t="shared" si="37"/>
        <v>0</v>
      </c>
      <c r="M27" s="1081">
        <f t="shared" si="38"/>
        <v>0</v>
      </c>
      <c r="N27" s="972">
        <f t="shared" si="39"/>
        <v>0</v>
      </c>
      <c r="O27" s="972">
        <v>0</v>
      </c>
      <c r="P27" s="972">
        <f t="shared" si="40"/>
        <v>0</v>
      </c>
      <c r="Q27" s="972">
        <v>0</v>
      </c>
      <c r="R27" s="972">
        <f t="shared" si="41"/>
        <v>0</v>
      </c>
      <c r="S27" s="972">
        <f t="shared" si="42"/>
        <v>0</v>
      </c>
      <c r="T27" s="1029">
        <f>'[14]FY2012-13 Final'!D28</f>
        <v>1563</v>
      </c>
      <c r="U27" s="973">
        <f t="shared" si="30"/>
        <v>0</v>
      </c>
      <c r="V27" s="1354">
        <f>'[20]Oct midyear Intl_VIBE '!E27</f>
        <v>0</v>
      </c>
      <c r="W27" s="1348">
        <f t="shared" si="43"/>
        <v>0</v>
      </c>
      <c r="X27" s="1466">
        <f>'[20]Feb midyear Intl_VIBE '!E27</f>
        <v>0</v>
      </c>
      <c r="Y27" s="1348">
        <f t="shared" si="44"/>
        <v>0</v>
      </c>
      <c r="Z27" s="1348">
        <f t="shared" si="45"/>
        <v>0</v>
      </c>
      <c r="AA27" s="973">
        <f t="shared" si="46"/>
        <v>0</v>
      </c>
      <c r="AB27" s="1089">
        <f t="shared" si="47"/>
        <v>0</v>
      </c>
      <c r="AC27" s="973">
        <f t="shared" si="48"/>
        <v>0</v>
      </c>
      <c r="AD27" s="973">
        <v>0</v>
      </c>
      <c r="AE27" s="973">
        <f t="shared" si="49"/>
        <v>0</v>
      </c>
      <c r="AF27" s="973">
        <v>0</v>
      </c>
      <c r="AG27" s="973">
        <f t="shared" si="50"/>
        <v>0</v>
      </c>
      <c r="AH27" s="973">
        <f t="shared" si="51"/>
        <v>0</v>
      </c>
      <c r="AI27" s="974">
        <f t="shared" si="31"/>
        <v>0</v>
      </c>
      <c r="AJ27" s="974">
        <f t="shared" si="32"/>
        <v>0</v>
      </c>
      <c r="AK27" s="49"/>
      <c r="AL27" s="49">
        <f t="shared" si="52"/>
        <v>0</v>
      </c>
      <c r="AM27" s="49">
        <f>-'[22]Table 5C1C-Intl_VIBE'!AL27</f>
        <v>0</v>
      </c>
      <c r="AN27" s="49">
        <f>-'[21]Table 5C1C-Intl_VIBE'!P27</f>
        <v>0</v>
      </c>
      <c r="AO27" s="49">
        <f t="shared" si="53"/>
        <v>0</v>
      </c>
      <c r="AP27" s="49"/>
    </row>
    <row r="28" spans="1:42">
      <c r="A28" s="975">
        <v>22</v>
      </c>
      <c r="B28" s="976" t="s">
        <v>123</v>
      </c>
      <c r="C28" s="1168">
        <f>'Table 8 2.1.12 MFP Funded'!V25</f>
        <v>0</v>
      </c>
      <c r="D28" s="978">
        <f>'Table 3 Levels 1&amp;2'!AL29</f>
        <v>6212.5932514983215</v>
      </c>
      <c r="E28" s="1072">
        <f t="shared" si="33"/>
        <v>0</v>
      </c>
      <c r="F28" s="1072">
        <f>'Table 4 Level 3'!P27</f>
        <v>496.36</v>
      </c>
      <c r="G28" s="1072">
        <f t="shared" si="34"/>
        <v>0</v>
      </c>
      <c r="H28" s="1030">
        <f t="shared" si="35"/>
        <v>0</v>
      </c>
      <c r="I28" s="1415">
        <f>'[1]Oct midyear Intl_VIBE '!K28</f>
        <v>0</v>
      </c>
      <c r="J28" s="1415">
        <f>'[1]Feb midyear Intl_VIBE '!K28</f>
        <v>0</v>
      </c>
      <c r="K28" s="1415">
        <f t="shared" si="36"/>
        <v>0</v>
      </c>
      <c r="L28" s="1434">
        <f t="shared" si="37"/>
        <v>0</v>
      </c>
      <c r="M28" s="1082">
        <f t="shared" si="38"/>
        <v>0</v>
      </c>
      <c r="N28" s="1030">
        <f t="shared" si="39"/>
        <v>0</v>
      </c>
      <c r="O28" s="1030">
        <v>0</v>
      </c>
      <c r="P28" s="1030">
        <f t="shared" si="40"/>
        <v>0</v>
      </c>
      <c r="Q28" s="1030">
        <v>0</v>
      </c>
      <c r="R28" s="1030">
        <f t="shared" si="41"/>
        <v>0</v>
      </c>
      <c r="S28" s="1030">
        <f t="shared" si="42"/>
        <v>0</v>
      </c>
      <c r="T28" s="1029">
        <f>'[14]FY2012-13 Final'!D29</f>
        <v>771</v>
      </c>
      <c r="U28" s="1031">
        <f t="shared" si="30"/>
        <v>0</v>
      </c>
      <c r="V28" s="1355">
        <f>'[20]Oct midyear Intl_VIBE '!E28</f>
        <v>0</v>
      </c>
      <c r="W28" s="1349">
        <f t="shared" si="43"/>
        <v>0</v>
      </c>
      <c r="X28" s="1474">
        <f>'[20]Feb midyear Intl_VIBE '!E28</f>
        <v>0</v>
      </c>
      <c r="Y28" s="1468">
        <f t="shared" si="44"/>
        <v>0</v>
      </c>
      <c r="Z28" s="1468">
        <f t="shared" si="45"/>
        <v>0</v>
      </c>
      <c r="AA28" s="1031">
        <f t="shared" si="46"/>
        <v>0</v>
      </c>
      <c r="AB28" s="1090">
        <f t="shared" si="47"/>
        <v>0</v>
      </c>
      <c r="AC28" s="1031">
        <f t="shared" si="48"/>
        <v>0</v>
      </c>
      <c r="AD28" s="1031">
        <v>0</v>
      </c>
      <c r="AE28" s="1031">
        <f t="shared" si="49"/>
        <v>0</v>
      </c>
      <c r="AF28" s="1031">
        <v>0</v>
      </c>
      <c r="AG28" s="1031">
        <f t="shared" si="50"/>
        <v>0</v>
      </c>
      <c r="AH28" s="1031">
        <f t="shared" si="51"/>
        <v>0</v>
      </c>
      <c r="AI28" s="1032">
        <f t="shared" si="31"/>
        <v>0</v>
      </c>
      <c r="AJ28" s="1032">
        <f t="shared" si="32"/>
        <v>0</v>
      </c>
      <c r="AK28" s="49"/>
      <c r="AL28" s="49">
        <f t="shared" si="52"/>
        <v>0</v>
      </c>
      <c r="AM28" s="49">
        <f>-'[22]Table 5C1C-Intl_VIBE'!AL28</f>
        <v>0</v>
      </c>
      <c r="AN28" s="49">
        <f>-'[21]Table 5C1C-Intl_VIBE'!P28</f>
        <v>0</v>
      </c>
      <c r="AO28" s="49">
        <f t="shared" si="53"/>
        <v>0</v>
      </c>
      <c r="AP28" s="49"/>
    </row>
    <row r="29" spans="1:42">
      <c r="A29" s="975">
        <v>23</v>
      </c>
      <c r="B29" s="976" t="s">
        <v>124</v>
      </c>
      <c r="C29" s="1168">
        <f>'Table 8 2.1.12 MFP Funded'!V26</f>
        <v>0</v>
      </c>
      <c r="D29" s="978">
        <f>'Table 3 Levels 1&amp;2'!AL30</f>
        <v>4824.5074836036147</v>
      </c>
      <c r="E29" s="1072">
        <f t="shared" si="33"/>
        <v>0</v>
      </c>
      <c r="F29" s="1072">
        <f>'Table 4 Level 3'!P28</f>
        <v>688.58</v>
      </c>
      <c r="G29" s="1072">
        <f t="shared" si="34"/>
        <v>0</v>
      </c>
      <c r="H29" s="1030">
        <f t="shared" si="35"/>
        <v>0</v>
      </c>
      <c r="I29" s="1415">
        <f>'[1]Oct midyear Intl_VIBE '!K29</f>
        <v>0</v>
      </c>
      <c r="J29" s="1415">
        <f>'[1]Feb midyear Intl_VIBE '!K29</f>
        <v>0</v>
      </c>
      <c r="K29" s="1415">
        <f t="shared" si="36"/>
        <v>0</v>
      </c>
      <c r="L29" s="1434">
        <f t="shared" si="37"/>
        <v>0</v>
      </c>
      <c r="M29" s="1082">
        <f t="shared" si="38"/>
        <v>0</v>
      </c>
      <c r="N29" s="1030">
        <f t="shared" si="39"/>
        <v>0</v>
      </c>
      <c r="O29" s="1030">
        <v>0</v>
      </c>
      <c r="P29" s="1030">
        <f t="shared" si="40"/>
        <v>0</v>
      </c>
      <c r="Q29" s="1030">
        <v>0</v>
      </c>
      <c r="R29" s="1030">
        <f t="shared" si="41"/>
        <v>0</v>
      </c>
      <c r="S29" s="1030">
        <f t="shared" si="42"/>
        <v>0</v>
      </c>
      <c r="T29" s="1029">
        <f>'[14]FY2012-13 Final'!D30</f>
        <v>2512</v>
      </c>
      <c r="U29" s="1031">
        <f t="shared" si="30"/>
        <v>0</v>
      </c>
      <c r="V29" s="1355">
        <f>'[20]Oct midyear Intl_VIBE '!E29</f>
        <v>0</v>
      </c>
      <c r="W29" s="1349">
        <f t="shared" si="43"/>
        <v>0</v>
      </c>
      <c r="X29" s="1474">
        <f>'[20]Feb midyear Intl_VIBE '!E29</f>
        <v>0</v>
      </c>
      <c r="Y29" s="1468">
        <f t="shared" si="44"/>
        <v>0</v>
      </c>
      <c r="Z29" s="1468">
        <f t="shared" si="45"/>
        <v>0</v>
      </c>
      <c r="AA29" s="1031">
        <f t="shared" si="46"/>
        <v>0</v>
      </c>
      <c r="AB29" s="1090">
        <f t="shared" si="47"/>
        <v>0</v>
      </c>
      <c r="AC29" s="1031">
        <f t="shared" si="48"/>
        <v>0</v>
      </c>
      <c r="AD29" s="1031">
        <v>0</v>
      </c>
      <c r="AE29" s="1031">
        <f t="shared" si="49"/>
        <v>0</v>
      </c>
      <c r="AF29" s="1031">
        <v>0</v>
      </c>
      <c r="AG29" s="1031">
        <f t="shared" si="50"/>
        <v>0</v>
      </c>
      <c r="AH29" s="1031">
        <f t="shared" si="51"/>
        <v>0</v>
      </c>
      <c r="AI29" s="1032">
        <f t="shared" si="31"/>
        <v>0</v>
      </c>
      <c r="AJ29" s="1032">
        <f t="shared" si="32"/>
        <v>0</v>
      </c>
      <c r="AK29" s="49"/>
      <c r="AL29" s="49">
        <f t="shared" si="52"/>
        <v>0</v>
      </c>
      <c r="AM29" s="49">
        <f>-'[22]Table 5C1C-Intl_VIBE'!AL29</f>
        <v>0</v>
      </c>
      <c r="AN29" s="49">
        <f>-'[21]Table 5C1C-Intl_VIBE'!P29</f>
        <v>0</v>
      </c>
      <c r="AO29" s="49">
        <f t="shared" si="53"/>
        <v>0</v>
      </c>
      <c r="AP29" s="49"/>
    </row>
    <row r="30" spans="1:42">
      <c r="A30" s="975">
        <v>24</v>
      </c>
      <c r="B30" s="976" t="s">
        <v>125</v>
      </c>
      <c r="C30" s="1168">
        <f>'Table 8 2.1.12 MFP Funded'!V27</f>
        <v>0</v>
      </c>
      <c r="D30" s="978">
        <f>'Table 3 Levels 1&amp;2'!AL31</f>
        <v>2654.5104003578617</v>
      </c>
      <c r="E30" s="1072">
        <f t="shared" si="33"/>
        <v>0</v>
      </c>
      <c r="F30" s="1072">
        <f>'Table 4 Level 3'!P29</f>
        <v>854.24999999999989</v>
      </c>
      <c r="G30" s="1072">
        <f t="shared" si="34"/>
        <v>0</v>
      </c>
      <c r="H30" s="1030">
        <f t="shared" si="35"/>
        <v>0</v>
      </c>
      <c r="I30" s="1415">
        <f>'[1]Oct midyear Intl_VIBE '!K30</f>
        <v>0</v>
      </c>
      <c r="J30" s="1415">
        <f>'[1]Feb midyear Intl_VIBE '!K30</f>
        <v>0</v>
      </c>
      <c r="K30" s="1415">
        <f t="shared" si="36"/>
        <v>0</v>
      </c>
      <c r="L30" s="1434">
        <f t="shared" si="37"/>
        <v>0</v>
      </c>
      <c r="M30" s="1082">
        <f t="shared" si="38"/>
        <v>0</v>
      </c>
      <c r="N30" s="1030">
        <f t="shared" si="39"/>
        <v>0</v>
      </c>
      <c r="O30" s="1030">
        <v>0</v>
      </c>
      <c r="P30" s="1030">
        <f t="shared" si="40"/>
        <v>0</v>
      </c>
      <c r="Q30" s="1030">
        <v>0</v>
      </c>
      <c r="R30" s="1030">
        <f t="shared" si="41"/>
        <v>0</v>
      </c>
      <c r="S30" s="1030">
        <f t="shared" si="42"/>
        <v>0</v>
      </c>
      <c r="T30" s="1029">
        <f>'[14]FY2012-13 Final'!D31</f>
        <v>8647</v>
      </c>
      <c r="U30" s="1031">
        <f t="shared" si="30"/>
        <v>0</v>
      </c>
      <c r="V30" s="1355">
        <f>'[20]Oct midyear Intl_VIBE '!E30</f>
        <v>0</v>
      </c>
      <c r="W30" s="1349">
        <f t="shared" si="43"/>
        <v>0</v>
      </c>
      <c r="X30" s="1474">
        <f>'[20]Feb midyear Intl_VIBE '!E30</f>
        <v>0</v>
      </c>
      <c r="Y30" s="1468">
        <f t="shared" si="44"/>
        <v>0</v>
      </c>
      <c r="Z30" s="1468">
        <f t="shared" si="45"/>
        <v>0</v>
      </c>
      <c r="AA30" s="1031">
        <f t="shared" si="46"/>
        <v>0</v>
      </c>
      <c r="AB30" s="1090">
        <f t="shared" si="47"/>
        <v>0</v>
      </c>
      <c r="AC30" s="1031">
        <f t="shared" si="48"/>
        <v>0</v>
      </c>
      <c r="AD30" s="1031">
        <v>0</v>
      </c>
      <c r="AE30" s="1031">
        <f t="shared" si="49"/>
        <v>0</v>
      </c>
      <c r="AF30" s="1031">
        <v>0</v>
      </c>
      <c r="AG30" s="1031">
        <f t="shared" si="50"/>
        <v>0</v>
      </c>
      <c r="AH30" s="1031">
        <f t="shared" si="51"/>
        <v>0</v>
      </c>
      <c r="AI30" s="1032">
        <f t="shared" si="31"/>
        <v>0</v>
      </c>
      <c r="AJ30" s="1032">
        <f t="shared" si="32"/>
        <v>0</v>
      </c>
      <c r="AK30" s="49"/>
      <c r="AL30" s="49">
        <f t="shared" si="52"/>
        <v>0</v>
      </c>
      <c r="AM30" s="49">
        <f>-'[22]Table 5C1C-Intl_VIBE'!AL30</f>
        <v>0</v>
      </c>
      <c r="AN30" s="49">
        <f>-'[21]Table 5C1C-Intl_VIBE'!P30</f>
        <v>0</v>
      </c>
      <c r="AO30" s="49">
        <f t="shared" si="53"/>
        <v>0</v>
      </c>
      <c r="AP30" s="49"/>
    </row>
    <row r="31" spans="1:42">
      <c r="A31" s="979">
        <v>25</v>
      </c>
      <c r="B31" s="980" t="s">
        <v>126</v>
      </c>
      <c r="C31" s="1169">
        <f>'Table 8 2.1.12 MFP Funded'!V28</f>
        <v>0</v>
      </c>
      <c r="D31" s="982">
        <f>'Table 3 Levels 1&amp;2'!AL32</f>
        <v>3876.6607101712493</v>
      </c>
      <c r="E31" s="1073">
        <f t="shared" si="33"/>
        <v>0</v>
      </c>
      <c r="F31" s="1073">
        <f>'Table 4 Level 3'!P30</f>
        <v>653.73</v>
      </c>
      <c r="G31" s="1073">
        <f t="shared" si="34"/>
        <v>0</v>
      </c>
      <c r="H31" s="1033">
        <f t="shared" si="35"/>
        <v>0</v>
      </c>
      <c r="I31" s="1416">
        <f>'[1]Oct midyear Intl_VIBE '!K31</f>
        <v>0</v>
      </c>
      <c r="J31" s="1416">
        <f>'[1]Feb midyear Intl_VIBE '!K31</f>
        <v>0</v>
      </c>
      <c r="K31" s="1416">
        <f t="shared" si="36"/>
        <v>0</v>
      </c>
      <c r="L31" s="1435">
        <f t="shared" si="37"/>
        <v>0</v>
      </c>
      <c r="M31" s="1083">
        <f t="shared" si="38"/>
        <v>0</v>
      </c>
      <c r="N31" s="1033">
        <f t="shared" si="39"/>
        <v>0</v>
      </c>
      <c r="O31" s="1033">
        <v>0</v>
      </c>
      <c r="P31" s="1033">
        <f t="shared" si="40"/>
        <v>0</v>
      </c>
      <c r="Q31" s="1033">
        <v>0</v>
      </c>
      <c r="R31" s="1033">
        <f t="shared" si="41"/>
        <v>0</v>
      </c>
      <c r="S31" s="1033">
        <f t="shared" si="42"/>
        <v>0</v>
      </c>
      <c r="T31" s="1034">
        <f>'[14]FY2012-13 Final'!D32</f>
        <v>5201</v>
      </c>
      <c r="U31" s="1035">
        <f t="shared" si="30"/>
        <v>0</v>
      </c>
      <c r="V31" s="1356">
        <f>'[20]Oct midyear Intl_VIBE '!E31</f>
        <v>0</v>
      </c>
      <c r="W31" s="1350">
        <f t="shared" si="43"/>
        <v>0</v>
      </c>
      <c r="X31" s="1475">
        <f>'[20]Feb midyear Intl_VIBE '!E31</f>
        <v>0</v>
      </c>
      <c r="Y31" s="1469">
        <f t="shared" si="44"/>
        <v>0</v>
      </c>
      <c r="Z31" s="1469">
        <f t="shared" si="45"/>
        <v>0</v>
      </c>
      <c r="AA31" s="1035">
        <f t="shared" si="46"/>
        <v>0</v>
      </c>
      <c r="AB31" s="1091">
        <f t="shared" si="47"/>
        <v>0</v>
      </c>
      <c r="AC31" s="1035">
        <f t="shared" si="48"/>
        <v>0</v>
      </c>
      <c r="AD31" s="1035">
        <v>0</v>
      </c>
      <c r="AE31" s="1035">
        <f t="shared" si="49"/>
        <v>0</v>
      </c>
      <c r="AF31" s="1035">
        <v>0</v>
      </c>
      <c r="AG31" s="1035">
        <f t="shared" si="50"/>
        <v>0</v>
      </c>
      <c r="AH31" s="1035">
        <f t="shared" si="51"/>
        <v>0</v>
      </c>
      <c r="AI31" s="1036">
        <f t="shared" si="31"/>
        <v>0</v>
      </c>
      <c r="AJ31" s="1036">
        <f t="shared" si="32"/>
        <v>0</v>
      </c>
      <c r="AK31" s="49"/>
      <c r="AL31" s="49">
        <f t="shared" si="52"/>
        <v>0</v>
      </c>
      <c r="AM31" s="49">
        <f>-'[22]Table 5C1C-Intl_VIBE'!AL31</f>
        <v>0</v>
      </c>
      <c r="AN31" s="49">
        <f>-'[21]Table 5C1C-Intl_VIBE'!P31</f>
        <v>0</v>
      </c>
      <c r="AO31" s="49">
        <f t="shared" si="53"/>
        <v>0</v>
      </c>
      <c r="AP31" s="49"/>
    </row>
    <row r="32" spans="1:42">
      <c r="A32" s="968">
        <v>26</v>
      </c>
      <c r="B32" s="969" t="s">
        <v>127</v>
      </c>
      <c r="C32" s="1170">
        <f>'Table 8 2.1.12 MFP Funded'!V29</f>
        <v>28</v>
      </c>
      <c r="D32" s="971">
        <f>'Table 3 Levels 1&amp;2'!AL33</f>
        <v>3130.9087022137969</v>
      </c>
      <c r="E32" s="1071">
        <f t="shared" si="33"/>
        <v>87665.443661986312</v>
      </c>
      <c r="F32" s="1071">
        <f>'Table 4 Level 3'!P31</f>
        <v>836.83</v>
      </c>
      <c r="G32" s="1071">
        <f t="shared" si="34"/>
        <v>23431.24</v>
      </c>
      <c r="H32" s="972">
        <f t="shared" si="35"/>
        <v>111096.68366198632</v>
      </c>
      <c r="I32" s="1414">
        <f>'[1]Oct midyear Intl_VIBE '!K32</f>
        <v>71419.29663984834</v>
      </c>
      <c r="J32" s="1414">
        <f>'[1]Feb midyear Intl_VIBE '!K32</f>
        <v>0</v>
      </c>
      <c r="K32" s="1414">
        <f t="shared" si="36"/>
        <v>71419.29663984834</v>
      </c>
      <c r="L32" s="1213">
        <f t="shared" si="37"/>
        <v>182515.98030183464</v>
      </c>
      <c r="M32" s="1081">
        <f t="shared" si="38"/>
        <v>-456.28995075458664</v>
      </c>
      <c r="N32" s="972">
        <f t="shared" si="39"/>
        <v>182059.69035108006</v>
      </c>
      <c r="O32" s="972">
        <v>0</v>
      </c>
      <c r="P32" s="972">
        <f t="shared" si="40"/>
        <v>182059.69035108006</v>
      </c>
      <c r="Q32" s="972">
        <f>9270+16132+16132+16132+16132+16132+16132+16132+15139+15139</f>
        <v>152472</v>
      </c>
      <c r="R32" s="972">
        <f t="shared" si="41"/>
        <v>29587.690351080062</v>
      </c>
      <c r="S32" s="972">
        <f t="shared" si="42"/>
        <v>14793.845175540031</v>
      </c>
      <c r="T32" s="1029">
        <f>'[14]FY2012-13 Final'!D33</f>
        <v>4601</v>
      </c>
      <c r="U32" s="973">
        <f t="shared" si="30"/>
        <v>128828</v>
      </c>
      <c r="V32" s="1354">
        <f>'[20]Oct midyear Intl_VIBE '!E32</f>
        <v>18</v>
      </c>
      <c r="W32" s="1348">
        <f t="shared" si="43"/>
        <v>82818</v>
      </c>
      <c r="X32" s="1466">
        <f>'[20]Feb midyear Intl_VIBE '!E32</f>
        <v>0</v>
      </c>
      <c r="Y32" s="1348">
        <f t="shared" si="44"/>
        <v>0</v>
      </c>
      <c r="Z32" s="1348">
        <f t="shared" si="45"/>
        <v>82818</v>
      </c>
      <c r="AA32" s="973">
        <f t="shared" si="46"/>
        <v>211646</v>
      </c>
      <c r="AB32" s="1089">
        <f t="shared" si="47"/>
        <v>-529.11500000000001</v>
      </c>
      <c r="AC32" s="973">
        <f t="shared" si="48"/>
        <v>211116.88500000001</v>
      </c>
      <c r="AD32" s="973">
        <v>0</v>
      </c>
      <c r="AE32" s="973">
        <f t="shared" si="49"/>
        <v>211116.88500000001</v>
      </c>
      <c r="AF32" s="973">
        <f>10693+18608+18608+18608+18608+18608+18608+18608+16464+16464</f>
        <v>173877</v>
      </c>
      <c r="AG32" s="973">
        <f t="shared" si="50"/>
        <v>37239.885000000009</v>
      </c>
      <c r="AH32" s="973">
        <f t="shared" si="51"/>
        <v>18619.942500000005</v>
      </c>
      <c r="AI32" s="974">
        <f t="shared" si="31"/>
        <v>393176.57535108004</v>
      </c>
      <c r="AJ32" s="974">
        <f t="shared" si="32"/>
        <v>33413.787675540036</v>
      </c>
      <c r="AK32" s="49"/>
      <c r="AL32" s="49">
        <f t="shared" si="52"/>
        <v>-529.11500000000001</v>
      </c>
      <c r="AM32" s="49">
        <f>-'[22]Table 5C1C-Intl_VIBE'!AL32</f>
        <v>518.30500000000006</v>
      </c>
      <c r="AN32" s="49">
        <f>-'[21]Table 5C1C-Intl_VIBE'!P32</f>
        <v>321.58</v>
      </c>
      <c r="AO32" s="49">
        <f t="shared" si="53"/>
        <v>-10.809999999999945</v>
      </c>
      <c r="AP32" s="49"/>
    </row>
    <row r="33" spans="1:42">
      <c r="A33" s="975">
        <v>27</v>
      </c>
      <c r="B33" s="976" t="s">
        <v>128</v>
      </c>
      <c r="C33" s="1171">
        <f>'Table 8 2.1.12 MFP Funded'!V30</f>
        <v>0</v>
      </c>
      <c r="D33" s="984">
        <f>'Table 3 Levels 1&amp;2'!AL34</f>
        <v>5673.3097932359224</v>
      </c>
      <c r="E33" s="1074">
        <f t="shared" si="33"/>
        <v>0</v>
      </c>
      <c r="F33" s="1074">
        <f>'Table 4 Level 3'!P32</f>
        <v>693.06</v>
      </c>
      <c r="G33" s="1074">
        <f t="shared" si="34"/>
        <v>0</v>
      </c>
      <c r="H33" s="1037">
        <f t="shared" si="35"/>
        <v>0</v>
      </c>
      <c r="I33" s="1417">
        <f>'[1]Oct midyear Intl_VIBE '!K33</f>
        <v>0</v>
      </c>
      <c r="J33" s="1417">
        <f>'[1]Feb midyear Intl_VIBE '!K33</f>
        <v>0</v>
      </c>
      <c r="K33" s="1417">
        <f t="shared" si="36"/>
        <v>0</v>
      </c>
      <c r="L33" s="1436">
        <f t="shared" si="37"/>
        <v>0</v>
      </c>
      <c r="M33" s="1084">
        <f t="shared" si="38"/>
        <v>0</v>
      </c>
      <c r="N33" s="1037">
        <f t="shared" si="39"/>
        <v>0</v>
      </c>
      <c r="O33" s="1037">
        <v>0</v>
      </c>
      <c r="P33" s="1037">
        <f t="shared" si="40"/>
        <v>0</v>
      </c>
      <c r="Q33" s="1037">
        <v>0</v>
      </c>
      <c r="R33" s="1037">
        <f t="shared" si="41"/>
        <v>0</v>
      </c>
      <c r="S33" s="1037">
        <f t="shared" si="42"/>
        <v>0</v>
      </c>
      <c r="T33" s="1029">
        <f>'[14]FY2012-13 Final'!D34</f>
        <v>2510</v>
      </c>
      <c r="U33" s="1031">
        <f t="shared" si="30"/>
        <v>0</v>
      </c>
      <c r="V33" s="1355">
        <f>'[20]Oct midyear Intl_VIBE '!E33</f>
        <v>0</v>
      </c>
      <c r="W33" s="1349">
        <f t="shared" si="43"/>
        <v>0</v>
      </c>
      <c r="X33" s="1474">
        <f>'[20]Feb midyear Intl_VIBE '!E33</f>
        <v>0</v>
      </c>
      <c r="Y33" s="1468">
        <f t="shared" si="44"/>
        <v>0</v>
      </c>
      <c r="Z33" s="1468">
        <f t="shared" si="45"/>
        <v>0</v>
      </c>
      <c r="AA33" s="1031">
        <f t="shared" si="46"/>
        <v>0</v>
      </c>
      <c r="AB33" s="1090">
        <f t="shared" si="47"/>
        <v>0</v>
      </c>
      <c r="AC33" s="1031">
        <f t="shared" si="48"/>
        <v>0</v>
      </c>
      <c r="AD33" s="1031">
        <v>0</v>
      </c>
      <c r="AE33" s="1031">
        <f t="shared" si="49"/>
        <v>0</v>
      </c>
      <c r="AF33" s="1031">
        <v>0</v>
      </c>
      <c r="AG33" s="1031">
        <f t="shared" si="50"/>
        <v>0</v>
      </c>
      <c r="AH33" s="1031">
        <f t="shared" si="51"/>
        <v>0</v>
      </c>
      <c r="AI33" s="1032">
        <f t="shared" si="31"/>
        <v>0</v>
      </c>
      <c r="AJ33" s="1032">
        <f t="shared" si="32"/>
        <v>0</v>
      </c>
      <c r="AK33" s="49"/>
      <c r="AL33" s="49">
        <f t="shared" si="52"/>
        <v>0</v>
      </c>
      <c r="AM33" s="49">
        <f>-'[22]Table 5C1C-Intl_VIBE'!AL33</f>
        <v>0</v>
      </c>
      <c r="AN33" s="49">
        <f>-'[21]Table 5C1C-Intl_VIBE'!P33</f>
        <v>0</v>
      </c>
      <c r="AO33" s="49">
        <f t="shared" si="53"/>
        <v>0</v>
      </c>
      <c r="AP33" s="49"/>
    </row>
    <row r="34" spans="1:42">
      <c r="A34" s="975">
        <v>28</v>
      </c>
      <c r="B34" s="976" t="s">
        <v>129</v>
      </c>
      <c r="C34" s="1171">
        <f>'Table 8 2.1.12 MFP Funded'!V31</f>
        <v>0</v>
      </c>
      <c r="D34" s="984">
        <f>'Table 3 Levels 1&amp;2'!AL35</f>
        <v>3225.6961587092846</v>
      </c>
      <c r="E34" s="1074">
        <f t="shared" si="33"/>
        <v>0</v>
      </c>
      <c r="F34" s="1074">
        <f>'Table 4 Level 3'!P33</f>
        <v>694.4</v>
      </c>
      <c r="G34" s="1074">
        <f t="shared" si="34"/>
        <v>0</v>
      </c>
      <c r="H34" s="1037">
        <f t="shared" si="35"/>
        <v>0</v>
      </c>
      <c r="I34" s="1417">
        <f>'[1]Oct midyear Intl_VIBE '!K34</f>
        <v>0</v>
      </c>
      <c r="J34" s="1417">
        <f>'[1]Feb midyear Intl_VIBE '!K34</f>
        <v>0</v>
      </c>
      <c r="K34" s="1417">
        <f t="shared" si="36"/>
        <v>0</v>
      </c>
      <c r="L34" s="1436">
        <f t="shared" si="37"/>
        <v>0</v>
      </c>
      <c r="M34" s="1084">
        <f t="shared" si="38"/>
        <v>0</v>
      </c>
      <c r="N34" s="1037">
        <f t="shared" si="39"/>
        <v>0</v>
      </c>
      <c r="O34" s="1037">
        <v>0</v>
      </c>
      <c r="P34" s="1037">
        <f t="shared" si="40"/>
        <v>0</v>
      </c>
      <c r="Q34" s="1037">
        <v>0</v>
      </c>
      <c r="R34" s="1037">
        <f t="shared" si="41"/>
        <v>0</v>
      </c>
      <c r="S34" s="1037">
        <f t="shared" si="42"/>
        <v>0</v>
      </c>
      <c r="T34" s="1029">
        <f>'[14]FY2012-13 Final'!D35</f>
        <v>4733</v>
      </c>
      <c r="U34" s="1031">
        <f t="shared" si="30"/>
        <v>0</v>
      </c>
      <c r="V34" s="1355">
        <f>'[20]Oct midyear Intl_VIBE '!E34</f>
        <v>0</v>
      </c>
      <c r="W34" s="1349">
        <f t="shared" si="43"/>
        <v>0</v>
      </c>
      <c r="X34" s="1474">
        <f>'[20]Feb midyear Intl_VIBE '!E34</f>
        <v>0</v>
      </c>
      <c r="Y34" s="1468">
        <f t="shared" si="44"/>
        <v>0</v>
      </c>
      <c r="Z34" s="1468">
        <f t="shared" si="45"/>
        <v>0</v>
      </c>
      <c r="AA34" s="1031">
        <f t="shared" si="46"/>
        <v>0</v>
      </c>
      <c r="AB34" s="1090">
        <f t="shared" si="47"/>
        <v>0</v>
      </c>
      <c r="AC34" s="1031">
        <f t="shared" si="48"/>
        <v>0</v>
      </c>
      <c r="AD34" s="1031">
        <v>0</v>
      </c>
      <c r="AE34" s="1031">
        <f t="shared" si="49"/>
        <v>0</v>
      </c>
      <c r="AF34" s="1031">
        <v>0</v>
      </c>
      <c r="AG34" s="1031">
        <f t="shared" si="50"/>
        <v>0</v>
      </c>
      <c r="AH34" s="1031">
        <f t="shared" si="51"/>
        <v>0</v>
      </c>
      <c r="AI34" s="1032">
        <f t="shared" si="31"/>
        <v>0</v>
      </c>
      <c r="AJ34" s="1032">
        <f t="shared" si="32"/>
        <v>0</v>
      </c>
      <c r="AK34" s="49"/>
      <c r="AL34" s="49">
        <f t="shared" si="52"/>
        <v>0</v>
      </c>
      <c r="AM34" s="49">
        <f>-'[22]Table 5C1C-Intl_VIBE'!AL34</f>
        <v>0</v>
      </c>
      <c r="AN34" s="49">
        <f>-'[21]Table 5C1C-Intl_VIBE'!P34</f>
        <v>0</v>
      </c>
      <c r="AO34" s="49">
        <f t="shared" si="53"/>
        <v>0</v>
      </c>
      <c r="AP34" s="49"/>
    </row>
    <row r="35" spans="1:42">
      <c r="A35" s="975">
        <v>29</v>
      </c>
      <c r="B35" s="976" t="s">
        <v>130</v>
      </c>
      <c r="C35" s="1171">
        <f>'Table 8 2.1.12 MFP Funded'!V32</f>
        <v>0</v>
      </c>
      <c r="D35" s="984">
        <f>'Table 3 Levels 1&amp;2'!AL36</f>
        <v>3955.7852148385191</v>
      </c>
      <c r="E35" s="1074">
        <f t="shared" si="33"/>
        <v>0</v>
      </c>
      <c r="F35" s="1074">
        <f>'Table 4 Level 3'!P34</f>
        <v>754.94999999999993</v>
      </c>
      <c r="G35" s="1074">
        <f t="shared" si="34"/>
        <v>0</v>
      </c>
      <c r="H35" s="1037">
        <f t="shared" si="35"/>
        <v>0</v>
      </c>
      <c r="I35" s="1417">
        <f>'[1]Oct midyear Intl_VIBE '!K35</f>
        <v>0</v>
      </c>
      <c r="J35" s="1417">
        <f>'[1]Feb midyear Intl_VIBE '!K35</f>
        <v>0</v>
      </c>
      <c r="K35" s="1417">
        <f t="shared" si="36"/>
        <v>0</v>
      </c>
      <c r="L35" s="1436">
        <f t="shared" si="37"/>
        <v>0</v>
      </c>
      <c r="M35" s="1084">
        <f t="shared" si="38"/>
        <v>0</v>
      </c>
      <c r="N35" s="1037">
        <f t="shared" si="39"/>
        <v>0</v>
      </c>
      <c r="O35" s="1037">
        <v>0</v>
      </c>
      <c r="P35" s="1037">
        <f t="shared" si="40"/>
        <v>0</v>
      </c>
      <c r="Q35" s="1037">
        <v>0</v>
      </c>
      <c r="R35" s="1037">
        <f t="shared" si="41"/>
        <v>0</v>
      </c>
      <c r="S35" s="1037">
        <f t="shared" si="42"/>
        <v>0</v>
      </c>
      <c r="T35" s="1029">
        <f>'[14]FY2012-13 Final'!D36</f>
        <v>3532</v>
      </c>
      <c r="U35" s="1031">
        <f t="shared" si="30"/>
        <v>0</v>
      </c>
      <c r="V35" s="1355">
        <f>'[20]Oct midyear Intl_VIBE '!E35</f>
        <v>0</v>
      </c>
      <c r="W35" s="1349">
        <f t="shared" si="43"/>
        <v>0</v>
      </c>
      <c r="X35" s="1474">
        <f>'[20]Feb midyear Intl_VIBE '!E35</f>
        <v>0</v>
      </c>
      <c r="Y35" s="1468">
        <f t="shared" si="44"/>
        <v>0</v>
      </c>
      <c r="Z35" s="1468">
        <f t="shared" si="45"/>
        <v>0</v>
      </c>
      <c r="AA35" s="1031">
        <f t="shared" si="46"/>
        <v>0</v>
      </c>
      <c r="AB35" s="1090">
        <f t="shared" si="47"/>
        <v>0</v>
      </c>
      <c r="AC35" s="1031">
        <f t="shared" si="48"/>
        <v>0</v>
      </c>
      <c r="AD35" s="1031">
        <v>0</v>
      </c>
      <c r="AE35" s="1031">
        <f t="shared" si="49"/>
        <v>0</v>
      </c>
      <c r="AF35" s="1031">
        <v>0</v>
      </c>
      <c r="AG35" s="1031">
        <f t="shared" si="50"/>
        <v>0</v>
      </c>
      <c r="AH35" s="1031">
        <f t="shared" si="51"/>
        <v>0</v>
      </c>
      <c r="AI35" s="1032">
        <f t="shared" si="31"/>
        <v>0</v>
      </c>
      <c r="AJ35" s="1032">
        <f t="shared" si="32"/>
        <v>0</v>
      </c>
      <c r="AK35" s="49"/>
      <c r="AL35" s="49">
        <f t="shared" si="52"/>
        <v>0</v>
      </c>
      <c r="AM35" s="49">
        <f>-'[22]Table 5C1C-Intl_VIBE'!AL35</f>
        <v>0</v>
      </c>
      <c r="AN35" s="49">
        <f>-'[21]Table 5C1C-Intl_VIBE'!P35</f>
        <v>0</v>
      </c>
      <c r="AO35" s="49">
        <f t="shared" si="53"/>
        <v>0</v>
      </c>
      <c r="AP35" s="49"/>
    </row>
    <row r="36" spans="1:42">
      <c r="A36" s="979">
        <v>30</v>
      </c>
      <c r="B36" s="980" t="s">
        <v>131</v>
      </c>
      <c r="C36" s="1172">
        <f>'Table 8 2.1.12 MFP Funded'!V33</f>
        <v>0</v>
      </c>
      <c r="D36" s="986">
        <f>'Table 3 Levels 1&amp;2'!AL37</f>
        <v>5609.6361466464068</v>
      </c>
      <c r="E36" s="1075">
        <f t="shared" si="33"/>
        <v>0</v>
      </c>
      <c r="F36" s="1075">
        <f>'Table 4 Level 3'!P35</f>
        <v>727.17</v>
      </c>
      <c r="G36" s="1075">
        <f t="shared" si="34"/>
        <v>0</v>
      </c>
      <c r="H36" s="1038">
        <f t="shared" si="35"/>
        <v>0</v>
      </c>
      <c r="I36" s="1418">
        <f>'[1]Oct midyear Intl_VIBE '!K36</f>
        <v>0</v>
      </c>
      <c r="J36" s="1418">
        <f>'[1]Feb midyear Intl_VIBE '!K36</f>
        <v>0</v>
      </c>
      <c r="K36" s="1418">
        <f t="shared" si="36"/>
        <v>0</v>
      </c>
      <c r="L36" s="1437">
        <f t="shared" si="37"/>
        <v>0</v>
      </c>
      <c r="M36" s="1085">
        <f t="shared" si="38"/>
        <v>0</v>
      </c>
      <c r="N36" s="1038">
        <f t="shared" si="39"/>
        <v>0</v>
      </c>
      <c r="O36" s="1038">
        <v>0</v>
      </c>
      <c r="P36" s="1038">
        <f t="shared" si="40"/>
        <v>0</v>
      </c>
      <c r="Q36" s="1038">
        <v>0</v>
      </c>
      <c r="R36" s="1038">
        <f t="shared" si="41"/>
        <v>0</v>
      </c>
      <c r="S36" s="1038">
        <f t="shared" si="42"/>
        <v>0</v>
      </c>
      <c r="T36" s="1034">
        <f>'[14]FY2012-13 Final'!D37</f>
        <v>2749</v>
      </c>
      <c r="U36" s="1035">
        <f t="shared" si="30"/>
        <v>0</v>
      </c>
      <c r="V36" s="1356">
        <f>'[20]Oct midyear Intl_VIBE '!E36</f>
        <v>0</v>
      </c>
      <c r="W36" s="1350">
        <f t="shared" si="43"/>
        <v>0</v>
      </c>
      <c r="X36" s="1475">
        <f>'[20]Feb midyear Intl_VIBE '!E36</f>
        <v>0</v>
      </c>
      <c r="Y36" s="1469">
        <f t="shared" si="44"/>
        <v>0</v>
      </c>
      <c r="Z36" s="1469">
        <f t="shared" si="45"/>
        <v>0</v>
      </c>
      <c r="AA36" s="1035">
        <f t="shared" si="46"/>
        <v>0</v>
      </c>
      <c r="AB36" s="1091">
        <f t="shared" si="47"/>
        <v>0</v>
      </c>
      <c r="AC36" s="1035">
        <f t="shared" si="48"/>
        <v>0</v>
      </c>
      <c r="AD36" s="1035">
        <v>0</v>
      </c>
      <c r="AE36" s="1035">
        <f t="shared" si="49"/>
        <v>0</v>
      </c>
      <c r="AF36" s="1035">
        <v>0</v>
      </c>
      <c r="AG36" s="1035">
        <f t="shared" si="50"/>
        <v>0</v>
      </c>
      <c r="AH36" s="1035">
        <f t="shared" si="51"/>
        <v>0</v>
      </c>
      <c r="AI36" s="1036">
        <f t="shared" si="31"/>
        <v>0</v>
      </c>
      <c r="AJ36" s="1036">
        <f t="shared" si="32"/>
        <v>0</v>
      </c>
      <c r="AK36" s="49"/>
      <c r="AL36" s="49">
        <f t="shared" si="52"/>
        <v>0</v>
      </c>
      <c r="AM36" s="49">
        <f>-'[22]Table 5C1C-Intl_VIBE'!AL36</f>
        <v>0</v>
      </c>
      <c r="AN36" s="49">
        <f>-'[21]Table 5C1C-Intl_VIBE'!P36</f>
        <v>0</v>
      </c>
      <c r="AO36" s="49">
        <f t="shared" si="53"/>
        <v>0</v>
      </c>
      <c r="AP36" s="49"/>
    </row>
    <row r="37" spans="1:42">
      <c r="A37" s="968">
        <v>31</v>
      </c>
      <c r="B37" s="969" t="s">
        <v>132</v>
      </c>
      <c r="C37" s="1173">
        <f>'Table 8 2.1.12 MFP Funded'!V34</f>
        <v>0</v>
      </c>
      <c r="D37" s="988">
        <f>'Table 3 Levels 1&amp;2'!AL38</f>
        <v>4174.0937400224284</v>
      </c>
      <c r="E37" s="1076">
        <f t="shared" si="33"/>
        <v>0</v>
      </c>
      <c r="F37" s="1076">
        <f>'Table 4 Level 3'!P36</f>
        <v>620.83000000000004</v>
      </c>
      <c r="G37" s="1076">
        <f t="shared" si="34"/>
        <v>0</v>
      </c>
      <c r="H37" s="1039">
        <f t="shared" si="35"/>
        <v>0</v>
      </c>
      <c r="I37" s="1419">
        <f>'[1]Oct midyear Intl_VIBE '!K37</f>
        <v>0</v>
      </c>
      <c r="J37" s="1419">
        <f>'[1]Feb midyear Intl_VIBE '!K37</f>
        <v>0</v>
      </c>
      <c r="K37" s="1419">
        <f t="shared" si="36"/>
        <v>0</v>
      </c>
      <c r="L37" s="1211">
        <f t="shared" si="37"/>
        <v>0</v>
      </c>
      <c r="M37" s="1086">
        <f t="shared" si="38"/>
        <v>0</v>
      </c>
      <c r="N37" s="1039">
        <f t="shared" si="39"/>
        <v>0</v>
      </c>
      <c r="O37" s="1039">
        <v>0</v>
      </c>
      <c r="P37" s="1039">
        <f t="shared" si="40"/>
        <v>0</v>
      </c>
      <c r="Q37" s="1039">
        <v>0</v>
      </c>
      <c r="R37" s="1039">
        <f t="shared" si="41"/>
        <v>0</v>
      </c>
      <c r="S37" s="1039">
        <f t="shared" si="42"/>
        <v>0</v>
      </c>
      <c r="T37" s="1029">
        <f>'[14]FY2012-13 Final'!D38</f>
        <v>4163</v>
      </c>
      <c r="U37" s="973">
        <f t="shared" si="30"/>
        <v>0</v>
      </c>
      <c r="V37" s="1354">
        <f>'[20]Oct midyear Intl_VIBE '!E37</f>
        <v>0</v>
      </c>
      <c r="W37" s="1348">
        <f t="shared" si="43"/>
        <v>0</v>
      </c>
      <c r="X37" s="1466">
        <f>'[20]Feb midyear Intl_VIBE '!E37</f>
        <v>0</v>
      </c>
      <c r="Y37" s="1348">
        <f t="shared" si="44"/>
        <v>0</v>
      </c>
      <c r="Z37" s="1348">
        <f t="shared" si="45"/>
        <v>0</v>
      </c>
      <c r="AA37" s="973">
        <f t="shared" si="46"/>
        <v>0</v>
      </c>
      <c r="AB37" s="1089">
        <f t="shared" si="47"/>
        <v>0</v>
      </c>
      <c r="AC37" s="973">
        <f t="shared" si="48"/>
        <v>0</v>
      </c>
      <c r="AD37" s="973">
        <v>0</v>
      </c>
      <c r="AE37" s="973">
        <f t="shared" si="49"/>
        <v>0</v>
      </c>
      <c r="AF37" s="973">
        <v>0</v>
      </c>
      <c r="AG37" s="973">
        <f t="shared" si="50"/>
        <v>0</v>
      </c>
      <c r="AH37" s="973">
        <f t="shared" si="51"/>
        <v>0</v>
      </c>
      <c r="AI37" s="974">
        <f t="shared" si="31"/>
        <v>0</v>
      </c>
      <c r="AJ37" s="974">
        <f t="shared" si="32"/>
        <v>0</v>
      </c>
      <c r="AK37" s="49"/>
      <c r="AL37" s="49">
        <f t="shared" si="52"/>
        <v>0</v>
      </c>
      <c r="AM37" s="49">
        <f>-'[22]Table 5C1C-Intl_VIBE'!AL37</f>
        <v>0</v>
      </c>
      <c r="AN37" s="49">
        <f>-'[21]Table 5C1C-Intl_VIBE'!P37</f>
        <v>0</v>
      </c>
      <c r="AO37" s="49">
        <f t="shared" si="53"/>
        <v>0</v>
      </c>
      <c r="AP37" s="49"/>
    </row>
    <row r="38" spans="1:42">
      <c r="A38" s="975">
        <v>32</v>
      </c>
      <c r="B38" s="976" t="s">
        <v>133</v>
      </c>
      <c r="C38" s="1171">
        <f>'Table 8 2.1.12 MFP Funded'!V35</f>
        <v>0</v>
      </c>
      <c r="D38" s="984">
        <f>'Table 3 Levels 1&amp;2'!AL39</f>
        <v>5486.1585166144778</v>
      </c>
      <c r="E38" s="1074">
        <f t="shared" si="33"/>
        <v>0</v>
      </c>
      <c r="F38" s="1074">
        <f>'Table 4 Level 3'!P37</f>
        <v>559.77</v>
      </c>
      <c r="G38" s="1074">
        <f t="shared" si="34"/>
        <v>0</v>
      </c>
      <c r="H38" s="1037">
        <f t="shared" si="35"/>
        <v>0</v>
      </c>
      <c r="I38" s="1417">
        <f>'[1]Oct midyear Intl_VIBE '!K38</f>
        <v>0</v>
      </c>
      <c r="J38" s="1417">
        <f>'[1]Feb midyear Intl_VIBE '!K38</f>
        <v>0</v>
      </c>
      <c r="K38" s="1417">
        <f t="shared" si="36"/>
        <v>0</v>
      </c>
      <c r="L38" s="1436">
        <f t="shared" si="37"/>
        <v>0</v>
      </c>
      <c r="M38" s="1084">
        <f t="shared" si="38"/>
        <v>0</v>
      </c>
      <c r="N38" s="1037">
        <f t="shared" si="39"/>
        <v>0</v>
      </c>
      <c r="O38" s="1037">
        <v>0</v>
      </c>
      <c r="P38" s="1037">
        <f t="shared" si="40"/>
        <v>0</v>
      </c>
      <c r="Q38" s="1037">
        <v>0</v>
      </c>
      <c r="R38" s="1037">
        <f t="shared" si="41"/>
        <v>0</v>
      </c>
      <c r="S38" s="1037">
        <f t="shared" si="42"/>
        <v>0</v>
      </c>
      <c r="T38" s="1029">
        <f>'[14]FY2012-13 Final'!D39</f>
        <v>1630</v>
      </c>
      <c r="U38" s="1031">
        <f t="shared" si="30"/>
        <v>0</v>
      </c>
      <c r="V38" s="1355">
        <f>'[20]Oct midyear Intl_VIBE '!E38</f>
        <v>0</v>
      </c>
      <c r="W38" s="1349">
        <f t="shared" si="43"/>
        <v>0</v>
      </c>
      <c r="X38" s="1474">
        <f>'[20]Feb midyear Intl_VIBE '!E38</f>
        <v>0</v>
      </c>
      <c r="Y38" s="1468">
        <f t="shared" si="44"/>
        <v>0</v>
      </c>
      <c r="Z38" s="1468">
        <f t="shared" si="45"/>
        <v>0</v>
      </c>
      <c r="AA38" s="1031">
        <f t="shared" si="46"/>
        <v>0</v>
      </c>
      <c r="AB38" s="1090">
        <f t="shared" si="47"/>
        <v>0</v>
      </c>
      <c r="AC38" s="1031">
        <f t="shared" si="48"/>
        <v>0</v>
      </c>
      <c r="AD38" s="1031">
        <v>0</v>
      </c>
      <c r="AE38" s="1031">
        <f t="shared" si="49"/>
        <v>0</v>
      </c>
      <c r="AF38" s="1031">
        <v>0</v>
      </c>
      <c r="AG38" s="1031">
        <f t="shared" si="50"/>
        <v>0</v>
      </c>
      <c r="AH38" s="1031">
        <f t="shared" si="51"/>
        <v>0</v>
      </c>
      <c r="AI38" s="1032">
        <f t="shared" si="31"/>
        <v>0</v>
      </c>
      <c r="AJ38" s="1032">
        <f t="shared" si="32"/>
        <v>0</v>
      </c>
      <c r="AK38" s="49"/>
      <c r="AL38" s="49">
        <f t="shared" si="52"/>
        <v>0</v>
      </c>
      <c r="AM38" s="49">
        <f>-'[22]Table 5C1C-Intl_VIBE'!AL38</f>
        <v>0</v>
      </c>
      <c r="AN38" s="49">
        <f>-'[21]Table 5C1C-Intl_VIBE'!P38</f>
        <v>0</v>
      </c>
      <c r="AO38" s="49">
        <f t="shared" si="53"/>
        <v>0</v>
      </c>
      <c r="AP38" s="49"/>
    </row>
    <row r="39" spans="1:42">
      <c r="A39" s="975">
        <v>33</v>
      </c>
      <c r="B39" s="976" t="s">
        <v>134</v>
      </c>
      <c r="C39" s="1171">
        <f>'Table 8 2.1.12 MFP Funded'!V36</f>
        <v>0</v>
      </c>
      <c r="D39" s="984">
        <f>'Table 3 Levels 1&amp;2'!AL40</f>
        <v>5393.8471941993575</v>
      </c>
      <c r="E39" s="1074">
        <f t="shared" si="33"/>
        <v>0</v>
      </c>
      <c r="F39" s="1074">
        <f>'Table 4 Level 3'!P38</f>
        <v>655.31000000000006</v>
      </c>
      <c r="G39" s="1074">
        <f t="shared" si="34"/>
        <v>0</v>
      </c>
      <c r="H39" s="1037">
        <f t="shared" si="35"/>
        <v>0</v>
      </c>
      <c r="I39" s="1417">
        <f>'[1]Oct midyear Intl_VIBE '!K39</f>
        <v>0</v>
      </c>
      <c r="J39" s="1417">
        <f>'[1]Feb midyear Intl_VIBE '!K39</f>
        <v>0</v>
      </c>
      <c r="K39" s="1417">
        <f t="shared" si="36"/>
        <v>0</v>
      </c>
      <c r="L39" s="1436">
        <f t="shared" si="37"/>
        <v>0</v>
      </c>
      <c r="M39" s="1084">
        <f t="shared" si="38"/>
        <v>0</v>
      </c>
      <c r="N39" s="1037">
        <f t="shared" si="39"/>
        <v>0</v>
      </c>
      <c r="O39" s="1037">
        <v>0</v>
      </c>
      <c r="P39" s="1037">
        <f t="shared" si="40"/>
        <v>0</v>
      </c>
      <c r="Q39" s="1037">
        <v>0</v>
      </c>
      <c r="R39" s="1037">
        <f t="shared" si="41"/>
        <v>0</v>
      </c>
      <c r="S39" s="1037">
        <f t="shared" si="42"/>
        <v>0</v>
      </c>
      <c r="T39" s="1029">
        <f>'[14]FY2012-13 Final'!D40</f>
        <v>1583</v>
      </c>
      <c r="U39" s="1031">
        <f t="shared" ref="U39:U70" si="54">C39*T39</f>
        <v>0</v>
      </c>
      <c r="V39" s="1355">
        <f>'[20]Oct midyear Intl_VIBE '!E39</f>
        <v>0</v>
      </c>
      <c r="W39" s="1349">
        <f t="shared" si="43"/>
        <v>0</v>
      </c>
      <c r="X39" s="1474">
        <f>'[20]Feb midyear Intl_VIBE '!E39</f>
        <v>0</v>
      </c>
      <c r="Y39" s="1468">
        <f t="shared" si="44"/>
        <v>0</v>
      </c>
      <c r="Z39" s="1468">
        <f t="shared" si="45"/>
        <v>0</v>
      </c>
      <c r="AA39" s="1031">
        <f t="shared" si="46"/>
        <v>0</v>
      </c>
      <c r="AB39" s="1090">
        <f t="shared" si="47"/>
        <v>0</v>
      </c>
      <c r="AC39" s="1031">
        <f t="shared" si="48"/>
        <v>0</v>
      </c>
      <c r="AD39" s="1031">
        <v>0</v>
      </c>
      <c r="AE39" s="1031">
        <f t="shared" si="49"/>
        <v>0</v>
      </c>
      <c r="AF39" s="1031">
        <v>0</v>
      </c>
      <c r="AG39" s="1031">
        <f t="shared" si="50"/>
        <v>0</v>
      </c>
      <c r="AH39" s="1031">
        <f t="shared" si="51"/>
        <v>0</v>
      </c>
      <c r="AI39" s="1032">
        <f t="shared" ref="AI39:AI70" si="55">P39+AE39</f>
        <v>0</v>
      </c>
      <c r="AJ39" s="1032">
        <f t="shared" ref="AJ39:AJ70" si="56">S39+AH39</f>
        <v>0</v>
      </c>
      <c r="AK39" s="49"/>
      <c r="AL39" s="49">
        <f t="shared" si="52"/>
        <v>0</v>
      </c>
      <c r="AM39" s="49">
        <f>-'[22]Table 5C1C-Intl_VIBE'!AL39</f>
        <v>0</v>
      </c>
      <c r="AN39" s="49">
        <f>-'[21]Table 5C1C-Intl_VIBE'!P39</f>
        <v>0</v>
      </c>
      <c r="AO39" s="49">
        <f t="shared" si="53"/>
        <v>0</v>
      </c>
      <c r="AP39" s="49"/>
    </row>
    <row r="40" spans="1:42">
      <c r="A40" s="975">
        <v>34</v>
      </c>
      <c r="B40" s="976" t="s">
        <v>135</v>
      </c>
      <c r="C40" s="1171">
        <f>'Table 8 2.1.12 MFP Funded'!V37</f>
        <v>0</v>
      </c>
      <c r="D40" s="984">
        <f>'Table 3 Levels 1&amp;2'!AL41</f>
        <v>5864.3549473361072</v>
      </c>
      <c r="E40" s="1074">
        <f t="shared" si="33"/>
        <v>0</v>
      </c>
      <c r="F40" s="1074">
        <f>'Table 4 Level 3'!P39</f>
        <v>644.11000000000013</v>
      </c>
      <c r="G40" s="1074">
        <f t="shared" si="34"/>
        <v>0</v>
      </c>
      <c r="H40" s="1037">
        <f t="shared" si="35"/>
        <v>0</v>
      </c>
      <c r="I40" s="1417">
        <f>'[1]Oct midyear Intl_VIBE '!K40</f>
        <v>0</v>
      </c>
      <c r="J40" s="1417">
        <f>'[1]Feb midyear Intl_VIBE '!K40</f>
        <v>0</v>
      </c>
      <c r="K40" s="1417">
        <f t="shared" si="36"/>
        <v>0</v>
      </c>
      <c r="L40" s="1436">
        <f t="shared" si="37"/>
        <v>0</v>
      </c>
      <c r="M40" s="1084">
        <f t="shared" si="38"/>
        <v>0</v>
      </c>
      <c r="N40" s="1037">
        <f t="shared" si="39"/>
        <v>0</v>
      </c>
      <c r="O40" s="1037">
        <v>0</v>
      </c>
      <c r="P40" s="1037">
        <f t="shared" si="40"/>
        <v>0</v>
      </c>
      <c r="Q40" s="1037">
        <v>0</v>
      </c>
      <c r="R40" s="1037">
        <f t="shared" si="41"/>
        <v>0</v>
      </c>
      <c r="S40" s="1037">
        <f t="shared" si="42"/>
        <v>0</v>
      </c>
      <c r="T40" s="1029">
        <f>'[14]FY2012-13 Final'!D41</f>
        <v>2324</v>
      </c>
      <c r="U40" s="1031">
        <f t="shared" si="54"/>
        <v>0</v>
      </c>
      <c r="V40" s="1355">
        <f>'[20]Oct midyear Intl_VIBE '!E40</f>
        <v>0</v>
      </c>
      <c r="W40" s="1349">
        <f t="shared" si="43"/>
        <v>0</v>
      </c>
      <c r="X40" s="1474">
        <f>'[20]Feb midyear Intl_VIBE '!E40</f>
        <v>0</v>
      </c>
      <c r="Y40" s="1468">
        <f t="shared" si="44"/>
        <v>0</v>
      </c>
      <c r="Z40" s="1468">
        <f t="shared" si="45"/>
        <v>0</v>
      </c>
      <c r="AA40" s="1031">
        <f t="shared" si="46"/>
        <v>0</v>
      </c>
      <c r="AB40" s="1090">
        <f t="shared" si="47"/>
        <v>0</v>
      </c>
      <c r="AC40" s="1031">
        <f t="shared" si="48"/>
        <v>0</v>
      </c>
      <c r="AD40" s="1031">
        <v>0</v>
      </c>
      <c r="AE40" s="1031">
        <f t="shared" si="49"/>
        <v>0</v>
      </c>
      <c r="AF40" s="1031">
        <v>0</v>
      </c>
      <c r="AG40" s="1031">
        <f t="shared" si="50"/>
        <v>0</v>
      </c>
      <c r="AH40" s="1031">
        <f t="shared" si="51"/>
        <v>0</v>
      </c>
      <c r="AI40" s="1032">
        <f t="shared" si="55"/>
        <v>0</v>
      </c>
      <c r="AJ40" s="1032">
        <f t="shared" si="56"/>
        <v>0</v>
      </c>
      <c r="AK40" s="49"/>
      <c r="AL40" s="49">
        <f t="shared" si="52"/>
        <v>0</v>
      </c>
      <c r="AM40" s="49">
        <f>-'[22]Table 5C1C-Intl_VIBE'!AL40</f>
        <v>0</v>
      </c>
      <c r="AN40" s="49">
        <f>-'[21]Table 5C1C-Intl_VIBE'!P40</f>
        <v>0</v>
      </c>
      <c r="AO40" s="49">
        <f t="shared" si="53"/>
        <v>0</v>
      </c>
      <c r="AP40" s="49"/>
    </row>
    <row r="41" spans="1:42">
      <c r="A41" s="979">
        <v>35</v>
      </c>
      <c r="B41" s="980" t="s">
        <v>136</v>
      </c>
      <c r="C41" s="1172">
        <f>'Table 8 2.1.12 MFP Funded'!V38</f>
        <v>0</v>
      </c>
      <c r="D41" s="986">
        <f>'Table 3 Levels 1&amp;2'!AL42</f>
        <v>4848.8680115701454</v>
      </c>
      <c r="E41" s="1075">
        <f t="shared" si="33"/>
        <v>0</v>
      </c>
      <c r="F41" s="1075">
        <f>'Table 4 Level 3'!P40</f>
        <v>537.96</v>
      </c>
      <c r="G41" s="1075">
        <f t="shared" si="34"/>
        <v>0</v>
      </c>
      <c r="H41" s="1038">
        <f t="shared" si="35"/>
        <v>0</v>
      </c>
      <c r="I41" s="1418">
        <f>'[1]Oct midyear Intl_VIBE '!K41</f>
        <v>0</v>
      </c>
      <c r="J41" s="1418">
        <f>'[1]Feb midyear Intl_VIBE '!K41</f>
        <v>0</v>
      </c>
      <c r="K41" s="1418">
        <f t="shared" si="36"/>
        <v>0</v>
      </c>
      <c r="L41" s="1437">
        <f t="shared" si="37"/>
        <v>0</v>
      </c>
      <c r="M41" s="1085">
        <f t="shared" si="38"/>
        <v>0</v>
      </c>
      <c r="N41" s="1038">
        <f t="shared" si="39"/>
        <v>0</v>
      </c>
      <c r="O41" s="1038">
        <v>0</v>
      </c>
      <c r="P41" s="1038">
        <f t="shared" si="40"/>
        <v>0</v>
      </c>
      <c r="Q41" s="1038">
        <v>0</v>
      </c>
      <c r="R41" s="1038">
        <f t="shared" si="41"/>
        <v>0</v>
      </c>
      <c r="S41" s="1038">
        <f t="shared" si="42"/>
        <v>0</v>
      </c>
      <c r="T41" s="1034">
        <f>'[14]FY2012-13 Final'!D42</f>
        <v>3214</v>
      </c>
      <c r="U41" s="1035">
        <f t="shared" si="54"/>
        <v>0</v>
      </c>
      <c r="V41" s="1356">
        <f>'[20]Oct midyear Intl_VIBE '!E41</f>
        <v>0</v>
      </c>
      <c r="W41" s="1350">
        <f t="shared" si="43"/>
        <v>0</v>
      </c>
      <c r="X41" s="1475">
        <f>'[20]Feb midyear Intl_VIBE '!E41</f>
        <v>0</v>
      </c>
      <c r="Y41" s="1469">
        <f t="shared" si="44"/>
        <v>0</v>
      </c>
      <c r="Z41" s="1469">
        <f t="shared" si="45"/>
        <v>0</v>
      </c>
      <c r="AA41" s="1035">
        <f t="shared" si="46"/>
        <v>0</v>
      </c>
      <c r="AB41" s="1091">
        <f t="shared" si="47"/>
        <v>0</v>
      </c>
      <c r="AC41" s="1035">
        <f t="shared" si="48"/>
        <v>0</v>
      </c>
      <c r="AD41" s="1035">
        <v>0</v>
      </c>
      <c r="AE41" s="1035">
        <f t="shared" si="49"/>
        <v>0</v>
      </c>
      <c r="AF41" s="1035">
        <v>0</v>
      </c>
      <c r="AG41" s="1035">
        <f t="shared" si="50"/>
        <v>0</v>
      </c>
      <c r="AH41" s="1035">
        <f t="shared" si="51"/>
        <v>0</v>
      </c>
      <c r="AI41" s="1036">
        <f t="shared" si="55"/>
        <v>0</v>
      </c>
      <c r="AJ41" s="1036">
        <f t="shared" si="56"/>
        <v>0</v>
      </c>
      <c r="AK41" s="49"/>
      <c r="AL41" s="49">
        <f t="shared" si="52"/>
        <v>0</v>
      </c>
      <c r="AM41" s="49">
        <f>-'[22]Table 5C1C-Intl_VIBE'!AL41</f>
        <v>0</v>
      </c>
      <c r="AN41" s="49">
        <f>-'[21]Table 5C1C-Intl_VIBE'!P41</f>
        <v>0</v>
      </c>
      <c r="AO41" s="49">
        <f t="shared" si="53"/>
        <v>0</v>
      </c>
      <c r="AP41" s="49"/>
    </row>
    <row r="42" spans="1:42">
      <c r="A42" s="968">
        <v>36</v>
      </c>
      <c r="B42" s="969" t="s">
        <v>137</v>
      </c>
      <c r="C42" s="1173">
        <f>'Table 8 2.1.12 MFP Funded'!V39</f>
        <v>275</v>
      </c>
      <c r="D42" s="988">
        <f>'Table 3 Levels 1&amp;2'!AL43</f>
        <v>3442.7546828904692</v>
      </c>
      <c r="E42" s="1076">
        <f t="shared" si="33"/>
        <v>946757.53779487906</v>
      </c>
      <c r="F42" s="1076">
        <f>'Table 5B1_RSD_Orleans'!F78</f>
        <v>746.0335616438357</v>
      </c>
      <c r="G42" s="1076">
        <f t="shared" si="34"/>
        <v>205159.2294520548</v>
      </c>
      <c r="H42" s="1039">
        <f t="shared" si="35"/>
        <v>1151916.7672469339</v>
      </c>
      <c r="I42" s="1419">
        <f>'[1]Oct midyear Intl_VIBE '!K42</f>
        <v>364424.5772744845</v>
      </c>
      <c r="J42" s="1419">
        <f>'[1]Feb midyear Intl_VIBE '!K42</f>
        <v>50265.458934411654</v>
      </c>
      <c r="K42" s="1419">
        <f t="shared" si="36"/>
        <v>414690.03620889614</v>
      </c>
      <c r="L42" s="1211">
        <f t="shared" si="37"/>
        <v>1566606.8034558301</v>
      </c>
      <c r="M42" s="1086">
        <f t="shared" si="38"/>
        <v>-3916.5170086395751</v>
      </c>
      <c r="N42" s="1039">
        <f t="shared" si="39"/>
        <v>1562690.2864471904</v>
      </c>
      <c r="O42" s="1211">
        <v>-2567.7028599048972</v>
      </c>
      <c r="P42" s="1039">
        <f t="shared" si="40"/>
        <v>1560122.5835872856</v>
      </c>
      <c r="Q42" s="1039">
        <f>96698+145138+136258+136258+136258+136258+136258+136258+129914+129914</f>
        <v>1319212</v>
      </c>
      <c r="R42" s="1039">
        <f t="shared" si="41"/>
        <v>240910.5835872856</v>
      </c>
      <c r="S42" s="1039">
        <f t="shared" si="42"/>
        <v>120455.2917936428</v>
      </c>
      <c r="T42" s="1029">
        <f>'[14]FY2012-13 Final'!D43</f>
        <v>4196</v>
      </c>
      <c r="U42" s="973">
        <f t="shared" si="54"/>
        <v>1153900</v>
      </c>
      <c r="V42" s="1354">
        <f>'[20]Oct midyear Intl_VIBE '!E42</f>
        <v>87</v>
      </c>
      <c r="W42" s="1348">
        <f t="shared" si="43"/>
        <v>365052</v>
      </c>
      <c r="X42" s="1466">
        <f>'[20]Feb midyear Intl_VIBE '!E42</f>
        <v>24</v>
      </c>
      <c r="Y42" s="1348">
        <f t="shared" si="44"/>
        <v>50352</v>
      </c>
      <c r="Z42" s="1348">
        <f t="shared" si="45"/>
        <v>415404</v>
      </c>
      <c r="AA42" s="973">
        <f t="shared" si="46"/>
        <v>1569304</v>
      </c>
      <c r="AB42" s="1089">
        <f t="shared" si="47"/>
        <v>-3923.26</v>
      </c>
      <c r="AC42" s="973">
        <f t="shared" si="48"/>
        <v>1565380.74</v>
      </c>
      <c r="AD42" s="973">
        <v>0</v>
      </c>
      <c r="AE42" s="973">
        <f t="shared" si="49"/>
        <v>1565380.74</v>
      </c>
      <c r="AF42" s="973">
        <f>93952+140913+132303+132303+132303+132303+132303+132303+109272+109272</f>
        <v>1247227</v>
      </c>
      <c r="AG42" s="973">
        <f t="shared" si="50"/>
        <v>318153.74</v>
      </c>
      <c r="AH42" s="973">
        <f t="shared" si="51"/>
        <v>159076.87</v>
      </c>
      <c r="AI42" s="974">
        <f t="shared" si="55"/>
        <v>3125503.3235872854</v>
      </c>
      <c r="AJ42" s="974">
        <f t="shared" si="56"/>
        <v>279532.16179364279</v>
      </c>
      <c r="AK42" s="49"/>
      <c r="AL42" s="49">
        <f t="shared" si="52"/>
        <v>-3923.26</v>
      </c>
      <c r="AM42" s="49">
        <f>-'[22]Table 5C1C-Intl_VIBE'!AL42</f>
        <v>3673.6150000000002</v>
      </c>
      <c r="AN42" s="49">
        <f>-'[21]Table 5C1C-Intl_VIBE'!P42</f>
        <v>2825.625</v>
      </c>
      <c r="AO42" s="49">
        <f t="shared" si="53"/>
        <v>-249.64499999999998</v>
      </c>
      <c r="AP42" s="49"/>
    </row>
    <row r="43" spans="1:42">
      <c r="A43" s="975">
        <v>37</v>
      </c>
      <c r="B43" s="976" t="s">
        <v>138</v>
      </c>
      <c r="C43" s="1171">
        <f>'Table 8 2.1.12 MFP Funded'!V40</f>
        <v>0</v>
      </c>
      <c r="D43" s="984">
        <f>'Table 3 Levels 1&amp;2'!AL44</f>
        <v>5492.0643232073926</v>
      </c>
      <c r="E43" s="1074">
        <f t="shared" si="33"/>
        <v>0</v>
      </c>
      <c r="F43" s="1074">
        <f>'Table 4 Level 3'!P42</f>
        <v>653.61</v>
      </c>
      <c r="G43" s="1074">
        <f t="shared" si="34"/>
        <v>0</v>
      </c>
      <c r="H43" s="1037">
        <f t="shared" si="35"/>
        <v>0</v>
      </c>
      <c r="I43" s="1417">
        <f>'[1]Oct midyear Intl_VIBE '!K43</f>
        <v>0</v>
      </c>
      <c r="J43" s="1417">
        <f>'[1]Feb midyear Intl_VIBE '!K43</f>
        <v>0</v>
      </c>
      <c r="K43" s="1417">
        <f t="shared" si="36"/>
        <v>0</v>
      </c>
      <c r="L43" s="1436">
        <f t="shared" si="37"/>
        <v>0</v>
      </c>
      <c r="M43" s="1084">
        <f t="shared" si="38"/>
        <v>0</v>
      </c>
      <c r="N43" s="1037">
        <f t="shared" si="39"/>
        <v>0</v>
      </c>
      <c r="O43" s="1037">
        <v>0</v>
      </c>
      <c r="P43" s="1037">
        <f t="shared" si="40"/>
        <v>0</v>
      </c>
      <c r="Q43" s="1037">
        <v>0</v>
      </c>
      <c r="R43" s="1037">
        <f t="shared" si="41"/>
        <v>0</v>
      </c>
      <c r="S43" s="1037">
        <f t="shared" si="42"/>
        <v>0</v>
      </c>
      <c r="T43" s="1029">
        <f>'[14]FY2012-13 Final'!D44</f>
        <v>2822</v>
      </c>
      <c r="U43" s="1031">
        <f t="shared" si="54"/>
        <v>0</v>
      </c>
      <c r="V43" s="1355">
        <f>'[20]Oct midyear Intl_VIBE '!E43</f>
        <v>0</v>
      </c>
      <c r="W43" s="1349">
        <f t="shared" si="43"/>
        <v>0</v>
      </c>
      <c r="X43" s="1474">
        <f>'[20]Feb midyear Intl_VIBE '!E43</f>
        <v>0</v>
      </c>
      <c r="Y43" s="1468">
        <f t="shared" si="44"/>
        <v>0</v>
      </c>
      <c r="Z43" s="1468">
        <f t="shared" si="45"/>
        <v>0</v>
      </c>
      <c r="AA43" s="1031">
        <f t="shared" si="46"/>
        <v>0</v>
      </c>
      <c r="AB43" s="1090">
        <f t="shared" si="47"/>
        <v>0</v>
      </c>
      <c r="AC43" s="1031">
        <f t="shared" si="48"/>
        <v>0</v>
      </c>
      <c r="AD43" s="1031">
        <v>0</v>
      </c>
      <c r="AE43" s="1031">
        <f t="shared" si="49"/>
        <v>0</v>
      </c>
      <c r="AF43" s="1031">
        <v>0</v>
      </c>
      <c r="AG43" s="1031">
        <f t="shared" si="50"/>
        <v>0</v>
      </c>
      <c r="AH43" s="1031">
        <f t="shared" si="51"/>
        <v>0</v>
      </c>
      <c r="AI43" s="1032">
        <f t="shared" si="55"/>
        <v>0</v>
      </c>
      <c r="AJ43" s="1032">
        <f t="shared" si="56"/>
        <v>0</v>
      </c>
      <c r="AK43" s="49"/>
      <c r="AL43" s="49">
        <f t="shared" si="52"/>
        <v>0</v>
      </c>
      <c r="AM43" s="49">
        <f>-'[22]Table 5C1C-Intl_VIBE'!AL43</f>
        <v>0</v>
      </c>
      <c r="AN43" s="49">
        <f>-'[21]Table 5C1C-Intl_VIBE'!P43</f>
        <v>0</v>
      </c>
      <c r="AO43" s="49">
        <f t="shared" si="53"/>
        <v>0</v>
      </c>
      <c r="AP43" s="49"/>
    </row>
    <row r="44" spans="1:42">
      <c r="A44" s="975">
        <v>38</v>
      </c>
      <c r="B44" s="976" t="s">
        <v>139</v>
      </c>
      <c r="C44" s="1171">
        <f>'Table 8 2.1.12 MFP Funded'!V41</f>
        <v>0</v>
      </c>
      <c r="D44" s="984">
        <f>'Table 3 Levels 1&amp;2'!AL45</f>
        <v>2296.9220537376964</v>
      </c>
      <c r="E44" s="1074">
        <f t="shared" si="33"/>
        <v>0</v>
      </c>
      <c r="F44" s="1074">
        <f>'Table 4 Level 3'!P43</f>
        <v>829.92000000000007</v>
      </c>
      <c r="G44" s="1074">
        <f t="shared" si="34"/>
        <v>0</v>
      </c>
      <c r="H44" s="1037">
        <f t="shared" si="35"/>
        <v>0</v>
      </c>
      <c r="I44" s="1417">
        <f>'[1]Oct midyear Intl_VIBE '!K44</f>
        <v>0</v>
      </c>
      <c r="J44" s="1417">
        <f>'[1]Feb midyear Intl_VIBE '!K44</f>
        <v>0</v>
      </c>
      <c r="K44" s="1417">
        <f t="shared" si="36"/>
        <v>0</v>
      </c>
      <c r="L44" s="1436">
        <f t="shared" si="37"/>
        <v>0</v>
      </c>
      <c r="M44" s="1084">
        <f t="shared" si="38"/>
        <v>0</v>
      </c>
      <c r="N44" s="1037">
        <f t="shared" si="39"/>
        <v>0</v>
      </c>
      <c r="O44" s="1037">
        <v>0</v>
      </c>
      <c r="P44" s="1037">
        <f t="shared" si="40"/>
        <v>0</v>
      </c>
      <c r="Q44" s="1037">
        <v>0</v>
      </c>
      <c r="R44" s="1037">
        <f t="shared" si="41"/>
        <v>0</v>
      </c>
      <c r="S44" s="1037">
        <f t="shared" si="42"/>
        <v>0</v>
      </c>
      <c r="T44" s="1029">
        <f>'[14]FY2012-13 Final'!D45</f>
        <v>10932</v>
      </c>
      <c r="U44" s="1031">
        <f t="shared" si="54"/>
        <v>0</v>
      </c>
      <c r="V44" s="1355">
        <f>'[20]Oct midyear Intl_VIBE '!E44</f>
        <v>0</v>
      </c>
      <c r="W44" s="1349">
        <f t="shared" si="43"/>
        <v>0</v>
      </c>
      <c r="X44" s="1474">
        <f>'[20]Feb midyear Intl_VIBE '!E44</f>
        <v>0</v>
      </c>
      <c r="Y44" s="1468">
        <f t="shared" si="44"/>
        <v>0</v>
      </c>
      <c r="Z44" s="1468">
        <f t="shared" si="45"/>
        <v>0</v>
      </c>
      <c r="AA44" s="1031">
        <f t="shared" si="46"/>
        <v>0</v>
      </c>
      <c r="AB44" s="1090">
        <f t="shared" si="47"/>
        <v>0</v>
      </c>
      <c r="AC44" s="1031">
        <f t="shared" si="48"/>
        <v>0</v>
      </c>
      <c r="AD44" s="1031">
        <v>0</v>
      </c>
      <c r="AE44" s="1031">
        <f t="shared" si="49"/>
        <v>0</v>
      </c>
      <c r="AF44" s="1031">
        <v>0</v>
      </c>
      <c r="AG44" s="1031">
        <f t="shared" si="50"/>
        <v>0</v>
      </c>
      <c r="AH44" s="1031">
        <f t="shared" si="51"/>
        <v>0</v>
      </c>
      <c r="AI44" s="1032">
        <f t="shared" si="55"/>
        <v>0</v>
      </c>
      <c r="AJ44" s="1032">
        <f t="shared" si="56"/>
        <v>0</v>
      </c>
      <c r="AK44" s="49"/>
      <c r="AL44" s="49">
        <f t="shared" si="52"/>
        <v>0</v>
      </c>
      <c r="AM44" s="49">
        <f>-'[22]Table 5C1C-Intl_VIBE'!AL44</f>
        <v>0</v>
      </c>
      <c r="AN44" s="49">
        <f>-'[21]Table 5C1C-Intl_VIBE'!P44</f>
        <v>0</v>
      </c>
      <c r="AO44" s="49">
        <f t="shared" si="53"/>
        <v>0</v>
      </c>
      <c r="AP44" s="49"/>
    </row>
    <row r="45" spans="1:42">
      <c r="A45" s="975">
        <v>39</v>
      </c>
      <c r="B45" s="976" t="s">
        <v>140</v>
      </c>
      <c r="C45" s="1171">
        <f>'Table 8 2.1.12 MFP Funded'!V42</f>
        <v>0</v>
      </c>
      <c r="D45" s="984">
        <f>'Table 3 Levels 1&amp;2'!AL46</f>
        <v>3692.59215316156</v>
      </c>
      <c r="E45" s="1074">
        <f t="shared" si="33"/>
        <v>0</v>
      </c>
      <c r="F45" s="1074">
        <f>'Table 5B2_RSD_LA'!F21</f>
        <v>779.65573042776441</v>
      </c>
      <c r="G45" s="1074">
        <f t="shared" si="34"/>
        <v>0</v>
      </c>
      <c r="H45" s="1037">
        <f t="shared" si="35"/>
        <v>0</v>
      </c>
      <c r="I45" s="1417">
        <f>'[1]Oct midyear Intl_VIBE '!K45</f>
        <v>0</v>
      </c>
      <c r="J45" s="1417">
        <f>'[1]Feb midyear Intl_VIBE '!K45</f>
        <v>0</v>
      </c>
      <c r="K45" s="1417">
        <f t="shared" si="36"/>
        <v>0</v>
      </c>
      <c r="L45" s="1436">
        <f t="shared" si="37"/>
        <v>0</v>
      </c>
      <c r="M45" s="1084">
        <f t="shared" si="38"/>
        <v>0</v>
      </c>
      <c r="N45" s="1037">
        <f t="shared" si="39"/>
        <v>0</v>
      </c>
      <c r="O45" s="1037">
        <v>0</v>
      </c>
      <c r="P45" s="1037">
        <f t="shared" si="40"/>
        <v>0</v>
      </c>
      <c r="Q45" s="1037">
        <v>0</v>
      </c>
      <c r="R45" s="1037">
        <f t="shared" si="41"/>
        <v>0</v>
      </c>
      <c r="S45" s="1037">
        <f t="shared" si="42"/>
        <v>0</v>
      </c>
      <c r="T45" s="1029">
        <f>'[14]FY2012-13 Final'!D46</f>
        <v>4185</v>
      </c>
      <c r="U45" s="1031">
        <f t="shared" si="54"/>
        <v>0</v>
      </c>
      <c r="V45" s="1355">
        <f>'[20]Oct midyear Intl_VIBE '!E45</f>
        <v>0</v>
      </c>
      <c r="W45" s="1349">
        <f t="shared" si="43"/>
        <v>0</v>
      </c>
      <c r="X45" s="1474">
        <f>'[20]Feb midyear Intl_VIBE '!E45</f>
        <v>0</v>
      </c>
      <c r="Y45" s="1468">
        <f t="shared" si="44"/>
        <v>0</v>
      </c>
      <c r="Z45" s="1468">
        <f t="shared" si="45"/>
        <v>0</v>
      </c>
      <c r="AA45" s="1031">
        <f t="shared" si="46"/>
        <v>0</v>
      </c>
      <c r="AB45" s="1090">
        <f t="shared" si="47"/>
        <v>0</v>
      </c>
      <c r="AC45" s="1031">
        <f t="shared" si="48"/>
        <v>0</v>
      </c>
      <c r="AD45" s="1031">
        <v>0</v>
      </c>
      <c r="AE45" s="1031">
        <f t="shared" si="49"/>
        <v>0</v>
      </c>
      <c r="AF45" s="1031">
        <v>0</v>
      </c>
      <c r="AG45" s="1031">
        <f t="shared" si="50"/>
        <v>0</v>
      </c>
      <c r="AH45" s="1031">
        <f t="shared" si="51"/>
        <v>0</v>
      </c>
      <c r="AI45" s="1032">
        <f t="shared" si="55"/>
        <v>0</v>
      </c>
      <c r="AJ45" s="1032">
        <f t="shared" si="56"/>
        <v>0</v>
      </c>
      <c r="AK45" s="49"/>
      <c r="AL45" s="49">
        <f t="shared" si="52"/>
        <v>0</v>
      </c>
      <c r="AM45" s="49">
        <f>-'[22]Table 5C1C-Intl_VIBE'!AL45</f>
        <v>0</v>
      </c>
      <c r="AN45" s="49">
        <f>-'[21]Table 5C1C-Intl_VIBE'!P45</f>
        <v>0</v>
      </c>
      <c r="AO45" s="49">
        <f t="shared" si="53"/>
        <v>0</v>
      </c>
      <c r="AP45" s="49"/>
    </row>
    <row r="46" spans="1:42">
      <c r="A46" s="979">
        <v>40</v>
      </c>
      <c r="B46" s="980" t="s">
        <v>141</v>
      </c>
      <c r="C46" s="1172">
        <f>'Table 8 2.1.12 MFP Funded'!V43</f>
        <v>0</v>
      </c>
      <c r="D46" s="986">
        <f>'Table 3 Levels 1&amp;2'!AL47</f>
        <v>4897.3087815908475</v>
      </c>
      <c r="E46" s="1075">
        <f t="shared" si="33"/>
        <v>0</v>
      </c>
      <c r="F46" s="1075">
        <f>'Table 4 Level 3'!P45</f>
        <v>700.2700000000001</v>
      </c>
      <c r="G46" s="1075">
        <f t="shared" si="34"/>
        <v>0</v>
      </c>
      <c r="H46" s="1038">
        <f t="shared" si="35"/>
        <v>0</v>
      </c>
      <c r="I46" s="1418">
        <f>'[1]Oct midyear Intl_VIBE '!K46</f>
        <v>0</v>
      </c>
      <c r="J46" s="1418">
        <f>'[1]Feb midyear Intl_VIBE '!K46</f>
        <v>0</v>
      </c>
      <c r="K46" s="1418">
        <f t="shared" si="36"/>
        <v>0</v>
      </c>
      <c r="L46" s="1437">
        <f t="shared" si="37"/>
        <v>0</v>
      </c>
      <c r="M46" s="1085">
        <f t="shared" si="38"/>
        <v>0</v>
      </c>
      <c r="N46" s="1038">
        <f t="shared" si="39"/>
        <v>0</v>
      </c>
      <c r="O46" s="1038">
        <v>0</v>
      </c>
      <c r="P46" s="1038">
        <f t="shared" si="40"/>
        <v>0</v>
      </c>
      <c r="Q46" s="1038">
        <v>0</v>
      </c>
      <c r="R46" s="1038">
        <f t="shared" si="41"/>
        <v>0</v>
      </c>
      <c r="S46" s="1038">
        <f t="shared" si="42"/>
        <v>0</v>
      </c>
      <c r="T46" s="1034">
        <f>'[14]FY2012-13 Final'!D47</f>
        <v>2569</v>
      </c>
      <c r="U46" s="1035">
        <f t="shared" si="54"/>
        <v>0</v>
      </c>
      <c r="V46" s="1356">
        <f>'[20]Oct midyear Intl_VIBE '!E46</f>
        <v>0</v>
      </c>
      <c r="W46" s="1350">
        <f t="shared" si="43"/>
        <v>0</v>
      </c>
      <c r="X46" s="1475">
        <f>'[20]Feb midyear Intl_VIBE '!E46</f>
        <v>0</v>
      </c>
      <c r="Y46" s="1469">
        <f t="shared" si="44"/>
        <v>0</v>
      </c>
      <c r="Z46" s="1469">
        <f t="shared" si="45"/>
        <v>0</v>
      </c>
      <c r="AA46" s="1035">
        <f t="shared" si="46"/>
        <v>0</v>
      </c>
      <c r="AB46" s="1091">
        <f t="shared" si="47"/>
        <v>0</v>
      </c>
      <c r="AC46" s="1035">
        <f t="shared" si="48"/>
        <v>0</v>
      </c>
      <c r="AD46" s="1035">
        <v>0</v>
      </c>
      <c r="AE46" s="1035">
        <f t="shared" si="49"/>
        <v>0</v>
      </c>
      <c r="AF46" s="1035">
        <v>0</v>
      </c>
      <c r="AG46" s="1035">
        <f t="shared" si="50"/>
        <v>0</v>
      </c>
      <c r="AH46" s="1035">
        <f t="shared" si="51"/>
        <v>0</v>
      </c>
      <c r="AI46" s="1036">
        <f t="shared" si="55"/>
        <v>0</v>
      </c>
      <c r="AJ46" s="1036">
        <f t="shared" si="56"/>
        <v>0</v>
      </c>
      <c r="AK46" s="49"/>
      <c r="AL46" s="49">
        <f t="shared" si="52"/>
        <v>0</v>
      </c>
      <c r="AM46" s="49">
        <f>-'[22]Table 5C1C-Intl_VIBE'!AL46</f>
        <v>0</v>
      </c>
      <c r="AN46" s="49">
        <f>-'[21]Table 5C1C-Intl_VIBE'!P46</f>
        <v>0</v>
      </c>
      <c r="AO46" s="49">
        <f t="shared" si="53"/>
        <v>0</v>
      </c>
      <c r="AP46" s="49"/>
    </row>
    <row r="47" spans="1:42">
      <c r="A47" s="968">
        <v>41</v>
      </c>
      <c r="B47" s="969" t="s">
        <v>142</v>
      </c>
      <c r="C47" s="1173">
        <f>'Table 8 2.1.12 MFP Funded'!V44</f>
        <v>0</v>
      </c>
      <c r="D47" s="988">
        <f>'Table 3 Levels 1&amp;2'!AL48</f>
        <v>1613.0487891737891</v>
      </c>
      <c r="E47" s="1076">
        <f t="shared" si="33"/>
        <v>0</v>
      </c>
      <c r="F47" s="1076">
        <f>'Table 4 Level 3'!P46</f>
        <v>886.22</v>
      </c>
      <c r="G47" s="1076">
        <f t="shared" si="34"/>
        <v>0</v>
      </c>
      <c r="H47" s="1039">
        <f t="shared" si="35"/>
        <v>0</v>
      </c>
      <c r="I47" s="1419">
        <f>'[1]Oct midyear Intl_VIBE '!K47</f>
        <v>0</v>
      </c>
      <c r="J47" s="1419">
        <f>'[1]Feb midyear Intl_VIBE '!K47</f>
        <v>0</v>
      </c>
      <c r="K47" s="1419">
        <f t="shared" si="36"/>
        <v>0</v>
      </c>
      <c r="L47" s="1211">
        <f t="shared" si="37"/>
        <v>0</v>
      </c>
      <c r="M47" s="1086">
        <f t="shared" si="38"/>
        <v>0</v>
      </c>
      <c r="N47" s="1039">
        <f t="shared" si="39"/>
        <v>0</v>
      </c>
      <c r="O47" s="1039">
        <v>0</v>
      </c>
      <c r="P47" s="1039">
        <f t="shared" si="40"/>
        <v>0</v>
      </c>
      <c r="Q47" s="1039">
        <v>0</v>
      </c>
      <c r="R47" s="1039">
        <f t="shared" si="41"/>
        <v>0</v>
      </c>
      <c r="S47" s="1039">
        <f t="shared" si="42"/>
        <v>0</v>
      </c>
      <c r="T47" s="1029">
        <f>'[14]FY2012-13 Final'!D48</f>
        <v>11442</v>
      </c>
      <c r="U47" s="973">
        <f t="shared" si="54"/>
        <v>0</v>
      </c>
      <c r="V47" s="1354">
        <f>'[20]Oct midyear Intl_VIBE '!E47</f>
        <v>0</v>
      </c>
      <c r="W47" s="1348">
        <f t="shared" si="43"/>
        <v>0</v>
      </c>
      <c r="X47" s="1466">
        <f>'[20]Feb midyear Intl_VIBE '!E47</f>
        <v>0</v>
      </c>
      <c r="Y47" s="1348">
        <f t="shared" si="44"/>
        <v>0</v>
      </c>
      <c r="Z47" s="1348">
        <f t="shared" si="45"/>
        <v>0</v>
      </c>
      <c r="AA47" s="973">
        <f t="shared" si="46"/>
        <v>0</v>
      </c>
      <c r="AB47" s="1089">
        <f t="shared" si="47"/>
        <v>0</v>
      </c>
      <c r="AC47" s="973">
        <f t="shared" si="48"/>
        <v>0</v>
      </c>
      <c r="AD47" s="973">
        <v>0</v>
      </c>
      <c r="AE47" s="973">
        <f t="shared" si="49"/>
        <v>0</v>
      </c>
      <c r="AF47" s="973">
        <v>0</v>
      </c>
      <c r="AG47" s="973">
        <f t="shared" si="50"/>
        <v>0</v>
      </c>
      <c r="AH47" s="973">
        <f t="shared" si="51"/>
        <v>0</v>
      </c>
      <c r="AI47" s="974">
        <f t="shared" si="55"/>
        <v>0</v>
      </c>
      <c r="AJ47" s="974">
        <f t="shared" si="56"/>
        <v>0</v>
      </c>
      <c r="AK47" s="49"/>
      <c r="AL47" s="49">
        <f t="shared" si="52"/>
        <v>0</v>
      </c>
      <c r="AM47" s="49">
        <f>-'[22]Table 5C1C-Intl_VIBE'!AL47</f>
        <v>0</v>
      </c>
      <c r="AN47" s="49">
        <f>-'[21]Table 5C1C-Intl_VIBE'!P47</f>
        <v>0</v>
      </c>
      <c r="AO47" s="49">
        <f t="shared" si="53"/>
        <v>0</v>
      </c>
      <c r="AP47" s="49"/>
    </row>
    <row r="48" spans="1:42">
      <c r="A48" s="975">
        <v>42</v>
      </c>
      <c r="B48" s="976" t="s">
        <v>143</v>
      </c>
      <c r="C48" s="1171">
        <f>'Table 8 2.1.12 MFP Funded'!V45</f>
        <v>0</v>
      </c>
      <c r="D48" s="984">
        <f>'Table 3 Levels 1&amp;2'!AL49</f>
        <v>5259.3837602759822</v>
      </c>
      <c r="E48" s="1074">
        <f t="shared" si="33"/>
        <v>0</v>
      </c>
      <c r="F48" s="1074">
        <f>'Table 4 Level 3'!P47</f>
        <v>534.28</v>
      </c>
      <c r="G48" s="1074">
        <f t="shared" si="34"/>
        <v>0</v>
      </c>
      <c r="H48" s="1037">
        <f t="shared" si="35"/>
        <v>0</v>
      </c>
      <c r="I48" s="1417">
        <f>'[1]Oct midyear Intl_VIBE '!K48</f>
        <v>0</v>
      </c>
      <c r="J48" s="1417">
        <f>'[1]Feb midyear Intl_VIBE '!K48</f>
        <v>0</v>
      </c>
      <c r="K48" s="1417">
        <f t="shared" si="36"/>
        <v>0</v>
      </c>
      <c r="L48" s="1436">
        <f t="shared" si="37"/>
        <v>0</v>
      </c>
      <c r="M48" s="1084">
        <f t="shared" si="38"/>
        <v>0</v>
      </c>
      <c r="N48" s="1037">
        <f t="shared" si="39"/>
        <v>0</v>
      </c>
      <c r="O48" s="1037">
        <v>0</v>
      </c>
      <c r="P48" s="1037">
        <f t="shared" si="40"/>
        <v>0</v>
      </c>
      <c r="Q48" s="1037">
        <v>0</v>
      </c>
      <c r="R48" s="1037">
        <f t="shared" si="41"/>
        <v>0</v>
      </c>
      <c r="S48" s="1037">
        <f t="shared" si="42"/>
        <v>0</v>
      </c>
      <c r="T48" s="1029">
        <f>'[14]FY2012-13 Final'!D49</f>
        <v>2515</v>
      </c>
      <c r="U48" s="1031">
        <f t="shared" si="54"/>
        <v>0</v>
      </c>
      <c r="V48" s="1355">
        <f>'[20]Oct midyear Intl_VIBE '!E48</f>
        <v>0</v>
      </c>
      <c r="W48" s="1349">
        <f t="shared" si="43"/>
        <v>0</v>
      </c>
      <c r="X48" s="1474">
        <f>'[20]Feb midyear Intl_VIBE '!E48</f>
        <v>0</v>
      </c>
      <c r="Y48" s="1468">
        <f t="shared" si="44"/>
        <v>0</v>
      </c>
      <c r="Z48" s="1468">
        <f t="shared" si="45"/>
        <v>0</v>
      </c>
      <c r="AA48" s="1031">
        <f t="shared" si="46"/>
        <v>0</v>
      </c>
      <c r="AB48" s="1090">
        <f t="shared" si="47"/>
        <v>0</v>
      </c>
      <c r="AC48" s="1031">
        <f t="shared" si="48"/>
        <v>0</v>
      </c>
      <c r="AD48" s="1031">
        <v>0</v>
      </c>
      <c r="AE48" s="1031">
        <f t="shared" si="49"/>
        <v>0</v>
      </c>
      <c r="AF48" s="1031">
        <v>0</v>
      </c>
      <c r="AG48" s="1031">
        <f t="shared" si="50"/>
        <v>0</v>
      </c>
      <c r="AH48" s="1031">
        <f t="shared" si="51"/>
        <v>0</v>
      </c>
      <c r="AI48" s="1032">
        <f t="shared" si="55"/>
        <v>0</v>
      </c>
      <c r="AJ48" s="1032">
        <f t="shared" si="56"/>
        <v>0</v>
      </c>
      <c r="AK48" s="49"/>
      <c r="AL48" s="49">
        <f t="shared" si="52"/>
        <v>0</v>
      </c>
      <c r="AM48" s="49">
        <f>-'[22]Table 5C1C-Intl_VIBE'!AL48</f>
        <v>0</v>
      </c>
      <c r="AN48" s="49">
        <f>-'[21]Table 5C1C-Intl_VIBE'!P48</f>
        <v>0</v>
      </c>
      <c r="AO48" s="49">
        <f t="shared" si="53"/>
        <v>0</v>
      </c>
      <c r="AP48" s="49"/>
    </row>
    <row r="49" spans="1:42">
      <c r="A49" s="975">
        <v>43</v>
      </c>
      <c r="B49" s="976" t="s">
        <v>144</v>
      </c>
      <c r="C49" s="1171">
        <f>'Table 8 2.1.12 MFP Funded'!V46</f>
        <v>0</v>
      </c>
      <c r="D49" s="984">
        <f>'Table 3 Levels 1&amp;2'!AL50</f>
        <v>5602.7225412254893</v>
      </c>
      <c r="E49" s="1074">
        <f t="shared" si="33"/>
        <v>0</v>
      </c>
      <c r="F49" s="1074">
        <f>'Table 4 Level 3'!P48</f>
        <v>574.6099999999999</v>
      </c>
      <c r="G49" s="1074">
        <f t="shared" si="34"/>
        <v>0</v>
      </c>
      <c r="H49" s="1037">
        <f t="shared" si="35"/>
        <v>0</v>
      </c>
      <c r="I49" s="1417">
        <f>'[1]Oct midyear Intl_VIBE '!K49</f>
        <v>0</v>
      </c>
      <c r="J49" s="1417">
        <f>'[1]Feb midyear Intl_VIBE '!K49</f>
        <v>0</v>
      </c>
      <c r="K49" s="1417">
        <f t="shared" si="36"/>
        <v>0</v>
      </c>
      <c r="L49" s="1436">
        <f t="shared" si="37"/>
        <v>0</v>
      </c>
      <c r="M49" s="1084">
        <f t="shared" si="38"/>
        <v>0</v>
      </c>
      <c r="N49" s="1037">
        <f t="shared" si="39"/>
        <v>0</v>
      </c>
      <c r="O49" s="1037">
        <v>0</v>
      </c>
      <c r="P49" s="1037">
        <f t="shared" si="40"/>
        <v>0</v>
      </c>
      <c r="Q49" s="1037">
        <v>0</v>
      </c>
      <c r="R49" s="1037">
        <f t="shared" si="41"/>
        <v>0</v>
      </c>
      <c r="S49" s="1037">
        <f t="shared" si="42"/>
        <v>0</v>
      </c>
      <c r="T49" s="1029">
        <f>'[14]FY2012-13 Final'!D50</f>
        <v>4654</v>
      </c>
      <c r="U49" s="1031">
        <f t="shared" si="54"/>
        <v>0</v>
      </c>
      <c r="V49" s="1355">
        <f>'[20]Oct midyear Intl_VIBE '!E49</f>
        <v>0</v>
      </c>
      <c r="W49" s="1349">
        <f t="shared" si="43"/>
        <v>0</v>
      </c>
      <c r="X49" s="1474">
        <f>'[20]Feb midyear Intl_VIBE '!E49</f>
        <v>0</v>
      </c>
      <c r="Y49" s="1468">
        <f t="shared" si="44"/>
        <v>0</v>
      </c>
      <c r="Z49" s="1468">
        <f t="shared" si="45"/>
        <v>0</v>
      </c>
      <c r="AA49" s="1031">
        <f t="shared" si="46"/>
        <v>0</v>
      </c>
      <c r="AB49" s="1090">
        <f t="shared" si="47"/>
        <v>0</v>
      </c>
      <c r="AC49" s="1031">
        <f t="shared" si="48"/>
        <v>0</v>
      </c>
      <c r="AD49" s="1031">
        <v>0</v>
      </c>
      <c r="AE49" s="1031">
        <f t="shared" si="49"/>
        <v>0</v>
      </c>
      <c r="AF49" s="1031">
        <v>0</v>
      </c>
      <c r="AG49" s="1031">
        <f t="shared" si="50"/>
        <v>0</v>
      </c>
      <c r="AH49" s="1031">
        <f t="shared" si="51"/>
        <v>0</v>
      </c>
      <c r="AI49" s="1032">
        <f t="shared" si="55"/>
        <v>0</v>
      </c>
      <c r="AJ49" s="1032">
        <f t="shared" si="56"/>
        <v>0</v>
      </c>
      <c r="AK49" s="49"/>
      <c r="AL49" s="49">
        <f t="shared" si="52"/>
        <v>0</v>
      </c>
      <c r="AM49" s="49">
        <f>-'[22]Table 5C1C-Intl_VIBE'!AL49</f>
        <v>0</v>
      </c>
      <c r="AN49" s="49">
        <f>-'[21]Table 5C1C-Intl_VIBE'!P49</f>
        <v>0</v>
      </c>
      <c r="AO49" s="49">
        <f t="shared" si="53"/>
        <v>0</v>
      </c>
      <c r="AP49" s="49"/>
    </row>
    <row r="50" spans="1:42">
      <c r="A50" s="975">
        <v>44</v>
      </c>
      <c r="B50" s="976" t="s">
        <v>145</v>
      </c>
      <c r="C50" s="1171">
        <f>'Table 8 2.1.12 MFP Funded'!V47</f>
        <v>1</v>
      </c>
      <c r="D50" s="984">
        <f>'Table 3 Levels 1&amp;2'!AL51</f>
        <v>4123.0310925034155</v>
      </c>
      <c r="E50" s="1074">
        <f t="shared" si="33"/>
        <v>4123.0310925034155</v>
      </c>
      <c r="F50" s="1074">
        <f>'Table 4 Level 3'!P49</f>
        <v>663.16000000000008</v>
      </c>
      <c r="G50" s="1074">
        <f t="shared" si="34"/>
        <v>663.16000000000008</v>
      </c>
      <c r="H50" s="1037">
        <f t="shared" si="35"/>
        <v>4786.1910925034153</v>
      </c>
      <c r="I50" s="1417">
        <f>'[1]Oct midyear Intl_VIBE '!K50</f>
        <v>9572.3821850068307</v>
      </c>
      <c r="J50" s="1417">
        <f>'[1]Feb midyear Intl_VIBE '!K50</f>
        <v>2393.0955462517077</v>
      </c>
      <c r="K50" s="1417">
        <f t="shared" si="36"/>
        <v>11965.477731258539</v>
      </c>
      <c r="L50" s="1436">
        <f t="shared" si="37"/>
        <v>16751.668823761953</v>
      </c>
      <c r="M50" s="1084">
        <f t="shared" si="38"/>
        <v>-41.87917205940488</v>
      </c>
      <c r="N50" s="1037">
        <f t="shared" si="39"/>
        <v>16709.789651702547</v>
      </c>
      <c r="O50" s="1037">
        <v>0</v>
      </c>
      <c r="P50" s="1037">
        <f t="shared" si="40"/>
        <v>16709.789651702547</v>
      </c>
      <c r="Q50" s="1037">
        <f>397*2+1826+1826+1826+1826+1826+1826+1231+1231</f>
        <v>14212</v>
      </c>
      <c r="R50" s="1037">
        <f t="shared" si="41"/>
        <v>2497.7896517025474</v>
      </c>
      <c r="S50" s="1037">
        <f t="shared" si="42"/>
        <v>1248.8948258512737</v>
      </c>
      <c r="T50" s="1029">
        <f>'[14]FY2012-13 Final'!D51</f>
        <v>3683</v>
      </c>
      <c r="U50" s="1031">
        <f t="shared" si="54"/>
        <v>3683</v>
      </c>
      <c r="V50" s="1355">
        <f>'[20]Oct midyear Intl_VIBE '!E50</f>
        <v>2</v>
      </c>
      <c r="W50" s="1349">
        <f t="shared" si="43"/>
        <v>7366</v>
      </c>
      <c r="X50" s="1474">
        <f>'[20]Feb midyear Intl_VIBE '!E50</f>
        <v>1</v>
      </c>
      <c r="Y50" s="1468">
        <f t="shared" si="44"/>
        <v>1841.5</v>
      </c>
      <c r="Z50" s="1468">
        <f t="shared" si="45"/>
        <v>9207.5</v>
      </c>
      <c r="AA50" s="1031">
        <f t="shared" si="46"/>
        <v>12890.5</v>
      </c>
      <c r="AB50" s="1090">
        <f t="shared" si="47"/>
        <v>-32.22625</v>
      </c>
      <c r="AC50" s="1031">
        <f t="shared" si="48"/>
        <v>12858.27375</v>
      </c>
      <c r="AD50" s="1031">
        <v>0</v>
      </c>
      <c r="AE50" s="1031">
        <f t="shared" si="49"/>
        <v>12858.27375</v>
      </c>
      <c r="AF50" s="1031">
        <f>346*2+1593+1593+1593+1593+1593+1593+632+632</f>
        <v>11514</v>
      </c>
      <c r="AG50" s="1031">
        <f t="shared" si="50"/>
        <v>1344.2737500000003</v>
      </c>
      <c r="AH50" s="1031">
        <f t="shared" si="51"/>
        <v>672.13687500000015</v>
      </c>
      <c r="AI50" s="1032">
        <f t="shared" si="55"/>
        <v>29568.063401702548</v>
      </c>
      <c r="AJ50" s="1032">
        <f t="shared" si="56"/>
        <v>1921.0317008512739</v>
      </c>
      <c r="AK50" s="49"/>
      <c r="AL50" s="49">
        <f t="shared" si="52"/>
        <v>-32.22625</v>
      </c>
      <c r="AM50" s="49">
        <f>-'[22]Table 5C1C-Intl_VIBE'!AL50</f>
        <v>32.024999999999999</v>
      </c>
      <c r="AN50" s="49">
        <f>-'[21]Table 5C1C-Intl_VIBE'!P50</f>
        <v>10.415000000000001</v>
      </c>
      <c r="AO50" s="49">
        <f t="shared" si="53"/>
        <v>-0.20125000000000171</v>
      </c>
      <c r="AP50" s="49"/>
    </row>
    <row r="51" spans="1:42">
      <c r="A51" s="979">
        <v>45</v>
      </c>
      <c r="B51" s="980" t="s">
        <v>146</v>
      </c>
      <c r="C51" s="1172">
        <f>'Table 8 2.1.12 MFP Funded'!V48</f>
        <v>2</v>
      </c>
      <c r="D51" s="986">
        <f>'Table 3 Levels 1&amp;2'!AL52</f>
        <v>2428.6757675555082</v>
      </c>
      <c r="E51" s="1075">
        <f t="shared" si="33"/>
        <v>4857.3515351110163</v>
      </c>
      <c r="F51" s="1075">
        <f>'Table 4 Level 3'!P50</f>
        <v>753.96000000000015</v>
      </c>
      <c r="G51" s="1075">
        <f t="shared" si="34"/>
        <v>1507.9200000000003</v>
      </c>
      <c r="H51" s="1038">
        <f t="shared" si="35"/>
        <v>6365.2715351110164</v>
      </c>
      <c r="I51" s="1418">
        <f>'[1]Oct midyear Intl_VIBE '!K51</f>
        <v>0</v>
      </c>
      <c r="J51" s="1418">
        <f>'[1]Feb midyear Intl_VIBE '!K51</f>
        <v>0</v>
      </c>
      <c r="K51" s="1418">
        <f t="shared" si="36"/>
        <v>0</v>
      </c>
      <c r="L51" s="1437">
        <f t="shared" si="37"/>
        <v>6365.2715351110164</v>
      </c>
      <c r="M51" s="1085">
        <f t="shared" si="38"/>
        <v>-15.913178837777542</v>
      </c>
      <c r="N51" s="1038">
        <f t="shared" si="39"/>
        <v>6349.3583562732392</v>
      </c>
      <c r="O51" s="1038">
        <v>0</v>
      </c>
      <c r="P51" s="1038">
        <f t="shared" si="40"/>
        <v>6349.3583562732392</v>
      </c>
      <c r="Q51" s="1038">
        <f>527-48-48-48-48-48-48-48+1533+1533</f>
        <v>3257</v>
      </c>
      <c r="R51" s="1038">
        <f t="shared" si="41"/>
        <v>3092.3583562732392</v>
      </c>
      <c r="S51" s="1038">
        <f t="shared" si="42"/>
        <v>1546.1791781366196</v>
      </c>
      <c r="T51" s="1034">
        <f>'[14]FY2012-13 Final'!D52</f>
        <v>11159</v>
      </c>
      <c r="U51" s="1035">
        <f t="shared" si="54"/>
        <v>22318</v>
      </c>
      <c r="V51" s="1356">
        <f>'[20]Oct midyear Intl_VIBE '!E51</f>
        <v>0</v>
      </c>
      <c r="W51" s="1350">
        <f t="shared" si="43"/>
        <v>0</v>
      </c>
      <c r="X51" s="1475">
        <f>'[20]Feb midyear Intl_VIBE '!E51</f>
        <v>0</v>
      </c>
      <c r="Y51" s="1469">
        <f t="shared" si="44"/>
        <v>0</v>
      </c>
      <c r="Z51" s="1469">
        <f t="shared" si="45"/>
        <v>0</v>
      </c>
      <c r="AA51" s="1035">
        <f t="shared" si="46"/>
        <v>22318</v>
      </c>
      <c r="AB51" s="1091">
        <f t="shared" si="47"/>
        <v>-55.795000000000002</v>
      </c>
      <c r="AC51" s="1035">
        <f t="shared" si="48"/>
        <v>22262.205000000002</v>
      </c>
      <c r="AD51" s="1035">
        <v>0</v>
      </c>
      <c r="AE51" s="1035">
        <f t="shared" si="49"/>
        <v>22262.205000000002</v>
      </c>
      <c r="AF51" s="1035">
        <f>1716-156-156-156-156-156-156-156+5401+5401</f>
        <v>11426</v>
      </c>
      <c r="AG51" s="1035">
        <f t="shared" si="50"/>
        <v>10836.205000000002</v>
      </c>
      <c r="AH51" s="1035">
        <f t="shared" si="51"/>
        <v>5418.1025000000009</v>
      </c>
      <c r="AI51" s="1036">
        <f t="shared" si="55"/>
        <v>28611.56335627324</v>
      </c>
      <c r="AJ51" s="1036">
        <f t="shared" si="56"/>
        <v>6964.28167813662</v>
      </c>
      <c r="AK51" s="49"/>
      <c r="AL51" s="49">
        <f t="shared" si="52"/>
        <v>-55.795000000000002</v>
      </c>
      <c r="AM51" s="49">
        <f>-'[22]Table 5C1C-Intl_VIBE'!AL51</f>
        <v>55.704999999999998</v>
      </c>
      <c r="AN51" s="49">
        <f>-'[21]Table 5C1C-Intl_VIBE'!P51</f>
        <v>51.620000000000005</v>
      </c>
      <c r="AO51" s="49">
        <f t="shared" si="53"/>
        <v>-9.0000000000003411E-2</v>
      </c>
      <c r="AP51" s="49"/>
    </row>
    <row r="52" spans="1:42">
      <c r="A52" s="968">
        <v>46</v>
      </c>
      <c r="B52" s="969" t="s">
        <v>147</v>
      </c>
      <c r="C52" s="1173">
        <f>'Table 8 2.1.12 MFP Funded'!V49</f>
        <v>0</v>
      </c>
      <c r="D52" s="988">
        <f>'Table 3 Levels 1&amp;2'!AL53</f>
        <v>5783.612845780598</v>
      </c>
      <c r="E52" s="1076">
        <f t="shared" si="33"/>
        <v>0</v>
      </c>
      <c r="F52" s="1076">
        <f>'Table 4 Level 3'!P51</f>
        <v>728.06</v>
      </c>
      <c r="G52" s="1076">
        <f t="shared" si="34"/>
        <v>0</v>
      </c>
      <c r="H52" s="1039">
        <f t="shared" si="35"/>
        <v>0</v>
      </c>
      <c r="I52" s="1419">
        <f>'[1]Oct midyear Intl_VIBE '!K52</f>
        <v>0</v>
      </c>
      <c r="J52" s="1419">
        <f>'[1]Feb midyear Intl_VIBE '!K52</f>
        <v>0</v>
      </c>
      <c r="K52" s="1419">
        <f t="shared" si="36"/>
        <v>0</v>
      </c>
      <c r="L52" s="1211">
        <f t="shared" si="37"/>
        <v>0</v>
      </c>
      <c r="M52" s="1086">
        <f t="shared" si="38"/>
        <v>0</v>
      </c>
      <c r="N52" s="1039">
        <f t="shared" si="39"/>
        <v>0</v>
      </c>
      <c r="O52" s="1039">
        <v>0</v>
      </c>
      <c r="P52" s="1039">
        <f t="shared" si="40"/>
        <v>0</v>
      </c>
      <c r="Q52" s="1039">
        <v>0</v>
      </c>
      <c r="R52" s="1039">
        <f t="shared" si="41"/>
        <v>0</v>
      </c>
      <c r="S52" s="1039">
        <f t="shared" si="42"/>
        <v>0</v>
      </c>
      <c r="T52" s="1029">
        <f>'[14]FY2012-13 Final'!D53</f>
        <v>1106</v>
      </c>
      <c r="U52" s="973">
        <f t="shared" si="54"/>
        <v>0</v>
      </c>
      <c r="V52" s="1354">
        <f>'[20]Oct midyear Intl_VIBE '!E52</f>
        <v>0</v>
      </c>
      <c r="W52" s="1348">
        <f t="shared" si="43"/>
        <v>0</v>
      </c>
      <c r="X52" s="1466">
        <f>'[20]Feb midyear Intl_VIBE '!E52</f>
        <v>0</v>
      </c>
      <c r="Y52" s="1348">
        <f t="shared" si="44"/>
        <v>0</v>
      </c>
      <c r="Z52" s="1348">
        <f t="shared" si="45"/>
        <v>0</v>
      </c>
      <c r="AA52" s="973">
        <f t="shared" si="46"/>
        <v>0</v>
      </c>
      <c r="AB52" s="1089">
        <f t="shared" si="47"/>
        <v>0</v>
      </c>
      <c r="AC52" s="973">
        <f t="shared" si="48"/>
        <v>0</v>
      </c>
      <c r="AD52" s="973">
        <v>0</v>
      </c>
      <c r="AE52" s="973">
        <f t="shared" si="49"/>
        <v>0</v>
      </c>
      <c r="AF52" s="973">
        <v>0</v>
      </c>
      <c r="AG52" s="973">
        <f t="shared" si="50"/>
        <v>0</v>
      </c>
      <c r="AH52" s="973">
        <f t="shared" si="51"/>
        <v>0</v>
      </c>
      <c r="AI52" s="974">
        <f t="shared" si="55"/>
        <v>0</v>
      </c>
      <c r="AJ52" s="974">
        <f t="shared" si="56"/>
        <v>0</v>
      </c>
      <c r="AK52" s="49"/>
      <c r="AL52" s="49">
        <f t="shared" si="52"/>
        <v>0</v>
      </c>
      <c r="AM52" s="49">
        <f>-'[22]Table 5C1C-Intl_VIBE'!AL52</f>
        <v>0</v>
      </c>
      <c r="AN52" s="49">
        <f>-'[21]Table 5C1C-Intl_VIBE'!P52</f>
        <v>0</v>
      </c>
      <c r="AO52" s="49">
        <f t="shared" si="53"/>
        <v>0</v>
      </c>
      <c r="AP52" s="49"/>
    </row>
    <row r="53" spans="1:42">
      <c r="A53" s="975">
        <v>47</v>
      </c>
      <c r="B53" s="976" t="s">
        <v>148</v>
      </c>
      <c r="C53" s="1171">
        <f>'Table 8 2.1.12 MFP Funded'!V50</f>
        <v>0</v>
      </c>
      <c r="D53" s="984">
        <f>'Table 3 Levels 1&amp;2'!AL54</f>
        <v>3209.8138023141523</v>
      </c>
      <c r="E53" s="1074">
        <f t="shared" si="33"/>
        <v>0</v>
      </c>
      <c r="F53" s="1074">
        <f>'Table 4 Level 3'!P52</f>
        <v>910.76</v>
      </c>
      <c r="G53" s="1074">
        <f t="shared" si="34"/>
        <v>0</v>
      </c>
      <c r="H53" s="1037">
        <f t="shared" si="35"/>
        <v>0</v>
      </c>
      <c r="I53" s="1417">
        <f>'[1]Oct midyear Intl_VIBE '!K53</f>
        <v>0</v>
      </c>
      <c r="J53" s="1417">
        <f>'[1]Feb midyear Intl_VIBE '!K53</f>
        <v>0</v>
      </c>
      <c r="K53" s="1417">
        <f t="shared" si="36"/>
        <v>0</v>
      </c>
      <c r="L53" s="1436">
        <f t="shared" si="37"/>
        <v>0</v>
      </c>
      <c r="M53" s="1084">
        <f t="shared" si="38"/>
        <v>0</v>
      </c>
      <c r="N53" s="1037">
        <f t="shared" si="39"/>
        <v>0</v>
      </c>
      <c r="O53" s="1037">
        <v>0</v>
      </c>
      <c r="P53" s="1037">
        <f t="shared" si="40"/>
        <v>0</v>
      </c>
      <c r="Q53" s="1037">
        <v>0</v>
      </c>
      <c r="R53" s="1037">
        <f t="shared" si="41"/>
        <v>0</v>
      </c>
      <c r="S53" s="1037">
        <f t="shared" si="42"/>
        <v>0</v>
      </c>
      <c r="T53" s="1029">
        <f>'[14]FY2012-13 Final'!D54</f>
        <v>8971</v>
      </c>
      <c r="U53" s="1031">
        <f t="shared" si="54"/>
        <v>0</v>
      </c>
      <c r="V53" s="1355">
        <f>'[20]Oct midyear Intl_VIBE '!E53</f>
        <v>0</v>
      </c>
      <c r="W53" s="1349">
        <f t="shared" si="43"/>
        <v>0</v>
      </c>
      <c r="X53" s="1474">
        <f>'[20]Feb midyear Intl_VIBE '!E53</f>
        <v>0</v>
      </c>
      <c r="Y53" s="1468">
        <f t="shared" si="44"/>
        <v>0</v>
      </c>
      <c r="Z53" s="1468">
        <f t="shared" si="45"/>
        <v>0</v>
      </c>
      <c r="AA53" s="1031">
        <f t="shared" si="46"/>
        <v>0</v>
      </c>
      <c r="AB53" s="1090">
        <f t="shared" si="47"/>
        <v>0</v>
      </c>
      <c r="AC53" s="1031">
        <f t="shared" si="48"/>
        <v>0</v>
      </c>
      <c r="AD53" s="1031">
        <v>0</v>
      </c>
      <c r="AE53" s="1031">
        <f t="shared" si="49"/>
        <v>0</v>
      </c>
      <c r="AF53" s="1031">
        <v>0</v>
      </c>
      <c r="AG53" s="1031">
        <f t="shared" si="50"/>
        <v>0</v>
      </c>
      <c r="AH53" s="1031">
        <f t="shared" si="51"/>
        <v>0</v>
      </c>
      <c r="AI53" s="1032">
        <f t="shared" si="55"/>
        <v>0</v>
      </c>
      <c r="AJ53" s="1032">
        <f t="shared" si="56"/>
        <v>0</v>
      </c>
      <c r="AK53" s="49"/>
      <c r="AL53" s="49">
        <f t="shared" si="52"/>
        <v>0</v>
      </c>
      <c r="AM53" s="49">
        <f>-'[22]Table 5C1C-Intl_VIBE'!AL53</f>
        <v>0</v>
      </c>
      <c r="AN53" s="49">
        <f>-'[21]Table 5C1C-Intl_VIBE'!P53</f>
        <v>0</v>
      </c>
      <c r="AO53" s="49">
        <f t="shared" si="53"/>
        <v>0</v>
      </c>
      <c r="AP53" s="49"/>
    </row>
    <row r="54" spans="1:42">
      <c r="A54" s="975">
        <v>48</v>
      </c>
      <c r="B54" s="976" t="s">
        <v>217</v>
      </c>
      <c r="C54" s="1171">
        <f>'Table 8 2.1.12 MFP Funded'!V51</f>
        <v>2</v>
      </c>
      <c r="D54" s="984">
        <f>'Table 3 Levels 1&amp;2'!AL55</f>
        <v>4278.1956772731837</v>
      </c>
      <c r="E54" s="1074">
        <f t="shared" si="33"/>
        <v>8556.3913545463674</v>
      </c>
      <c r="F54" s="1074">
        <f>'Table 4 Level 3'!P53</f>
        <v>871.07</v>
      </c>
      <c r="G54" s="1074">
        <f t="shared" si="34"/>
        <v>1742.14</v>
      </c>
      <c r="H54" s="1037">
        <f t="shared" si="35"/>
        <v>10298.531354546367</v>
      </c>
      <c r="I54" s="1417">
        <f>'[1]Oct midyear Intl_VIBE '!K54</f>
        <v>0</v>
      </c>
      <c r="J54" s="1417">
        <f>'[1]Feb midyear Intl_VIBE '!K54</f>
        <v>0</v>
      </c>
      <c r="K54" s="1417">
        <f t="shared" si="36"/>
        <v>0</v>
      </c>
      <c r="L54" s="1436">
        <f t="shared" si="37"/>
        <v>10298.531354546367</v>
      </c>
      <c r="M54" s="1084">
        <f t="shared" si="38"/>
        <v>-25.746328386365917</v>
      </c>
      <c r="N54" s="1037">
        <f t="shared" si="39"/>
        <v>10272.785026160002</v>
      </c>
      <c r="O54" s="1037">
        <v>0</v>
      </c>
      <c r="P54" s="1037">
        <f t="shared" si="40"/>
        <v>10272.785026160002</v>
      </c>
      <c r="Q54" s="1037">
        <f>853*2+1365+1365+1365+1365+1365+1365+85+85</f>
        <v>10066</v>
      </c>
      <c r="R54" s="1037">
        <f t="shared" si="41"/>
        <v>206.78502616000151</v>
      </c>
      <c r="S54" s="1037">
        <f t="shared" si="42"/>
        <v>103.39251308000075</v>
      </c>
      <c r="T54" s="1029">
        <f>'[14]FY2012-13 Final'!D55</f>
        <v>4737</v>
      </c>
      <c r="U54" s="1031">
        <f t="shared" si="54"/>
        <v>9474</v>
      </c>
      <c r="V54" s="1355">
        <f>'[20]Oct midyear Intl_VIBE '!E54</f>
        <v>0</v>
      </c>
      <c r="W54" s="1349">
        <f t="shared" si="43"/>
        <v>0</v>
      </c>
      <c r="X54" s="1474">
        <f>'[20]Feb midyear Intl_VIBE '!E54</f>
        <v>0</v>
      </c>
      <c r="Y54" s="1468">
        <f t="shared" si="44"/>
        <v>0</v>
      </c>
      <c r="Z54" s="1468">
        <f t="shared" si="45"/>
        <v>0</v>
      </c>
      <c r="AA54" s="1031">
        <f t="shared" si="46"/>
        <v>9474</v>
      </c>
      <c r="AB54" s="1090">
        <f t="shared" si="47"/>
        <v>-23.684999999999999</v>
      </c>
      <c r="AC54" s="1031">
        <f t="shared" si="48"/>
        <v>9450.3150000000005</v>
      </c>
      <c r="AD54" s="1031">
        <v>0</v>
      </c>
      <c r="AE54" s="1031">
        <f t="shared" si="49"/>
        <v>9450.3150000000005</v>
      </c>
      <c r="AF54" s="1031">
        <f>715*2+1144+1144+1144+1144+1144+1144+243+243</f>
        <v>8780</v>
      </c>
      <c r="AG54" s="1031">
        <f t="shared" si="50"/>
        <v>670.31500000000051</v>
      </c>
      <c r="AH54" s="1031">
        <f t="shared" si="51"/>
        <v>335.15750000000025</v>
      </c>
      <c r="AI54" s="1032">
        <f t="shared" si="55"/>
        <v>19723.100026160002</v>
      </c>
      <c r="AJ54" s="1032">
        <f t="shared" si="56"/>
        <v>438.55001308000101</v>
      </c>
      <c r="AK54" s="49"/>
      <c r="AL54" s="49">
        <f t="shared" si="52"/>
        <v>-23.684999999999999</v>
      </c>
      <c r="AM54" s="49">
        <f>-'[22]Table 5C1C-Intl_VIBE'!AL54</f>
        <v>23.225000000000001</v>
      </c>
      <c r="AN54" s="49">
        <f>-'[21]Table 5C1C-Intl_VIBE'!P54</f>
        <v>21.5</v>
      </c>
      <c r="AO54" s="49">
        <f t="shared" si="53"/>
        <v>-0.4599999999999973</v>
      </c>
      <c r="AP54" s="49"/>
    </row>
    <row r="55" spans="1:42">
      <c r="A55" s="975">
        <v>49</v>
      </c>
      <c r="B55" s="976" t="s">
        <v>149</v>
      </c>
      <c r="C55" s="1171">
        <f>'Table 8 2.1.12 MFP Funded'!V52</f>
        <v>0</v>
      </c>
      <c r="D55" s="984">
        <f>'Table 3 Levels 1&amp;2'!AL56</f>
        <v>4819.172186397177</v>
      </c>
      <c r="E55" s="1074">
        <f t="shared" si="33"/>
        <v>0</v>
      </c>
      <c r="F55" s="1074">
        <f>'Table 4 Level 3'!P54</f>
        <v>574.43999999999994</v>
      </c>
      <c r="G55" s="1074">
        <f t="shared" si="34"/>
        <v>0</v>
      </c>
      <c r="H55" s="1037">
        <f t="shared" si="35"/>
        <v>0</v>
      </c>
      <c r="I55" s="1417">
        <f>'[1]Oct midyear Intl_VIBE '!K55</f>
        <v>0</v>
      </c>
      <c r="J55" s="1417">
        <f>'[1]Feb midyear Intl_VIBE '!K55</f>
        <v>0</v>
      </c>
      <c r="K55" s="1417">
        <f t="shared" si="36"/>
        <v>0</v>
      </c>
      <c r="L55" s="1436">
        <f t="shared" si="37"/>
        <v>0</v>
      </c>
      <c r="M55" s="1084">
        <f t="shared" si="38"/>
        <v>0</v>
      </c>
      <c r="N55" s="1037">
        <f t="shared" si="39"/>
        <v>0</v>
      </c>
      <c r="O55" s="1037">
        <v>0</v>
      </c>
      <c r="P55" s="1037">
        <f t="shared" si="40"/>
        <v>0</v>
      </c>
      <c r="Q55" s="1037">
        <v>0</v>
      </c>
      <c r="R55" s="1037">
        <f t="shared" si="41"/>
        <v>0</v>
      </c>
      <c r="S55" s="1037">
        <f t="shared" si="42"/>
        <v>0</v>
      </c>
      <c r="T55" s="1029">
        <f>'[14]FY2012-13 Final'!D56</f>
        <v>2345</v>
      </c>
      <c r="U55" s="1031">
        <f t="shared" si="54"/>
        <v>0</v>
      </c>
      <c r="V55" s="1355">
        <f>'[20]Oct midyear Intl_VIBE '!E55</f>
        <v>0</v>
      </c>
      <c r="W55" s="1349">
        <f t="shared" si="43"/>
        <v>0</v>
      </c>
      <c r="X55" s="1474">
        <f>'[20]Feb midyear Intl_VIBE '!E55</f>
        <v>0</v>
      </c>
      <c r="Y55" s="1468">
        <f t="shared" si="44"/>
        <v>0</v>
      </c>
      <c r="Z55" s="1468">
        <f t="shared" si="45"/>
        <v>0</v>
      </c>
      <c r="AA55" s="1031">
        <f t="shared" si="46"/>
        <v>0</v>
      </c>
      <c r="AB55" s="1090">
        <f t="shared" si="47"/>
        <v>0</v>
      </c>
      <c r="AC55" s="1031">
        <f t="shared" si="48"/>
        <v>0</v>
      </c>
      <c r="AD55" s="1031">
        <v>0</v>
      </c>
      <c r="AE55" s="1031">
        <f t="shared" si="49"/>
        <v>0</v>
      </c>
      <c r="AF55" s="1031">
        <v>0</v>
      </c>
      <c r="AG55" s="1031">
        <f t="shared" si="50"/>
        <v>0</v>
      </c>
      <c r="AH55" s="1031">
        <f t="shared" si="51"/>
        <v>0</v>
      </c>
      <c r="AI55" s="1032">
        <f t="shared" si="55"/>
        <v>0</v>
      </c>
      <c r="AJ55" s="1032">
        <f t="shared" si="56"/>
        <v>0</v>
      </c>
      <c r="AK55" s="49"/>
      <c r="AL55" s="49">
        <f t="shared" si="52"/>
        <v>0</v>
      </c>
      <c r="AM55" s="49">
        <f>-'[22]Table 5C1C-Intl_VIBE'!AL55</f>
        <v>0</v>
      </c>
      <c r="AN55" s="49">
        <f>-'[21]Table 5C1C-Intl_VIBE'!P55</f>
        <v>0</v>
      </c>
      <c r="AO55" s="49">
        <f t="shared" si="53"/>
        <v>0</v>
      </c>
      <c r="AP55" s="49"/>
    </row>
    <row r="56" spans="1:42">
      <c r="A56" s="979">
        <v>50</v>
      </c>
      <c r="B56" s="980" t="s">
        <v>150</v>
      </c>
      <c r="C56" s="1172">
        <f>'Table 8 2.1.12 MFP Funded'!V53</f>
        <v>0</v>
      </c>
      <c r="D56" s="986">
        <f>'Table 3 Levels 1&amp;2'!AL57</f>
        <v>5078.3381494368732</v>
      </c>
      <c r="E56" s="1075">
        <f t="shared" si="33"/>
        <v>0</v>
      </c>
      <c r="F56" s="1075">
        <f>'Table 4 Level 3'!P55</f>
        <v>634.46</v>
      </c>
      <c r="G56" s="1075">
        <f t="shared" si="34"/>
        <v>0</v>
      </c>
      <c r="H56" s="1038">
        <f t="shared" si="35"/>
        <v>0</v>
      </c>
      <c r="I56" s="1418">
        <f>'[1]Oct midyear Intl_VIBE '!K56</f>
        <v>0</v>
      </c>
      <c r="J56" s="1418">
        <f>'[1]Feb midyear Intl_VIBE '!K56</f>
        <v>0</v>
      </c>
      <c r="K56" s="1418">
        <f t="shared" si="36"/>
        <v>0</v>
      </c>
      <c r="L56" s="1437">
        <f t="shared" si="37"/>
        <v>0</v>
      </c>
      <c r="M56" s="1085">
        <f t="shared" si="38"/>
        <v>0</v>
      </c>
      <c r="N56" s="1038">
        <f t="shared" si="39"/>
        <v>0</v>
      </c>
      <c r="O56" s="1038">
        <v>0</v>
      </c>
      <c r="P56" s="1038">
        <f t="shared" si="40"/>
        <v>0</v>
      </c>
      <c r="Q56" s="1038">
        <v>0</v>
      </c>
      <c r="R56" s="1038">
        <f t="shared" si="41"/>
        <v>0</v>
      </c>
      <c r="S56" s="1038">
        <f t="shared" si="42"/>
        <v>0</v>
      </c>
      <c r="T56" s="1034">
        <f>'[14]FY2012-13 Final'!D57</f>
        <v>2140</v>
      </c>
      <c r="U56" s="1035">
        <f t="shared" si="54"/>
        <v>0</v>
      </c>
      <c r="V56" s="1356">
        <f>'[20]Oct midyear Intl_VIBE '!E56</f>
        <v>0</v>
      </c>
      <c r="W56" s="1350">
        <f t="shared" si="43"/>
        <v>0</v>
      </c>
      <c r="X56" s="1475">
        <f>'[20]Feb midyear Intl_VIBE '!E56</f>
        <v>0</v>
      </c>
      <c r="Y56" s="1469">
        <f t="shared" si="44"/>
        <v>0</v>
      </c>
      <c r="Z56" s="1469">
        <f t="shared" si="45"/>
        <v>0</v>
      </c>
      <c r="AA56" s="1035">
        <f t="shared" si="46"/>
        <v>0</v>
      </c>
      <c r="AB56" s="1091">
        <f t="shared" si="47"/>
        <v>0</v>
      </c>
      <c r="AC56" s="1035">
        <f t="shared" si="48"/>
        <v>0</v>
      </c>
      <c r="AD56" s="1035">
        <v>0</v>
      </c>
      <c r="AE56" s="1035">
        <f t="shared" si="49"/>
        <v>0</v>
      </c>
      <c r="AF56" s="1035">
        <v>0</v>
      </c>
      <c r="AG56" s="1035">
        <f t="shared" si="50"/>
        <v>0</v>
      </c>
      <c r="AH56" s="1035">
        <f t="shared" si="51"/>
        <v>0</v>
      </c>
      <c r="AI56" s="1036">
        <f t="shared" si="55"/>
        <v>0</v>
      </c>
      <c r="AJ56" s="1036">
        <f t="shared" si="56"/>
        <v>0</v>
      </c>
      <c r="AK56" s="49"/>
      <c r="AL56" s="49">
        <f t="shared" si="52"/>
        <v>0</v>
      </c>
      <c r="AM56" s="49">
        <f>-'[22]Table 5C1C-Intl_VIBE'!AL56</f>
        <v>0</v>
      </c>
      <c r="AN56" s="49">
        <f>-'[21]Table 5C1C-Intl_VIBE'!P56</f>
        <v>0</v>
      </c>
      <c r="AO56" s="49">
        <f t="shared" si="53"/>
        <v>0</v>
      </c>
      <c r="AP56" s="49"/>
    </row>
    <row r="57" spans="1:42">
      <c r="A57" s="968">
        <v>51</v>
      </c>
      <c r="B57" s="969" t="s">
        <v>151</v>
      </c>
      <c r="C57" s="1173">
        <f>'Table 8 2.1.12 MFP Funded'!V54</f>
        <v>0</v>
      </c>
      <c r="D57" s="988">
        <f>'Table 3 Levels 1&amp;2'!AL58</f>
        <v>4327.8748353683095</v>
      </c>
      <c r="E57" s="1076">
        <f t="shared" si="33"/>
        <v>0</v>
      </c>
      <c r="F57" s="1076">
        <f>'Table 4 Level 3'!P56</f>
        <v>706.66</v>
      </c>
      <c r="G57" s="1076">
        <f t="shared" si="34"/>
        <v>0</v>
      </c>
      <c r="H57" s="1039">
        <f t="shared" si="35"/>
        <v>0</v>
      </c>
      <c r="I57" s="1419">
        <f>'[1]Oct midyear Intl_VIBE '!K57</f>
        <v>0</v>
      </c>
      <c r="J57" s="1419">
        <f>'[1]Feb midyear Intl_VIBE '!K57</f>
        <v>0</v>
      </c>
      <c r="K57" s="1419">
        <f t="shared" si="36"/>
        <v>0</v>
      </c>
      <c r="L57" s="1211">
        <f t="shared" si="37"/>
        <v>0</v>
      </c>
      <c r="M57" s="1086">
        <f t="shared" si="38"/>
        <v>0</v>
      </c>
      <c r="N57" s="1039">
        <f t="shared" si="39"/>
        <v>0</v>
      </c>
      <c r="O57" s="1039">
        <v>0</v>
      </c>
      <c r="P57" s="1039">
        <f t="shared" si="40"/>
        <v>0</v>
      </c>
      <c r="Q57" s="1039">
        <v>0</v>
      </c>
      <c r="R57" s="1039">
        <f t="shared" si="41"/>
        <v>0</v>
      </c>
      <c r="S57" s="1039">
        <f t="shared" si="42"/>
        <v>0</v>
      </c>
      <c r="T57" s="1029">
        <f>'[14]FY2012-13 Final'!D58</f>
        <v>3982</v>
      </c>
      <c r="U57" s="973">
        <f t="shared" si="54"/>
        <v>0</v>
      </c>
      <c r="V57" s="1354">
        <f>'[20]Oct midyear Intl_VIBE '!E57</f>
        <v>0</v>
      </c>
      <c r="W57" s="1348">
        <f t="shared" si="43"/>
        <v>0</v>
      </c>
      <c r="X57" s="1466">
        <f>'[20]Feb midyear Intl_VIBE '!E57</f>
        <v>0</v>
      </c>
      <c r="Y57" s="1348">
        <f t="shared" si="44"/>
        <v>0</v>
      </c>
      <c r="Z57" s="1348">
        <f t="shared" si="45"/>
        <v>0</v>
      </c>
      <c r="AA57" s="973">
        <f t="shared" si="46"/>
        <v>0</v>
      </c>
      <c r="AB57" s="1089">
        <f t="shared" si="47"/>
        <v>0</v>
      </c>
      <c r="AC57" s="973">
        <f t="shared" si="48"/>
        <v>0</v>
      </c>
      <c r="AD57" s="973">
        <v>0</v>
      </c>
      <c r="AE57" s="973">
        <f t="shared" si="49"/>
        <v>0</v>
      </c>
      <c r="AF57" s="973">
        <v>0</v>
      </c>
      <c r="AG57" s="973">
        <f t="shared" si="50"/>
        <v>0</v>
      </c>
      <c r="AH57" s="973">
        <f t="shared" si="51"/>
        <v>0</v>
      </c>
      <c r="AI57" s="974">
        <f t="shared" si="55"/>
        <v>0</v>
      </c>
      <c r="AJ57" s="974">
        <f t="shared" si="56"/>
        <v>0</v>
      </c>
      <c r="AK57" s="49"/>
      <c r="AL57" s="49">
        <f t="shared" si="52"/>
        <v>0</v>
      </c>
      <c r="AM57" s="49">
        <f>-'[22]Table 5C1C-Intl_VIBE'!AL57</f>
        <v>0</v>
      </c>
      <c r="AN57" s="49">
        <f>-'[21]Table 5C1C-Intl_VIBE'!P57</f>
        <v>0</v>
      </c>
      <c r="AO57" s="49">
        <f t="shared" si="53"/>
        <v>0</v>
      </c>
      <c r="AP57" s="49"/>
    </row>
    <row r="58" spans="1:42">
      <c r="A58" s="975">
        <v>52</v>
      </c>
      <c r="B58" s="976" t="s">
        <v>152</v>
      </c>
      <c r="C58" s="1171">
        <f>'Table 8 2.1.12 MFP Funded'!V55</f>
        <v>1</v>
      </c>
      <c r="D58" s="984">
        <f>'Table 3 Levels 1&amp;2'!AL59</f>
        <v>4936.6461759855838</v>
      </c>
      <c r="E58" s="1074">
        <f t="shared" si="33"/>
        <v>4936.6461759855838</v>
      </c>
      <c r="F58" s="1074">
        <f>'Table 4 Level 3'!P57</f>
        <v>658.37</v>
      </c>
      <c r="G58" s="1074">
        <f t="shared" si="34"/>
        <v>658.37</v>
      </c>
      <c r="H58" s="1037">
        <f t="shared" si="35"/>
        <v>5595.0161759855837</v>
      </c>
      <c r="I58" s="1417">
        <f>'[1]Oct midyear Intl_VIBE '!K58</f>
        <v>11190.032351971167</v>
      </c>
      <c r="J58" s="1417">
        <f>'[1]Feb midyear Intl_VIBE '!K58</f>
        <v>0</v>
      </c>
      <c r="K58" s="1417">
        <f t="shared" si="36"/>
        <v>11190.032351971167</v>
      </c>
      <c r="L58" s="1436">
        <f t="shared" si="37"/>
        <v>16785.048527956751</v>
      </c>
      <c r="M58" s="1084">
        <f t="shared" si="38"/>
        <v>-41.96262131989188</v>
      </c>
      <c r="N58" s="1037">
        <f t="shared" si="39"/>
        <v>16743.085906636858</v>
      </c>
      <c r="O58" s="1037">
        <v>0</v>
      </c>
      <c r="P58" s="1037">
        <f t="shared" si="40"/>
        <v>16743.085906636858</v>
      </c>
      <c r="Q58" s="1037">
        <f>464+970+413+413+413+413+413+413+3195+3195</f>
        <v>10302</v>
      </c>
      <c r="R58" s="1037">
        <f t="shared" si="41"/>
        <v>6441.0859066368575</v>
      </c>
      <c r="S58" s="1037">
        <f t="shared" si="42"/>
        <v>3220.5429533184288</v>
      </c>
      <c r="T58" s="1029">
        <f>'[14]FY2012-13 Final'!D59</f>
        <v>4050</v>
      </c>
      <c r="U58" s="1031">
        <f t="shared" si="54"/>
        <v>4050</v>
      </c>
      <c r="V58" s="1355">
        <f>'[20]Oct midyear Intl_VIBE '!E58</f>
        <v>2</v>
      </c>
      <c r="W58" s="1349">
        <f t="shared" si="43"/>
        <v>8100</v>
      </c>
      <c r="X58" s="1474">
        <f>'[20]Feb midyear Intl_VIBE '!E58</f>
        <v>0</v>
      </c>
      <c r="Y58" s="1468">
        <f t="shared" si="44"/>
        <v>0</v>
      </c>
      <c r="Z58" s="1468">
        <f t="shared" si="45"/>
        <v>8100</v>
      </c>
      <c r="AA58" s="1031">
        <f t="shared" si="46"/>
        <v>12150</v>
      </c>
      <c r="AB58" s="1090">
        <f t="shared" si="47"/>
        <v>-30.375</v>
      </c>
      <c r="AC58" s="1031">
        <f t="shared" si="48"/>
        <v>12119.625</v>
      </c>
      <c r="AD58" s="1031">
        <v>0</v>
      </c>
      <c r="AE58" s="1031">
        <f t="shared" si="49"/>
        <v>12119.625</v>
      </c>
      <c r="AF58" s="1031">
        <f>327+683+291+291+291+291+291+291+2334+2334</f>
        <v>7424</v>
      </c>
      <c r="AG58" s="1031">
        <f t="shared" si="50"/>
        <v>4695.625</v>
      </c>
      <c r="AH58" s="1031">
        <f t="shared" si="51"/>
        <v>2347.8125</v>
      </c>
      <c r="AI58" s="1032">
        <f t="shared" si="55"/>
        <v>28862.710906636858</v>
      </c>
      <c r="AJ58" s="1032">
        <f t="shared" si="56"/>
        <v>5568.3554533184288</v>
      </c>
      <c r="AK58" s="49"/>
      <c r="AL58" s="49">
        <f t="shared" si="52"/>
        <v>-30.375</v>
      </c>
      <c r="AM58" s="49">
        <f>-'[22]Table 5C1C-Intl_VIBE'!AL58</f>
        <v>30.307500000000001</v>
      </c>
      <c r="AN58" s="49">
        <f>-'[21]Table 5C1C-Intl_VIBE'!P58</f>
        <v>9.8250000000000011</v>
      </c>
      <c r="AO58" s="49">
        <f t="shared" si="53"/>
        <v>-6.7499999999999005E-2</v>
      </c>
      <c r="AP58" s="49"/>
    </row>
    <row r="59" spans="1:42">
      <c r="A59" s="975">
        <v>53</v>
      </c>
      <c r="B59" s="976" t="s">
        <v>153</v>
      </c>
      <c r="C59" s="1171">
        <f>'Table 8 2.1.12 MFP Funded'!V56</f>
        <v>0</v>
      </c>
      <c r="D59" s="984">
        <f>'Table 3 Levels 1&amp;2'!AL60</f>
        <v>4800.3207499962118</v>
      </c>
      <c r="E59" s="1074">
        <f t="shared" si="33"/>
        <v>0</v>
      </c>
      <c r="F59" s="1074">
        <f>'Table 4 Level 3'!P58</f>
        <v>689.74</v>
      </c>
      <c r="G59" s="1074">
        <f t="shared" si="34"/>
        <v>0</v>
      </c>
      <c r="H59" s="1037">
        <f t="shared" si="35"/>
        <v>0</v>
      </c>
      <c r="I59" s="1417">
        <f>'[1]Oct midyear Intl_VIBE '!K59</f>
        <v>0</v>
      </c>
      <c r="J59" s="1417">
        <f>'[1]Feb midyear Intl_VIBE '!K59</f>
        <v>0</v>
      </c>
      <c r="K59" s="1417">
        <f t="shared" si="36"/>
        <v>0</v>
      </c>
      <c r="L59" s="1436">
        <f t="shared" si="37"/>
        <v>0</v>
      </c>
      <c r="M59" s="1084">
        <f t="shared" si="38"/>
        <v>0</v>
      </c>
      <c r="N59" s="1037">
        <f t="shared" si="39"/>
        <v>0</v>
      </c>
      <c r="O59" s="1037">
        <v>0</v>
      </c>
      <c r="P59" s="1037">
        <f t="shared" si="40"/>
        <v>0</v>
      </c>
      <c r="Q59" s="1037">
        <v>0</v>
      </c>
      <c r="R59" s="1037">
        <f t="shared" si="41"/>
        <v>0</v>
      </c>
      <c r="S59" s="1037">
        <f t="shared" si="42"/>
        <v>0</v>
      </c>
      <c r="T59" s="1029">
        <f>'[14]FY2012-13 Final'!D60</f>
        <v>1428</v>
      </c>
      <c r="U59" s="1031">
        <f t="shared" si="54"/>
        <v>0</v>
      </c>
      <c r="V59" s="1355">
        <f>'[20]Oct midyear Intl_VIBE '!E59</f>
        <v>0</v>
      </c>
      <c r="W59" s="1349">
        <f t="shared" si="43"/>
        <v>0</v>
      </c>
      <c r="X59" s="1474">
        <f>'[20]Feb midyear Intl_VIBE '!E59</f>
        <v>0</v>
      </c>
      <c r="Y59" s="1468">
        <f t="shared" si="44"/>
        <v>0</v>
      </c>
      <c r="Z59" s="1468">
        <f t="shared" si="45"/>
        <v>0</v>
      </c>
      <c r="AA59" s="1031">
        <f t="shared" si="46"/>
        <v>0</v>
      </c>
      <c r="AB59" s="1090">
        <f t="shared" si="47"/>
        <v>0</v>
      </c>
      <c r="AC59" s="1031">
        <f t="shared" si="48"/>
        <v>0</v>
      </c>
      <c r="AD59" s="1031">
        <v>0</v>
      </c>
      <c r="AE59" s="1031">
        <f t="shared" si="49"/>
        <v>0</v>
      </c>
      <c r="AF59" s="1031">
        <v>0</v>
      </c>
      <c r="AG59" s="1031">
        <f t="shared" si="50"/>
        <v>0</v>
      </c>
      <c r="AH59" s="1031">
        <f t="shared" si="51"/>
        <v>0</v>
      </c>
      <c r="AI59" s="1032">
        <f t="shared" si="55"/>
        <v>0</v>
      </c>
      <c r="AJ59" s="1032">
        <f t="shared" si="56"/>
        <v>0</v>
      </c>
      <c r="AK59" s="49"/>
      <c r="AL59" s="49">
        <f t="shared" si="52"/>
        <v>0</v>
      </c>
      <c r="AM59" s="49">
        <f>-'[22]Table 5C1C-Intl_VIBE'!AL59</f>
        <v>0</v>
      </c>
      <c r="AN59" s="49">
        <f>-'[21]Table 5C1C-Intl_VIBE'!P59</f>
        <v>0</v>
      </c>
      <c r="AO59" s="49">
        <f t="shared" si="53"/>
        <v>0</v>
      </c>
      <c r="AP59" s="49"/>
    </row>
    <row r="60" spans="1:42">
      <c r="A60" s="975">
        <v>54</v>
      </c>
      <c r="B60" s="976" t="s">
        <v>154</v>
      </c>
      <c r="C60" s="1171">
        <f>'Table 8 2.1.12 MFP Funded'!V57</f>
        <v>0</v>
      </c>
      <c r="D60" s="984">
        <f>'Table 3 Levels 1&amp;2'!AL61</f>
        <v>6010.7753360515026</v>
      </c>
      <c r="E60" s="1074">
        <f t="shared" si="33"/>
        <v>0</v>
      </c>
      <c r="F60" s="1074">
        <f>'Table 4 Level 3'!P59</f>
        <v>951.45</v>
      </c>
      <c r="G60" s="1074">
        <f t="shared" si="34"/>
        <v>0</v>
      </c>
      <c r="H60" s="1037">
        <f t="shared" si="35"/>
        <v>0</v>
      </c>
      <c r="I60" s="1417">
        <f>'[1]Oct midyear Intl_VIBE '!K60</f>
        <v>0</v>
      </c>
      <c r="J60" s="1417">
        <f>'[1]Feb midyear Intl_VIBE '!K60</f>
        <v>0</v>
      </c>
      <c r="K60" s="1417">
        <f t="shared" si="36"/>
        <v>0</v>
      </c>
      <c r="L60" s="1436">
        <f t="shared" si="37"/>
        <v>0</v>
      </c>
      <c r="M60" s="1084">
        <f t="shared" si="38"/>
        <v>0</v>
      </c>
      <c r="N60" s="1037">
        <f t="shared" si="39"/>
        <v>0</v>
      </c>
      <c r="O60" s="1037">
        <v>0</v>
      </c>
      <c r="P60" s="1037">
        <f t="shared" si="40"/>
        <v>0</v>
      </c>
      <c r="Q60" s="1037">
        <v>0</v>
      </c>
      <c r="R60" s="1037">
        <f t="shared" si="41"/>
        <v>0</v>
      </c>
      <c r="S60" s="1037">
        <f t="shared" si="42"/>
        <v>0</v>
      </c>
      <c r="T60" s="1029">
        <f>'[14]FY2012-13 Final'!D61</f>
        <v>3397</v>
      </c>
      <c r="U60" s="1031">
        <f t="shared" si="54"/>
        <v>0</v>
      </c>
      <c r="V60" s="1355">
        <f>'[20]Oct midyear Intl_VIBE '!E60</f>
        <v>0</v>
      </c>
      <c r="W60" s="1349">
        <f t="shared" si="43"/>
        <v>0</v>
      </c>
      <c r="X60" s="1474">
        <f>'[20]Feb midyear Intl_VIBE '!E60</f>
        <v>0</v>
      </c>
      <c r="Y60" s="1468">
        <f t="shared" si="44"/>
        <v>0</v>
      </c>
      <c r="Z60" s="1468">
        <f t="shared" si="45"/>
        <v>0</v>
      </c>
      <c r="AA60" s="1031">
        <f t="shared" si="46"/>
        <v>0</v>
      </c>
      <c r="AB60" s="1090">
        <f t="shared" si="47"/>
        <v>0</v>
      </c>
      <c r="AC60" s="1031">
        <f t="shared" si="48"/>
        <v>0</v>
      </c>
      <c r="AD60" s="1031">
        <v>0</v>
      </c>
      <c r="AE60" s="1031">
        <f t="shared" si="49"/>
        <v>0</v>
      </c>
      <c r="AF60" s="1031">
        <v>0</v>
      </c>
      <c r="AG60" s="1031">
        <f t="shared" si="50"/>
        <v>0</v>
      </c>
      <c r="AH60" s="1031">
        <f t="shared" si="51"/>
        <v>0</v>
      </c>
      <c r="AI60" s="1032">
        <f t="shared" si="55"/>
        <v>0</v>
      </c>
      <c r="AJ60" s="1032">
        <f t="shared" si="56"/>
        <v>0</v>
      </c>
      <c r="AK60" s="49"/>
      <c r="AL60" s="49">
        <f t="shared" si="52"/>
        <v>0</v>
      </c>
      <c r="AM60" s="49">
        <f>-'[22]Table 5C1C-Intl_VIBE'!AL60</f>
        <v>0</v>
      </c>
      <c r="AN60" s="49">
        <f>-'[21]Table 5C1C-Intl_VIBE'!P60</f>
        <v>0</v>
      </c>
      <c r="AO60" s="49">
        <f t="shared" si="53"/>
        <v>0</v>
      </c>
      <c r="AP60" s="49"/>
    </row>
    <row r="61" spans="1:42">
      <c r="A61" s="979">
        <v>55</v>
      </c>
      <c r="B61" s="980" t="s">
        <v>155</v>
      </c>
      <c r="C61" s="1172">
        <f>'Table 8 2.1.12 MFP Funded'!V58</f>
        <v>0</v>
      </c>
      <c r="D61" s="986">
        <f>'Table 3 Levels 1&amp;2'!AL62</f>
        <v>4103.7453851303217</v>
      </c>
      <c r="E61" s="1075">
        <f t="shared" si="33"/>
        <v>0</v>
      </c>
      <c r="F61" s="1075">
        <f>'Table 4 Level 3'!P60</f>
        <v>795.14</v>
      </c>
      <c r="G61" s="1075">
        <f t="shared" si="34"/>
        <v>0</v>
      </c>
      <c r="H61" s="1038">
        <f t="shared" si="35"/>
        <v>0</v>
      </c>
      <c r="I61" s="1418">
        <f>'[1]Oct midyear Intl_VIBE '!K61</f>
        <v>0</v>
      </c>
      <c r="J61" s="1418">
        <f>'[1]Feb midyear Intl_VIBE '!K61</f>
        <v>0</v>
      </c>
      <c r="K61" s="1418">
        <f t="shared" si="36"/>
        <v>0</v>
      </c>
      <c r="L61" s="1437">
        <f t="shared" si="37"/>
        <v>0</v>
      </c>
      <c r="M61" s="1085">
        <f t="shared" si="38"/>
        <v>0</v>
      </c>
      <c r="N61" s="1038">
        <f t="shared" si="39"/>
        <v>0</v>
      </c>
      <c r="O61" s="1038">
        <v>0</v>
      </c>
      <c r="P61" s="1038">
        <f t="shared" si="40"/>
        <v>0</v>
      </c>
      <c r="Q61" s="1038">
        <v>0</v>
      </c>
      <c r="R61" s="1038">
        <f t="shared" si="41"/>
        <v>0</v>
      </c>
      <c r="S61" s="1038">
        <f t="shared" si="42"/>
        <v>0</v>
      </c>
      <c r="T61" s="1034">
        <f>'[14]FY2012-13 Final'!D62</f>
        <v>3139</v>
      </c>
      <c r="U61" s="1035">
        <f t="shared" si="54"/>
        <v>0</v>
      </c>
      <c r="V61" s="1356">
        <f>'[20]Oct midyear Intl_VIBE '!E61</f>
        <v>0</v>
      </c>
      <c r="W61" s="1350">
        <f t="shared" si="43"/>
        <v>0</v>
      </c>
      <c r="X61" s="1475">
        <f>'[20]Feb midyear Intl_VIBE '!E61</f>
        <v>0</v>
      </c>
      <c r="Y61" s="1469">
        <f t="shared" si="44"/>
        <v>0</v>
      </c>
      <c r="Z61" s="1469">
        <f t="shared" si="45"/>
        <v>0</v>
      </c>
      <c r="AA61" s="1035">
        <f t="shared" si="46"/>
        <v>0</v>
      </c>
      <c r="AB61" s="1091">
        <f t="shared" si="47"/>
        <v>0</v>
      </c>
      <c r="AC61" s="1035">
        <f t="shared" si="48"/>
        <v>0</v>
      </c>
      <c r="AD61" s="1035">
        <v>0</v>
      </c>
      <c r="AE61" s="1035">
        <f t="shared" si="49"/>
        <v>0</v>
      </c>
      <c r="AF61" s="1035">
        <v>0</v>
      </c>
      <c r="AG61" s="1035">
        <f t="shared" si="50"/>
        <v>0</v>
      </c>
      <c r="AH61" s="1035">
        <f t="shared" si="51"/>
        <v>0</v>
      </c>
      <c r="AI61" s="1036">
        <f t="shared" si="55"/>
        <v>0</v>
      </c>
      <c r="AJ61" s="1036">
        <f t="shared" si="56"/>
        <v>0</v>
      </c>
      <c r="AK61" s="49"/>
      <c r="AL61" s="49">
        <f t="shared" si="52"/>
        <v>0</v>
      </c>
      <c r="AM61" s="49">
        <f>-'[22]Table 5C1C-Intl_VIBE'!AL61</f>
        <v>0</v>
      </c>
      <c r="AN61" s="49">
        <f>-'[21]Table 5C1C-Intl_VIBE'!P61</f>
        <v>0</v>
      </c>
      <c r="AO61" s="49">
        <f t="shared" si="53"/>
        <v>0</v>
      </c>
      <c r="AP61" s="49"/>
    </row>
    <row r="62" spans="1:42">
      <c r="A62" s="968">
        <v>56</v>
      </c>
      <c r="B62" s="969" t="s">
        <v>156</v>
      </c>
      <c r="C62" s="1173">
        <f>'Table 8 2.1.12 MFP Funded'!V59</f>
        <v>0</v>
      </c>
      <c r="D62" s="988">
        <f>'Table 3 Levels 1&amp;2'!AL63</f>
        <v>5076.2407002640311</v>
      </c>
      <c r="E62" s="1076">
        <f t="shared" si="33"/>
        <v>0</v>
      </c>
      <c r="F62" s="1076">
        <f>'Table 4 Level 3'!P61</f>
        <v>614.66000000000008</v>
      </c>
      <c r="G62" s="1076">
        <f t="shared" si="34"/>
        <v>0</v>
      </c>
      <c r="H62" s="1039">
        <f t="shared" si="35"/>
        <v>0</v>
      </c>
      <c r="I62" s="1419">
        <f>'[1]Oct midyear Intl_VIBE '!K62</f>
        <v>0</v>
      </c>
      <c r="J62" s="1419">
        <f>'[1]Feb midyear Intl_VIBE '!K62</f>
        <v>0</v>
      </c>
      <c r="K62" s="1419">
        <f t="shared" si="36"/>
        <v>0</v>
      </c>
      <c r="L62" s="1211">
        <f t="shared" si="37"/>
        <v>0</v>
      </c>
      <c r="M62" s="1086">
        <f t="shared" si="38"/>
        <v>0</v>
      </c>
      <c r="N62" s="1039">
        <f t="shared" si="39"/>
        <v>0</v>
      </c>
      <c r="O62" s="1039">
        <v>0</v>
      </c>
      <c r="P62" s="1039">
        <f t="shared" si="40"/>
        <v>0</v>
      </c>
      <c r="Q62" s="1039">
        <v>0</v>
      </c>
      <c r="R62" s="1039">
        <f t="shared" si="41"/>
        <v>0</v>
      </c>
      <c r="S62" s="1039">
        <f t="shared" si="42"/>
        <v>0</v>
      </c>
      <c r="T62" s="1029">
        <f>'[14]FY2012-13 Final'!D63</f>
        <v>2781</v>
      </c>
      <c r="U62" s="973">
        <f t="shared" si="54"/>
        <v>0</v>
      </c>
      <c r="V62" s="1354">
        <f>'[20]Oct midyear Intl_VIBE '!E62</f>
        <v>0</v>
      </c>
      <c r="W62" s="1348">
        <f t="shared" si="43"/>
        <v>0</v>
      </c>
      <c r="X62" s="1466">
        <f>'[20]Feb midyear Intl_VIBE '!E62</f>
        <v>0</v>
      </c>
      <c r="Y62" s="1348">
        <f t="shared" si="44"/>
        <v>0</v>
      </c>
      <c r="Z62" s="1348">
        <f t="shared" si="45"/>
        <v>0</v>
      </c>
      <c r="AA62" s="973">
        <f t="shared" si="46"/>
        <v>0</v>
      </c>
      <c r="AB62" s="1089">
        <f t="shared" si="47"/>
        <v>0</v>
      </c>
      <c r="AC62" s="973">
        <f t="shared" si="48"/>
        <v>0</v>
      </c>
      <c r="AD62" s="973">
        <v>0</v>
      </c>
      <c r="AE62" s="973">
        <f t="shared" si="49"/>
        <v>0</v>
      </c>
      <c r="AF62" s="973">
        <v>0</v>
      </c>
      <c r="AG62" s="973">
        <f t="shared" si="50"/>
        <v>0</v>
      </c>
      <c r="AH62" s="973">
        <f t="shared" si="51"/>
        <v>0</v>
      </c>
      <c r="AI62" s="974">
        <f t="shared" si="55"/>
        <v>0</v>
      </c>
      <c r="AJ62" s="974">
        <f t="shared" si="56"/>
        <v>0</v>
      </c>
      <c r="AK62" s="49"/>
      <c r="AL62" s="49">
        <f t="shared" si="52"/>
        <v>0</v>
      </c>
      <c r="AM62" s="49">
        <f>-'[22]Table 5C1C-Intl_VIBE'!AL62</f>
        <v>0</v>
      </c>
      <c r="AN62" s="49">
        <f>-'[21]Table 5C1C-Intl_VIBE'!P62</f>
        <v>0</v>
      </c>
      <c r="AO62" s="49">
        <f t="shared" si="53"/>
        <v>0</v>
      </c>
      <c r="AP62" s="49"/>
    </row>
    <row r="63" spans="1:42">
      <c r="A63" s="975">
        <v>57</v>
      </c>
      <c r="B63" s="976" t="s">
        <v>157</v>
      </c>
      <c r="C63" s="1171">
        <f>'Table 8 2.1.12 MFP Funded'!V60</f>
        <v>0</v>
      </c>
      <c r="D63" s="984">
        <f>'Table 3 Levels 1&amp;2'!AL64</f>
        <v>4409.0708210621269</v>
      </c>
      <c r="E63" s="1074">
        <f t="shared" si="33"/>
        <v>0</v>
      </c>
      <c r="F63" s="1074">
        <f>'Table 4 Level 3'!P62</f>
        <v>764.51</v>
      </c>
      <c r="G63" s="1074">
        <f t="shared" si="34"/>
        <v>0</v>
      </c>
      <c r="H63" s="1037">
        <f t="shared" si="35"/>
        <v>0</v>
      </c>
      <c r="I63" s="1417">
        <f>'[1]Oct midyear Intl_VIBE '!K63</f>
        <v>0</v>
      </c>
      <c r="J63" s="1417">
        <f>'[1]Feb midyear Intl_VIBE '!K63</f>
        <v>0</v>
      </c>
      <c r="K63" s="1417">
        <f t="shared" si="36"/>
        <v>0</v>
      </c>
      <c r="L63" s="1436">
        <f t="shared" si="37"/>
        <v>0</v>
      </c>
      <c r="M63" s="1084">
        <f t="shared" si="38"/>
        <v>0</v>
      </c>
      <c r="N63" s="1037">
        <f t="shared" si="39"/>
        <v>0</v>
      </c>
      <c r="O63" s="1037">
        <v>0</v>
      </c>
      <c r="P63" s="1037">
        <f t="shared" si="40"/>
        <v>0</v>
      </c>
      <c r="Q63" s="1037">
        <v>0</v>
      </c>
      <c r="R63" s="1037">
        <f t="shared" si="41"/>
        <v>0</v>
      </c>
      <c r="S63" s="1037">
        <f t="shared" si="42"/>
        <v>0</v>
      </c>
      <c r="T63" s="1029">
        <f>'[14]FY2012-13 Final'!D64</f>
        <v>2991</v>
      </c>
      <c r="U63" s="1031">
        <f t="shared" si="54"/>
        <v>0</v>
      </c>
      <c r="V63" s="1355">
        <f>'[20]Oct midyear Intl_VIBE '!E63</f>
        <v>0</v>
      </c>
      <c r="W63" s="1349">
        <f t="shared" si="43"/>
        <v>0</v>
      </c>
      <c r="X63" s="1474">
        <f>'[20]Feb midyear Intl_VIBE '!E63</f>
        <v>0</v>
      </c>
      <c r="Y63" s="1468">
        <f t="shared" si="44"/>
        <v>0</v>
      </c>
      <c r="Z63" s="1468">
        <f t="shared" si="45"/>
        <v>0</v>
      </c>
      <c r="AA63" s="1031">
        <f t="shared" si="46"/>
        <v>0</v>
      </c>
      <c r="AB63" s="1090">
        <f t="shared" si="47"/>
        <v>0</v>
      </c>
      <c r="AC63" s="1031">
        <f t="shared" si="48"/>
        <v>0</v>
      </c>
      <c r="AD63" s="1031">
        <v>0</v>
      </c>
      <c r="AE63" s="1031">
        <f t="shared" si="49"/>
        <v>0</v>
      </c>
      <c r="AF63" s="1031">
        <v>0</v>
      </c>
      <c r="AG63" s="1031">
        <f t="shared" si="50"/>
        <v>0</v>
      </c>
      <c r="AH63" s="1031">
        <f t="shared" si="51"/>
        <v>0</v>
      </c>
      <c r="AI63" s="1032">
        <f t="shared" si="55"/>
        <v>0</v>
      </c>
      <c r="AJ63" s="1032">
        <f t="shared" si="56"/>
        <v>0</v>
      </c>
      <c r="AK63" s="49"/>
      <c r="AL63" s="49">
        <f t="shared" si="52"/>
        <v>0</v>
      </c>
      <c r="AM63" s="49">
        <f>-'[22]Table 5C1C-Intl_VIBE'!AL63</f>
        <v>0</v>
      </c>
      <c r="AN63" s="49">
        <f>-'[21]Table 5C1C-Intl_VIBE'!P63</f>
        <v>0</v>
      </c>
      <c r="AO63" s="49">
        <f t="shared" si="53"/>
        <v>0</v>
      </c>
      <c r="AP63" s="49"/>
    </row>
    <row r="64" spans="1:42">
      <c r="A64" s="975">
        <v>58</v>
      </c>
      <c r="B64" s="976" t="s">
        <v>158</v>
      </c>
      <c r="C64" s="1171">
        <f>'Table 8 2.1.12 MFP Funded'!V61</f>
        <v>0</v>
      </c>
      <c r="D64" s="984">
        <f>'Table 3 Levels 1&amp;2'!AL65</f>
        <v>5341.4512666086594</v>
      </c>
      <c r="E64" s="1074">
        <f t="shared" si="33"/>
        <v>0</v>
      </c>
      <c r="F64" s="1074">
        <f>'Table 4 Level 3'!P63</f>
        <v>697.04</v>
      </c>
      <c r="G64" s="1074">
        <f t="shared" si="34"/>
        <v>0</v>
      </c>
      <c r="H64" s="1037">
        <f t="shared" si="35"/>
        <v>0</v>
      </c>
      <c r="I64" s="1417">
        <f>'[1]Oct midyear Intl_VIBE '!K64</f>
        <v>0</v>
      </c>
      <c r="J64" s="1417">
        <f>'[1]Feb midyear Intl_VIBE '!K64</f>
        <v>0</v>
      </c>
      <c r="K64" s="1417">
        <f t="shared" si="36"/>
        <v>0</v>
      </c>
      <c r="L64" s="1436">
        <f t="shared" si="37"/>
        <v>0</v>
      </c>
      <c r="M64" s="1084">
        <f t="shared" si="38"/>
        <v>0</v>
      </c>
      <c r="N64" s="1037">
        <f t="shared" si="39"/>
        <v>0</v>
      </c>
      <c r="O64" s="1037">
        <v>0</v>
      </c>
      <c r="P64" s="1037">
        <f t="shared" si="40"/>
        <v>0</v>
      </c>
      <c r="Q64" s="1037">
        <v>0</v>
      </c>
      <c r="R64" s="1037">
        <f t="shared" si="41"/>
        <v>0</v>
      </c>
      <c r="S64" s="1037">
        <f t="shared" si="42"/>
        <v>0</v>
      </c>
      <c r="T64" s="1029">
        <f>'[14]FY2012-13 Final'!D65</f>
        <v>1659</v>
      </c>
      <c r="U64" s="1031">
        <f t="shared" si="54"/>
        <v>0</v>
      </c>
      <c r="V64" s="1355">
        <f>'[20]Oct midyear Intl_VIBE '!E64</f>
        <v>0</v>
      </c>
      <c r="W64" s="1349">
        <f t="shared" si="43"/>
        <v>0</v>
      </c>
      <c r="X64" s="1474">
        <f>'[20]Feb midyear Intl_VIBE '!E64</f>
        <v>0</v>
      </c>
      <c r="Y64" s="1468">
        <f t="shared" si="44"/>
        <v>0</v>
      </c>
      <c r="Z64" s="1468">
        <f t="shared" si="45"/>
        <v>0</v>
      </c>
      <c r="AA64" s="1031">
        <f t="shared" si="46"/>
        <v>0</v>
      </c>
      <c r="AB64" s="1090">
        <f t="shared" si="47"/>
        <v>0</v>
      </c>
      <c r="AC64" s="1031">
        <f t="shared" si="48"/>
        <v>0</v>
      </c>
      <c r="AD64" s="1031">
        <v>0</v>
      </c>
      <c r="AE64" s="1031">
        <f t="shared" si="49"/>
        <v>0</v>
      </c>
      <c r="AF64" s="1031">
        <v>0</v>
      </c>
      <c r="AG64" s="1031">
        <f t="shared" si="50"/>
        <v>0</v>
      </c>
      <c r="AH64" s="1031">
        <f t="shared" si="51"/>
        <v>0</v>
      </c>
      <c r="AI64" s="1032">
        <f t="shared" si="55"/>
        <v>0</v>
      </c>
      <c r="AJ64" s="1032">
        <f t="shared" si="56"/>
        <v>0</v>
      </c>
      <c r="AK64" s="49"/>
      <c r="AL64" s="49">
        <f t="shared" si="52"/>
        <v>0</v>
      </c>
      <c r="AM64" s="49">
        <f>-'[22]Table 5C1C-Intl_VIBE'!AL64</f>
        <v>0</v>
      </c>
      <c r="AN64" s="49">
        <f>-'[21]Table 5C1C-Intl_VIBE'!P64</f>
        <v>0</v>
      </c>
      <c r="AO64" s="49">
        <f t="shared" si="53"/>
        <v>0</v>
      </c>
      <c r="AP64" s="49"/>
    </row>
    <row r="65" spans="1:42">
      <c r="A65" s="975">
        <v>59</v>
      </c>
      <c r="B65" s="976" t="s">
        <v>159</v>
      </c>
      <c r="C65" s="1171">
        <f>'Table 8 2.1.12 MFP Funded'!V62</f>
        <v>0</v>
      </c>
      <c r="D65" s="984">
        <f>'Table 3 Levels 1&amp;2'!AL66</f>
        <v>6342.1695127641487</v>
      </c>
      <c r="E65" s="1074">
        <f t="shared" si="33"/>
        <v>0</v>
      </c>
      <c r="F65" s="1074">
        <f>'Table 4 Level 3'!P64</f>
        <v>689.52</v>
      </c>
      <c r="G65" s="1074">
        <f t="shared" si="34"/>
        <v>0</v>
      </c>
      <c r="H65" s="1037">
        <f t="shared" si="35"/>
        <v>0</v>
      </c>
      <c r="I65" s="1417">
        <f>'[1]Oct midyear Intl_VIBE '!K65</f>
        <v>0</v>
      </c>
      <c r="J65" s="1417">
        <f>'[1]Feb midyear Intl_VIBE '!K65</f>
        <v>0</v>
      </c>
      <c r="K65" s="1417">
        <f t="shared" si="36"/>
        <v>0</v>
      </c>
      <c r="L65" s="1436">
        <f t="shared" si="37"/>
        <v>0</v>
      </c>
      <c r="M65" s="1084">
        <f t="shared" si="38"/>
        <v>0</v>
      </c>
      <c r="N65" s="1037">
        <f t="shared" si="39"/>
        <v>0</v>
      </c>
      <c r="O65" s="1037">
        <v>0</v>
      </c>
      <c r="P65" s="1037">
        <f t="shared" si="40"/>
        <v>0</v>
      </c>
      <c r="Q65" s="1037">
        <v>0</v>
      </c>
      <c r="R65" s="1037">
        <f t="shared" si="41"/>
        <v>0</v>
      </c>
      <c r="S65" s="1037">
        <f t="shared" si="42"/>
        <v>0</v>
      </c>
      <c r="T65" s="1029">
        <f>'[14]FY2012-13 Final'!D66</f>
        <v>1107</v>
      </c>
      <c r="U65" s="1031">
        <f t="shared" si="54"/>
        <v>0</v>
      </c>
      <c r="V65" s="1355">
        <f>'[20]Oct midyear Intl_VIBE '!E65</f>
        <v>0</v>
      </c>
      <c r="W65" s="1349">
        <f t="shared" si="43"/>
        <v>0</v>
      </c>
      <c r="X65" s="1474">
        <f>'[20]Feb midyear Intl_VIBE '!E65</f>
        <v>0</v>
      </c>
      <c r="Y65" s="1468">
        <f t="shared" si="44"/>
        <v>0</v>
      </c>
      <c r="Z65" s="1468">
        <f t="shared" si="45"/>
        <v>0</v>
      </c>
      <c r="AA65" s="1031">
        <f t="shared" si="46"/>
        <v>0</v>
      </c>
      <c r="AB65" s="1090">
        <f t="shared" si="47"/>
        <v>0</v>
      </c>
      <c r="AC65" s="1031">
        <f t="shared" si="48"/>
        <v>0</v>
      </c>
      <c r="AD65" s="1031">
        <v>0</v>
      </c>
      <c r="AE65" s="1031">
        <f t="shared" si="49"/>
        <v>0</v>
      </c>
      <c r="AF65" s="1031">
        <v>0</v>
      </c>
      <c r="AG65" s="1031">
        <f t="shared" si="50"/>
        <v>0</v>
      </c>
      <c r="AH65" s="1031">
        <f t="shared" si="51"/>
        <v>0</v>
      </c>
      <c r="AI65" s="1032">
        <f t="shared" si="55"/>
        <v>0</v>
      </c>
      <c r="AJ65" s="1032">
        <f t="shared" si="56"/>
        <v>0</v>
      </c>
      <c r="AK65" s="49"/>
      <c r="AL65" s="49">
        <f t="shared" si="52"/>
        <v>0</v>
      </c>
      <c r="AM65" s="49">
        <f>-'[22]Table 5C1C-Intl_VIBE'!AL65</f>
        <v>0</v>
      </c>
      <c r="AN65" s="49">
        <f>-'[21]Table 5C1C-Intl_VIBE'!P65</f>
        <v>0</v>
      </c>
      <c r="AO65" s="49">
        <f t="shared" si="53"/>
        <v>0</v>
      </c>
      <c r="AP65" s="49"/>
    </row>
    <row r="66" spans="1:42">
      <c r="A66" s="979">
        <v>60</v>
      </c>
      <c r="B66" s="980" t="s">
        <v>160</v>
      </c>
      <c r="C66" s="1172">
        <f>'Table 8 2.1.12 MFP Funded'!V63</f>
        <v>0</v>
      </c>
      <c r="D66" s="986">
        <f>'Table 3 Levels 1&amp;2'!AL67</f>
        <v>4836.7830262372299</v>
      </c>
      <c r="E66" s="1075">
        <f t="shared" si="33"/>
        <v>0</v>
      </c>
      <c r="F66" s="1075">
        <f>'Table 4 Level 3'!P65</f>
        <v>594.04</v>
      </c>
      <c r="G66" s="1075">
        <f t="shared" si="34"/>
        <v>0</v>
      </c>
      <c r="H66" s="1038">
        <f t="shared" si="35"/>
        <v>0</v>
      </c>
      <c r="I66" s="1418">
        <f>'[1]Oct midyear Intl_VIBE '!K66</f>
        <v>0</v>
      </c>
      <c r="J66" s="1418">
        <f>'[1]Feb midyear Intl_VIBE '!K66</f>
        <v>0</v>
      </c>
      <c r="K66" s="1418">
        <f t="shared" si="36"/>
        <v>0</v>
      </c>
      <c r="L66" s="1437">
        <f t="shared" si="37"/>
        <v>0</v>
      </c>
      <c r="M66" s="1085">
        <f t="shared" si="38"/>
        <v>0</v>
      </c>
      <c r="N66" s="1038">
        <f t="shared" si="39"/>
        <v>0</v>
      </c>
      <c r="O66" s="1038">
        <v>0</v>
      </c>
      <c r="P66" s="1038">
        <f t="shared" si="40"/>
        <v>0</v>
      </c>
      <c r="Q66" s="1038">
        <v>0</v>
      </c>
      <c r="R66" s="1038">
        <f t="shared" si="41"/>
        <v>0</v>
      </c>
      <c r="S66" s="1038">
        <f t="shared" si="42"/>
        <v>0</v>
      </c>
      <c r="T66" s="1034">
        <f>'[14]FY2012-13 Final'!D67</f>
        <v>2815</v>
      </c>
      <c r="U66" s="1035">
        <f t="shared" si="54"/>
        <v>0</v>
      </c>
      <c r="V66" s="1356">
        <f>'[20]Oct midyear Intl_VIBE '!E66</f>
        <v>0</v>
      </c>
      <c r="W66" s="1350">
        <f t="shared" si="43"/>
        <v>0</v>
      </c>
      <c r="X66" s="1475">
        <f>'[20]Feb midyear Intl_VIBE '!E66</f>
        <v>0</v>
      </c>
      <c r="Y66" s="1469">
        <f t="shared" si="44"/>
        <v>0</v>
      </c>
      <c r="Z66" s="1469">
        <f t="shared" si="45"/>
        <v>0</v>
      </c>
      <c r="AA66" s="1035">
        <f t="shared" si="46"/>
        <v>0</v>
      </c>
      <c r="AB66" s="1091">
        <f t="shared" si="47"/>
        <v>0</v>
      </c>
      <c r="AC66" s="1035">
        <f t="shared" si="48"/>
        <v>0</v>
      </c>
      <c r="AD66" s="1035">
        <v>0</v>
      </c>
      <c r="AE66" s="1035">
        <f t="shared" si="49"/>
        <v>0</v>
      </c>
      <c r="AF66" s="1035">
        <v>0</v>
      </c>
      <c r="AG66" s="1035">
        <f t="shared" si="50"/>
        <v>0</v>
      </c>
      <c r="AH66" s="1035">
        <f t="shared" si="51"/>
        <v>0</v>
      </c>
      <c r="AI66" s="1036">
        <f t="shared" si="55"/>
        <v>0</v>
      </c>
      <c r="AJ66" s="1036">
        <f t="shared" si="56"/>
        <v>0</v>
      </c>
      <c r="AK66" s="49"/>
      <c r="AL66" s="49">
        <f t="shared" si="52"/>
        <v>0</v>
      </c>
      <c r="AM66" s="49">
        <f>-'[22]Table 5C1C-Intl_VIBE'!AL66</f>
        <v>0</v>
      </c>
      <c r="AN66" s="49">
        <f>-'[21]Table 5C1C-Intl_VIBE'!P66</f>
        <v>0</v>
      </c>
      <c r="AO66" s="49">
        <f t="shared" si="53"/>
        <v>0</v>
      </c>
      <c r="AP66" s="49"/>
    </row>
    <row r="67" spans="1:42">
      <c r="A67" s="968">
        <v>61</v>
      </c>
      <c r="B67" s="969" t="s">
        <v>161</v>
      </c>
      <c r="C67" s="1173">
        <f>'Table 8 2.1.12 MFP Funded'!V64</f>
        <v>0</v>
      </c>
      <c r="D67" s="988">
        <f>'Table 3 Levels 1&amp;2'!AL68</f>
        <v>3068.5254213785697</v>
      </c>
      <c r="E67" s="1076">
        <f t="shared" si="33"/>
        <v>0</v>
      </c>
      <c r="F67" s="1076">
        <f>'Table 4 Level 3'!P66</f>
        <v>833.70999999999992</v>
      </c>
      <c r="G67" s="1076">
        <f t="shared" si="34"/>
        <v>0</v>
      </c>
      <c r="H67" s="1039">
        <f t="shared" si="35"/>
        <v>0</v>
      </c>
      <c r="I67" s="1419">
        <f>'[1]Oct midyear Intl_VIBE '!K67</f>
        <v>0</v>
      </c>
      <c r="J67" s="1419">
        <f>'[1]Feb midyear Intl_VIBE '!K67</f>
        <v>0</v>
      </c>
      <c r="K67" s="1419">
        <f t="shared" si="36"/>
        <v>0</v>
      </c>
      <c r="L67" s="1211">
        <f t="shared" si="37"/>
        <v>0</v>
      </c>
      <c r="M67" s="1086">
        <f t="shared" si="38"/>
        <v>0</v>
      </c>
      <c r="N67" s="1039">
        <f t="shared" si="39"/>
        <v>0</v>
      </c>
      <c r="O67" s="1039">
        <v>0</v>
      </c>
      <c r="P67" s="1039">
        <f t="shared" si="40"/>
        <v>0</v>
      </c>
      <c r="Q67" s="1039">
        <v>0</v>
      </c>
      <c r="R67" s="1039">
        <f t="shared" si="41"/>
        <v>0</v>
      </c>
      <c r="S67" s="1039">
        <f t="shared" si="42"/>
        <v>0</v>
      </c>
      <c r="T67" s="1029">
        <f>'[14]FY2012-13 Final'!D68</f>
        <v>6318</v>
      </c>
      <c r="U67" s="973">
        <f t="shared" si="54"/>
        <v>0</v>
      </c>
      <c r="V67" s="1354">
        <f>'[20]Oct midyear Intl_VIBE '!E67</f>
        <v>0</v>
      </c>
      <c r="W67" s="1348">
        <f t="shared" si="43"/>
        <v>0</v>
      </c>
      <c r="X67" s="1466">
        <f>'[20]Feb midyear Intl_VIBE '!E67</f>
        <v>0</v>
      </c>
      <c r="Y67" s="1348">
        <f t="shared" si="44"/>
        <v>0</v>
      </c>
      <c r="Z67" s="1348">
        <f t="shared" si="45"/>
        <v>0</v>
      </c>
      <c r="AA67" s="973">
        <f t="shared" si="46"/>
        <v>0</v>
      </c>
      <c r="AB67" s="1089">
        <f t="shared" si="47"/>
        <v>0</v>
      </c>
      <c r="AC67" s="973">
        <f t="shared" si="48"/>
        <v>0</v>
      </c>
      <c r="AD67" s="973">
        <v>0</v>
      </c>
      <c r="AE67" s="973">
        <f t="shared" si="49"/>
        <v>0</v>
      </c>
      <c r="AF67" s="973">
        <v>0</v>
      </c>
      <c r="AG67" s="973">
        <f t="shared" si="50"/>
        <v>0</v>
      </c>
      <c r="AH67" s="973">
        <f t="shared" si="51"/>
        <v>0</v>
      </c>
      <c r="AI67" s="974">
        <f t="shared" si="55"/>
        <v>0</v>
      </c>
      <c r="AJ67" s="974">
        <f t="shared" si="56"/>
        <v>0</v>
      </c>
      <c r="AK67" s="49"/>
      <c r="AL67" s="49">
        <f t="shared" si="52"/>
        <v>0</v>
      </c>
      <c r="AM67" s="49">
        <f>-'[22]Table 5C1C-Intl_VIBE'!AL67</f>
        <v>0</v>
      </c>
      <c r="AN67" s="49">
        <f>-'[21]Table 5C1C-Intl_VIBE'!P67</f>
        <v>0</v>
      </c>
      <c r="AO67" s="49">
        <f t="shared" si="53"/>
        <v>0</v>
      </c>
      <c r="AP67" s="49"/>
    </row>
    <row r="68" spans="1:42">
      <c r="A68" s="975">
        <v>62</v>
      </c>
      <c r="B68" s="976" t="s">
        <v>162</v>
      </c>
      <c r="C68" s="1171">
        <f>'Table 8 2.1.12 MFP Funded'!V65</f>
        <v>0</v>
      </c>
      <c r="D68" s="984">
        <f>'Table 3 Levels 1&amp;2'!AL69</f>
        <v>5577.0282124990472</v>
      </c>
      <c r="E68" s="1074">
        <f t="shared" si="33"/>
        <v>0</v>
      </c>
      <c r="F68" s="1074">
        <f>'Table 4 Level 3'!P67</f>
        <v>516.08000000000004</v>
      </c>
      <c r="G68" s="1074">
        <f t="shared" si="34"/>
        <v>0</v>
      </c>
      <c r="H68" s="1037">
        <f t="shared" si="35"/>
        <v>0</v>
      </c>
      <c r="I68" s="1417">
        <f>'[1]Oct midyear Intl_VIBE '!K68</f>
        <v>0</v>
      </c>
      <c r="J68" s="1417">
        <f>'[1]Feb midyear Intl_VIBE '!K68</f>
        <v>0</v>
      </c>
      <c r="K68" s="1417">
        <f t="shared" si="36"/>
        <v>0</v>
      </c>
      <c r="L68" s="1436">
        <f t="shared" si="37"/>
        <v>0</v>
      </c>
      <c r="M68" s="1084">
        <f t="shared" si="38"/>
        <v>0</v>
      </c>
      <c r="N68" s="1037">
        <f t="shared" si="39"/>
        <v>0</v>
      </c>
      <c r="O68" s="1037">
        <v>0</v>
      </c>
      <c r="P68" s="1037">
        <f t="shared" si="40"/>
        <v>0</v>
      </c>
      <c r="Q68" s="1037">
        <v>0</v>
      </c>
      <c r="R68" s="1037">
        <f t="shared" si="41"/>
        <v>0</v>
      </c>
      <c r="S68" s="1037">
        <f t="shared" si="42"/>
        <v>0</v>
      </c>
      <c r="T68" s="1029">
        <f>'[14]FY2012-13 Final'!D69</f>
        <v>1785</v>
      </c>
      <c r="U68" s="1031">
        <f t="shared" si="54"/>
        <v>0</v>
      </c>
      <c r="V68" s="1355">
        <f>'[20]Oct midyear Intl_VIBE '!E68</f>
        <v>0</v>
      </c>
      <c r="W68" s="1349">
        <f t="shared" si="43"/>
        <v>0</v>
      </c>
      <c r="X68" s="1474">
        <f>'[20]Feb midyear Intl_VIBE '!E68</f>
        <v>0</v>
      </c>
      <c r="Y68" s="1468">
        <f t="shared" si="44"/>
        <v>0</v>
      </c>
      <c r="Z68" s="1468">
        <f t="shared" si="45"/>
        <v>0</v>
      </c>
      <c r="AA68" s="1031">
        <f t="shared" si="46"/>
        <v>0</v>
      </c>
      <c r="AB68" s="1090">
        <f t="shared" si="47"/>
        <v>0</v>
      </c>
      <c r="AC68" s="1031">
        <f t="shared" si="48"/>
        <v>0</v>
      </c>
      <c r="AD68" s="1031">
        <v>0</v>
      </c>
      <c r="AE68" s="1031">
        <f t="shared" si="49"/>
        <v>0</v>
      </c>
      <c r="AF68" s="1031">
        <v>0</v>
      </c>
      <c r="AG68" s="1031">
        <f t="shared" si="50"/>
        <v>0</v>
      </c>
      <c r="AH68" s="1031">
        <f t="shared" si="51"/>
        <v>0</v>
      </c>
      <c r="AI68" s="1032">
        <f t="shared" si="55"/>
        <v>0</v>
      </c>
      <c r="AJ68" s="1032">
        <f t="shared" si="56"/>
        <v>0</v>
      </c>
      <c r="AK68" s="49"/>
      <c r="AL68" s="49">
        <f t="shared" si="52"/>
        <v>0</v>
      </c>
      <c r="AM68" s="49">
        <f>-'[22]Table 5C1C-Intl_VIBE'!AL68</f>
        <v>0</v>
      </c>
      <c r="AN68" s="49">
        <f>-'[21]Table 5C1C-Intl_VIBE'!P68</f>
        <v>0</v>
      </c>
      <c r="AO68" s="49">
        <f t="shared" si="53"/>
        <v>0</v>
      </c>
      <c r="AP68" s="49"/>
    </row>
    <row r="69" spans="1:42">
      <c r="A69" s="975">
        <v>63</v>
      </c>
      <c r="B69" s="976" t="s">
        <v>163</v>
      </c>
      <c r="C69" s="1171">
        <f>'Table 8 2.1.12 MFP Funded'!V66</f>
        <v>0</v>
      </c>
      <c r="D69" s="984">
        <f>'Table 3 Levels 1&amp;2'!AL70</f>
        <v>4427.207711317601</v>
      </c>
      <c r="E69" s="1074">
        <f t="shared" si="33"/>
        <v>0</v>
      </c>
      <c r="F69" s="1074">
        <f>'Table 4 Level 3'!P68</f>
        <v>756.79</v>
      </c>
      <c r="G69" s="1074">
        <f t="shared" si="34"/>
        <v>0</v>
      </c>
      <c r="H69" s="1037">
        <f t="shared" si="35"/>
        <v>0</v>
      </c>
      <c r="I69" s="1417">
        <f>'[1]Oct midyear Intl_VIBE '!K69</f>
        <v>0</v>
      </c>
      <c r="J69" s="1417">
        <f>'[1]Feb midyear Intl_VIBE '!K69</f>
        <v>0</v>
      </c>
      <c r="K69" s="1417">
        <f t="shared" si="36"/>
        <v>0</v>
      </c>
      <c r="L69" s="1436">
        <f t="shared" si="37"/>
        <v>0</v>
      </c>
      <c r="M69" s="1084">
        <f t="shared" si="38"/>
        <v>0</v>
      </c>
      <c r="N69" s="1037">
        <f t="shared" si="39"/>
        <v>0</v>
      </c>
      <c r="O69" s="1037">
        <v>0</v>
      </c>
      <c r="P69" s="1037">
        <f t="shared" si="40"/>
        <v>0</v>
      </c>
      <c r="Q69" s="1037">
        <v>0</v>
      </c>
      <c r="R69" s="1037">
        <f t="shared" si="41"/>
        <v>0</v>
      </c>
      <c r="S69" s="1037">
        <f t="shared" si="42"/>
        <v>0</v>
      </c>
      <c r="T69" s="1029">
        <f>'[14]FY2012-13 Final'!D70</f>
        <v>6678</v>
      </c>
      <c r="U69" s="1031">
        <f t="shared" si="54"/>
        <v>0</v>
      </c>
      <c r="V69" s="1355">
        <f>'[20]Oct midyear Intl_VIBE '!E69</f>
        <v>0</v>
      </c>
      <c r="W69" s="1349">
        <f t="shared" si="43"/>
        <v>0</v>
      </c>
      <c r="X69" s="1474">
        <f>'[20]Feb midyear Intl_VIBE '!E69</f>
        <v>0</v>
      </c>
      <c r="Y69" s="1468">
        <f t="shared" si="44"/>
        <v>0</v>
      </c>
      <c r="Z69" s="1468">
        <f t="shared" si="45"/>
        <v>0</v>
      </c>
      <c r="AA69" s="1031">
        <f t="shared" si="46"/>
        <v>0</v>
      </c>
      <c r="AB69" s="1090">
        <f t="shared" si="47"/>
        <v>0</v>
      </c>
      <c r="AC69" s="1031">
        <f t="shared" si="48"/>
        <v>0</v>
      </c>
      <c r="AD69" s="1031">
        <v>0</v>
      </c>
      <c r="AE69" s="1031">
        <f t="shared" si="49"/>
        <v>0</v>
      </c>
      <c r="AF69" s="1031">
        <v>0</v>
      </c>
      <c r="AG69" s="1031">
        <f t="shared" si="50"/>
        <v>0</v>
      </c>
      <c r="AH69" s="1031">
        <f t="shared" si="51"/>
        <v>0</v>
      </c>
      <c r="AI69" s="1032">
        <f t="shared" si="55"/>
        <v>0</v>
      </c>
      <c r="AJ69" s="1032">
        <f t="shared" si="56"/>
        <v>0</v>
      </c>
      <c r="AK69" s="49"/>
      <c r="AL69" s="49">
        <f t="shared" si="52"/>
        <v>0</v>
      </c>
      <c r="AM69" s="49">
        <f>-'[22]Table 5C1C-Intl_VIBE'!AL69</f>
        <v>0</v>
      </c>
      <c r="AN69" s="49">
        <f>-'[21]Table 5C1C-Intl_VIBE'!P69</f>
        <v>0</v>
      </c>
      <c r="AO69" s="49">
        <f t="shared" si="53"/>
        <v>0</v>
      </c>
      <c r="AP69" s="49"/>
    </row>
    <row r="70" spans="1:42">
      <c r="A70" s="975">
        <v>64</v>
      </c>
      <c r="B70" s="976" t="s">
        <v>164</v>
      </c>
      <c r="C70" s="1171">
        <f>'Table 8 2.1.12 MFP Funded'!V67</f>
        <v>0</v>
      </c>
      <c r="D70" s="984">
        <f>'Table 3 Levels 1&amp;2'!AL71</f>
        <v>5888.4725850181812</v>
      </c>
      <c r="E70" s="1074">
        <f t="shared" si="33"/>
        <v>0</v>
      </c>
      <c r="F70" s="1074">
        <f>'Table 4 Level 3'!P69</f>
        <v>592.66</v>
      </c>
      <c r="G70" s="1074">
        <f t="shared" si="34"/>
        <v>0</v>
      </c>
      <c r="H70" s="1037">
        <f t="shared" si="35"/>
        <v>0</v>
      </c>
      <c r="I70" s="1417">
        <f>'[1]Oct midyear Intl_VIBE '!K70</f>
        <v>0</v>
      </c>
      <c r="J70" s="1417">
        <f>'[1]Feb midyear Intl_VIBE '!K70</f>
        <v>0</v>
      </c>
      <c r="K70" s="1417">
        <f t="shared" si="36"/>
        <v>0</v>
      </c>
      <c r="L70" s="1436">
        <f t="shared" si="37"/>
        <v>0</v>
      </c>
      <c r="M70" s="1084">
        <f t="shared" si="38"/>
        <v>0</v>
      </c>
      <c r="N70" s="1037">
        <f t="shared" si="39"/>
        <v>0</v>
      </c>
      <c r="O70" s="1037">
        <v>0</v>
      </c>
      <c r="P70" s="1037">
        <f t="shared" si="40"/>
        <v>0</v>
      </c>
      <c r="Q70" s="1037">
        <v>0</v>
      </c>
      <c r="R70" s="1037">
        <f t="shared" si="41"/>
        <v>0</v>
      </c>
      <c r="S70" s="1037">
        <f t="shared" si="42"/>
        <v>0</v>
      </c>
      <c r="T70" s="1029">
        <f>'[14]FY2012-13 Final'!D71</f>
        <v>2131</v>
      </c>
      <c r="U70" s="1031">
        <f t="shared" si="54"/>
        <v>0</v>
      </c>
      <c r="V70" s="1355">
        <f>'[20]Oct midyear Intl_VIBE '!E70</f>
        <v>0</v>
      </c>
      <c r="W70" s="1349">
        <f t="shared" si="43"/>
        <v>0</v>
      </c>
      <c r="X70" s="1474">
        <f>'[20]Feb midyear Intl_VIBE '!E70</f>
        <v>0</v>
      </c>
      <c r="Y70" s="1468">
        <f t="shared" si="44"/>
        <v>0</v>
      </c>
      <c r="Z70" s="1468">
        <f t="shared" si="45"/>
        <v>0</v>
      </c>
      <c r="AA70" s="1031">
        <f t="shared" si="46"/>
        <v>0</v>
      </c>
      <c r="AB70" s="1090">
        <f t="shared" si="47"/>
        <v>0</v>
      </c>
      <c r="AC70" s="1031">
        <f t="shared" si="48"/>
        <v>0</v>
      </c>
      <c r="AD70" s="1031">
        <v>0</v>
      </c>
      <c r="AE70" s="1031">
        <f t="shared" si="49"/>
        <v>0</v>
      </c>
      <c r="AF70" s="1031">
        <v>0</v>
      </c>
      <c r="AG70" s="1031">
        <f t="shared" si="50"/>
        <v>0</v>
      </c>
      <c r="AH70" s="1031">
        <f t="shared" si="51"/>
        <v>0</v>
      </c>
      <c r="AI70" s="1032">
        <f t="shared" si="55"/>
        <v>0</v>
      </c>
      <c r="AJ70" s="1032">
        <f t="shared" si="56"/>
        <v>0</v>
      </c>
      <c r="AK70" s="49"/>
      <c r="AL70" s="49">
        <f t="shared" si="52"/>
        <v>0</v>
      </c>
      <c r="AM70" s="49">
        <f>-'[22]Table 5C1C-Intl_VIBE'!AL70</f>
        <v>0</v>
      </c>
      <c r="AN70" s="49">
        <f>-'[21]Table 5C1C-Intl_VIBE'!P70</f>
        <v>0</v>
      </c>
      <c r="AO70" s="49">
        <f t="shared" si="53"/>
        <v>0</v>
      </c>
      <c r="AP70" s="49"/>
    </row>
    <row r="71" spans="1:42">
      <c r="A71" s="979">
        <v>65</v>
      </c>
      <c r="B71" s="980" t="s">
        <v>165</v>
      </c>
      <c r="C71" s="1172">
        <f>'Table 8 2.1.12 MFP Funded'!V68</f>
        <v>0</v>
      </c>
      <c r="D71" s="986">
        <f>'Table 3 Levels 1&amp;2'!AL72</f>
        <v>4583.9609010774066</v>
      </c>
      <c r="E71" s="1075">
        <f t="shared" si="33"/>
        <v>0</v>
      </c>
      <c r="F71" s="1075">
        <f>'Table 4 Level 3'!P70</f>
        <v>829.12</v>
      </c>
      <c r="G71" s="1075">
        <f t="shared" si="34"/>
        <v>0</v>
      </c>
      <c r="H71" s="1038">
        <f t="shared" si="35"/>
        <v>0</v>
      </c>
      <c r="I71" s="1418">
        <f>'[1]Oct midyear Intl_VIBE '!K71</f>
        <v>0</v>
      </c>
      <c r="J71" s="1418">
        <f>'[1]Feb midyear Intl_VIBE '!K71</f>
        <v>0</v>
      </c>
      <c r="K71" s="1418">
        <f t="shared" si="36"/>
        <v>0</v>
      </c>
      <c r="L71" s="1437">
        <f t="shared" si="37"/>
        <v>0</v>
      </c>
      <c r="M71" s="1085">
        <f t="shared" si="38"/>
        <v>0</v>
      </c>
      <c r="N71" s="1038">
        <f t="shared" si="39"/>
        <v>0</v>
      </c>
      <c r="O71" s="1038">
        <v>0</v>
      </c>
      <c r="P71" s="1038">
        <f t="shared" si="40"/>
        <v>0</v>
      </c>
      <c r="Q71" s="1038">
        <v>0</v>
      </c>
      <c r="R71" s="1038">
        <f t="shared" si="41"/>
        <v>0</v>
      </c>
      <c r="S71" s="1038">
        <f t="shared" si="42"/>
        <v>0</v>
      </c>
      <c r="T71" s="1034">
        <f>'[14]FY2012-13 Final'!D72</f>
        <v>4252</v>
      </c>
      <c r="U71" s="1035">
        <f t="shared" ref="U71:U75" si="57">C71*T71</f>
        <v>0</v>
      </c>
      <c r="V71" s="1356">
        <f>'[20]Oct midyear Intl_VIBE '!E71</f>
        <v>0</v>
      </c>
      <c r="W71" s="1350">
        <f t="shared" si="43"/>
        <v>0</v>
      </c>
      <c r="X71" s="1475">
        <f>'[20]Feb midyear Intl_VIBE '!E71</f>
        <v>0</v>
      </c>
      <c r="Y71" s="1469">
        <f t="shared" si="44"/>
        <v>0</v>
      </c>
      <c r="Z71" s="1469">
        <f t="shared" si="45"/>
        <v>0</v>
      </c>
      <c r="AA71" s="1035">
        <f t="shared" si="46"/>
        <v>0</v>
      </c>
      <c r="AB71" s="1091">
        <f t="shared" si="47"/>
        <v>0</v>
      </c>
      <c r="AC71" s="1035">
        <f t="shared" si="48"/>
        <v>0</v>
      </c>
      <c r="AD71" s="1035">
        <v>0</v>
      </c>
      <c r="AE71" s="1035">
        <f t="shared" si="49"/>
        <v>0</v>
      </c>
      <c r="AF71" s="1035">
        <v>0</v>
      </c>
      <c r="AG71" s="1035">
        <f t="shared" si="50"/>
        <v>0</v>
      </c>
      <c r="AH71" s="1035">
        <f t="shared" si="51"/>
        <v>0</v>
      </c>
      <c r="AI71" s="1036">
        <f t="shared" ref="AI71:AI76" si="58">P71+AE71</f>
        <v>0</v>
      </c>
      <c r="AJ71" s="1036">
        <f t="shared" ref="AJ71:AJ77" si="59">S71+AH71</f>
        <v>0</v>
      </c>
      <c r="AK71" s="49"/>
      <c r="AL71" s="49">
        <f t="shared" si="52"/>
        <v>0</v>
      </c>
      <c r="AM71" s="49">
        <f>-'[22]Table 5C1C-Intl_VIBE'!AL71</f>
        <v>0</v>
      </c>
      <c r="AN71" s="49">
        <f>-'[21]Table 5C1C-Intl_VIBE'!P71</f>
        <v>0</v>
      </c>
      <c r="AO71" s="49">
        <f t="shared" si="53"/>
        <v>0</v>
      </c>
      <c r="AP71" s="49"/>
    </row>
    <row r="72" spans="1:42">
      <c r="A72" s="968">
        <v>66</v>
      </c>
      <c r="B72" s="969" t="s">
        <v>166</v>
      </c>
      <c r="C72" s="1173">
        <f>'Table 8 2.1.12 MFP Funded'!V69</f>
        <v>0</v>
      </c>
      <c r="D72" s="988">
        <f>'Table 3 Levels 1&amp;2'!AL73</f>
        <v>6262.4784859426345</v>
      </c>
      <c r="E72" s="1076">
        <f t="shared" ref="E72:E76" si="60">C72*D72</f>
        <v>0</v>
      </c>
      <c r="F72" s="1076">
        <f>'Table 4 Level 3'!P71</f>
        <v>730.06</v>
      </c>
      <c r="G72" s="1076">
        <f t="shared" ref="G72:G75" si="61">C72*F72</f>
        <v>0</v>
      </c>
      <c r="H72" s="1039">
        <f t="shared" ref="H72:H75" si="62">E72+G72</f>
        <v>0</v>
      </c>
      <c r="I72" s="1419">
        <f>'[1]Oct midyear Intl_VIBE '!K72</f>
        <v>0</v>
      </c>
      <c r="J72" s="1419">
        <f>'[1]Feb midyear Intl_VIBE '!K72</f>
        <v>0</v>
      </c>
      <c r="K72" s="1419">
        <f t="shared" ref="K72:K76" si="63">I72+J72</f>
        <v>0</v>
      </c>
      <c r="L72" s="1211">
        <f t="shared" ref="L72:L76" si="64">H72+K72</f>
        <v>0</v>
      </c>
      <c r="M72" s="1086">
        <f t="shared" ref="M72:M76" si="65">-(0.25%*L72)</f>
        <v>0</v>
      </c>
      <c r="N72" s="1039">
        <f t="shared" ref="N72:N76" si="66">SUM(L72:M72)</f>
        <v>0</v>
      </c>
      <c r="O72" s="1039">
        <v>0</v>
      </c>
      <c r="P72" s="1039">
        <f t="shared" ref="P72:P75" si="67">SUM(N72:O72)</f>
        <v>0</v>
      </c>
      <c r="Q72" s="1039">
        <v>0</v>
      </c>
      <c r="R72" s="1039">
        <f t="shared" ref="R72:R75" si="68">P72-Q72</f>
        <v>0</v>
      </c>
      <c r="S72" s="1039">
        <f t="shared" ref="S72:S76" si="69">R72/2</f>
        <v>0</v>
      </c>
      <c r="T72" s="1029">
        <f>'[14]FY2012-13 Final'!D73</f>
        <v>3528</v>
      </c>
      <c r="U72" s="973">
        <f t="shared" si="57"/>
        <v>0</v>
      </c>
      <c r="V72" s="1354">
        <f>'[20]Oct midyear Intl_VIBE '!E72</f>
        <v>0</v>
      </c>
      <c r="W72" s="1348">
        <f t="shared" ref="W72:W75" si="70">V72*T72</f>
        <v>0</v>
      </c>
      <c r="X72" s="1466">
        <f>'[20]Feb midyear Intl_VIBE '!E72</f>
        <v>0</v>
      </c>
      <c r="Y72" s="1348">
        <f t="shared" ref="Y72:Y75" si="71">X72*(T72*0.5)</f>
        <v>0</v>
      </c>
      <c r="Z72" s="1348">
        <f t="shared" ref="Z72:Z75" si="72">W72+Y72</f>
        <v>0</v>
      </c>
      <c r="AA72" s="973">
        <f t="shared" ref="AA72:AA75" si="73">U72+Z72</f>
        <v>0</v>
      </c>
      <c r="AB72" s="1089">
        <f t="shared" ref="AB72:AB75" si="74">-(0.25%*AA72)</f>
        <v>0</v>
      </c>
      <c r="AC72" s="973">
        <f t="shared" ref="AC72:AC75" si="75">SUM(AA72:AB72)</f>
        <v>0</v>
      </c>
      <c r="AD72" s="973">
        <v>0</v>
      </c>
      <c r="AE72" s="973">
        <f t="shared" ref="AE72:AE75" si="76">SUM(AC72:AD72)</f>
        <v>0</v>
      </c>
      <c r="AF72" s="973">
        <v>0</v>
      </c>
      <c r="AG72" s="973">
        <f t="shared" ref="AG72:AG75" si="77">AE72-AF72</f>
        <v>0</v>
      </c>
      <c r="AH72" s="973">
        <f t="shared" ref="AH72:AH75" si="78">AG72/2</f>
        <v>0</v>
      </c>
      <c r="AI72" s="974">
        <f t="shared" si="58"/>
        <v>0</v>
      </c>
      <c r="AJ72" s="974">
        <f t="shared" si="59"/>
        <v>0</v>
      </c>
      <c r="AK72" s="49"/>
      <c r="AL72" s="49">
        <f t="shared" ref="AL72:AL75" si="79">AB72</f>
        <v>0</v>
      </c>
      <c r="AM72" s="49">
        <f>-'[22]Table 5C1C-Intl_VIBE'!AL72</f>
        <v>0</v>
      </c>
      <c r="AN72" s="49">
        <f>-'[21]Table 5C1C-Intl_VIBE'!P72</f>
        <v>0</v>
      </c>
      <c r="AO72" s="49">
        <f t="shared" ref="AO72:AO75" si="80">SUM(AL72:AM72)</f>
        <v>0</v>
      </c>
      <c r="AP72" s="49"/>
    </row>
    <row r="73" spans="1:42">
      <c r="A73" s="975">
        <v>67</v>
      </c>
      <c r="B73" s="976" t="s">
        <v>33</v>
      </c>
      <c r="C73" s="1171">
        <f>'Table 8 2.1.12 MFP Funded'!V70</f>
        <v>0</v>
      </c>
      <c r="D73" s="984">
        <f>'Table 3 Levels 1&amp;2'!AL74</f>
        <v>5059.3528695821524</v>
      </c>
      <c r="E73" s="1074">
        <f t="shared" si="60"/>
        <v>0</v>
      </c>
      <c r="F73" s="1074">
        <f>'Table 4 Level 3'!P72</f>
        <v>715.61</v>
      </c>
      <c r="G73" s="1074">
        <f t="shared" si="61"/>
        <v>0</v>
      </c>
      <c r="H73" s="1037">
        <f t="shared" si="62"/>
        <v>0</v>
      </c>
      <c r="I73" s="1417">
        <f>'[1]Oct midyear Intl_VIBE '!K73</f>
        <v>0</v>
      </c>
      <c r="J73" s="1417">
        <f>'[1]Feb midyear Intl_VIBE '!K73</f>
        <v>0</v>
      </c>
      <c r="K73" s="1417">
        <f t="shared" si="63"/>
        <v>0</v>
      </c>
      <c r="L73" s="1436">
        <f t="shared" si="64"/>
        <v>0</v>
      </c>
      <c r="M73" s="1084">
        <f t="shared" si="65"/>
        <v>0</v>
      </c>
      <c r="N73" s="1037">
        <f t="shared" si="66"/>
        <v>0</v>
      </c>
      <c r="O73" s="1037">
        <v>0</v>
      </c>
      <c r="P73" s="1037">
        <f t="shared" si="67"/>
        <v>0</v>
      </c>
      <c r="Q73" s="1037">
        <v>0</v>
      </c>
      <c r="R73" s="1037">
        <f t="shared" si="68"/>
        <v>0</v>
      </c>
      <c r="S73" s="1037">
        <f t="shared" si="69"/>
        <v>0</v>
      </c>
      <c r="T73" s="1029">
        <f>'[14]FY2012-13 Final'!D74</f>
        <v>3740</v>
      </c>
      <c r="U73" s="1031">
        <f t="shared" si="57"/>
        <v>0</v>
      </c>
      <c r="V73" s="1355">
        <f>'[20]Oct midyear Intl_VIBE '!E73</f>
        <v>0</v>
      </c>
      <c r="W73" s="1349">
        <f t="shared" si="70"/>
        <v>0</v>
      </c>
      <c r="X73" s="1474">
        <f>'[20]Feb midyear Intl_VIBE '!E73</f>
        <v>0</v>
      </c>
      <c r="Y73" s="1468">
        <f t="shared" si="71"/>
        <v>0</v>
      </c>
      <c r="Z73" s="1468">
        <f t="shared" si="72"/>
        <v>0</v>
      </c>
      <c r="AA73" s="1031">
        <f t="shared" si="73"/>
        <v>0</v>
      </c>
      <c r="AB73" s="1090">
        <f t="shared" si="74"/>
        <v>0</v>
      </c>
      <c r="AC73" s="1031">
        <f t="shared" si="75"/>
        <v>0</v>
      </c>
      <c r="AD73" s="1031">
        <v>0</v>
      </c>
      <c r="AE73" s="1031">
        <f t="shared" si="76"/>
        <v>0</v>
      </c>
      <c r="AF73" s="1031">
        <v>0</v>
      </c>
      <c r="AG73" s="1031">
        <f t="shared" si="77"/>
        <v>0</v>
      </c>
      <c r="AH73" s="1031">
        <f t="shared" si="78"/>
        <v>0</v>
      </c>
      <c r="AI73" s="1032">
        <f t="shared" si="58"/>
        <v>0</v>
      </c>
      <c r="AJ73" s="1032">
        <f t="shared" si="59"/>
        <v>0</v>
      </c>
      <c r="AK73" s="49"/>
      <c r="AL73" s="49">
        <f t="shared" si="79"/>
        <v>0</v>
      </c>
      <c r="AM73" s="49">
        <f>-'[22]Table 5C1C-Intl_VIBE'!AL73</f>
        <v>0</v>
      </c>
      <c r="AN73" s="49">
        <f>-'[21]Table 5C1C-Intl_VIBE'!P73</f>
        <v>0</v>
      </c>
      <c r="AO73" s="49">
        <f t="shared" si="80"/>
        <v>0</v>
      </c>
      <c r="AP73" s="49"/>
    </row>
    <row r="74" spans="1:42">
      <c r="A74" s="975">
        <v>68</v>
      </c>
      <c r="B74" s="976" t="s">
        <v>31</v>
      </c>
      <c r="C74" s="1171">
        <f>'Table 8 2.1.12 MFP Funded'!V71</f>
        <v>0</v>
      </c>
      <c r="D74" s="984">
        <f>'Table 3 Levels 1&amp;2'!AL75</f>
        <v>5863.2815891318614</v>
      </c>
      <c r="E74" s="1074">
        <f t="shared" si="60"/>
        <v>0</v>
      </c>
      <c r="F74" s="1074">
        <f>'Table 4 Level 3'!P73</f>
        <v>798.7</v>
      </c>
      <c r="G74" s="1074">
        <f t="shared" si="61"/>
        <v>0</v>
      </c>
      <c r="H74" s="1037">
        <f t="shared" si="62"/>
        <v>0</v>
      </c>
      <c r="I74" s="1417">
        <f>'[1]Oct midyear Intl_VIBE '!K74</f>
        <v>0</v>
      </c>
      <c r="J74" s="1417">
        <f>'[1]Feb midyear Intl_VIBE '!K74</f>
        <v>0</v>
      </c>
      <c r="K74" s="1417">
        <f t="shared" si="63"/>
        <v>0</v>
      </c>
      <c r="L74" s="1436">
        <f t="shared" si="64"/>
        <v>0</v>
      </c>
      <c r="M74" s="1084">
        <f t="shared" si="65"/>
        <v>0</v>
      </c>
      <c r="N74" s="1037">
        <f t="shared" si="66"/>
        <v>0</v>
      </c>
      <c r="O74" s="1037">
        <v>0</v>
      </c>
      <c r="P74" s="1037">
        <f t="shared" si="67"/>
        <v>0</v>
      </c>
      <c r="Q74" s="1037">
        <v>0</v>
      </c>
      <c r="R74" s="1037">
        <f t="shared" si="68"/>
        <v>0</v>
      </c>
      <c r="S74" s="1037">
        <f t="shared" si="69"/>
        <v>0</v>
      </c>
      <c r="T74" s="1029">
        <f>'[14]FY2012-13 Final'!D75</f>
        <v>2809</v>
      </c>
      <c r="U74" s="1031">
        <f t="shared" si="57"/>
        <v>0</v>
      </c>
      <c r="V74" s="1355">
        <f>'[20]Oct midyear Intl_VIBE '!E74</f>
        <v>0</v>
      </c>
      <c r="W74" s="1349">
        <f t="shared" si="70"/>
        <v>0</v>
      </c>
      <c r="X74" s="1474">
        <f>'[20]Feb midyear Intl_VIBE '!E74</f>
        <v>0</v>
      </c>
      <c r="Y74" s="1468">
        <f t="shared" si="71"/>
        <v>0</v>
      </c>
      <c r="Z74" s="1468">
        <f t="shared" si="72"/>
        <v>0</v>
      </c>
      <c r="AA74" s="1031">
        <f t="shared" si="73"/>
        <v>0</v>
      </c>
      <c r="AB74" s="1090">
        <f t="shared" si="74"/>
        <v>0</v>
      </c>
      <c r="AC74" s="1031">
        <f t="shared" si="75"/>
        <v>0</v>
      </c>
      <c r="AD74" s="1031">
        <v>0</v>
      </c>
      <c r="AE74" s="1031">
        <f t="shared" si="76"/>
        <v>0</v>
      </c>
      <c r="AF74" s="1031">
        <v>0</v>
      </c>
      <c r="AG74" s="1031">
        <f t="shared" si="77"/>
        <v>0</v>
      </c>
      <c r="AH74" s="1031">
        <f t="shared" si="78"/>
        <v>0</v>
      </c>
      <c r="AI74" s="1032">
        <f t="shared" si="58"/>
        <v>0</v>
      </c>
      <c r="AJ74" s="1032">
        <f t="shared" si="59"/>
        <v>0</v>
      </c>
      <c r="AK74" s="49"/>
      <c r="AL74" s="49">
        <f t="shared" si="79"/>
        <v>0</v>
      </c>
      <c r="AM74" s="49">
        <f>-'[22]Table 5C1C-Intl_VIBE'!AL74</f>
        <v>0</v>
      </c>
      <c r="AN74" s="49">
        <f>-'[21]Table 5C1C-Intl_VIBE'!P74</f>
        <v>0</v>
      </c>
      <c r="AO74" s="49">
        <f t="shared" si="80"/>
        <v>0</v>
      </c>
      <c r="AP74" s="49"/>
    </row>
    <row r="75" spans="1:42">
      <c r="A75" s="989">
        <v>69</v>
      </c>
      <c r="B75" s="990" t="s">
        <v>229</v>
      </c>
      <c r="C75" s="1174">
        <f>'Table 8 2.1.12 MFP Funded'!V72</f>
        <v>0</v>
      </c>
      <c r="D75" s="992">
        <f>'Table 3 Levels 1&amp;2'!AL76</f>
        <v>5520.7940729790862</v>
      </c>
      <c r="E75" s="1077">
        <f t="shared" si="60"/>
        <v>0</v>
      </c>
      <c r="F75" s="1077">
        <f>'Table 4 Level 3'!P74</f>
        <v>705.67</v>
      </c>
      <c r="G75" s="1077">
        <f t="shared" si="61"/>
        <v>0</v>
      </c>
      <c r="H75" s="1040">
        <f t="shared" si="62"/>
        <v>0</v>
      </c>
      <c r="I75" s="1420">
        <f>'[1]Oct midyear Intl_VIBE '!K75</f>
        <v>0</v>
      </c>
      <c r="J75" s="1420">
        <f>'[1]Feb midyear Intl_VIBE '!K75</f>
        <v>0</v>
      </c>
      <c r="K75" s="1420">
        <f t="shared" si="63"/>
        <v>0</v>
      </c>
      <c r="L75" s="1438">
        <f t="shared" si="64"/>
        <v>0</v>
      </c>
      <c r="M75" s="1087">
        <f t="shared" si="65"/>
        <v>0</v>
      </c>
      <c r="N75" s="1040">
        <f t="shared" si="66"/>
        <v>0</v>
      </c>
      <c r="O75" s="1040">
        <v>0</v>
      </c>
      <c r="P75" s="1040">
        <f t="shared" si="67"/>
        <v>0</v>
      </c>
      <c r="Q75" s="1040">
        <v>0</v>
      </c>
      <c r="R75" s="1040">
        <f t="shared" si="68"/>
        <v>0</v>
      </c>
      <c r="S75" s="1040">
        <f t="shared" si="69"/>
        <v>0</v>
      </c>
      <c r="T75" s="1029">
        <f>'[14]FY2012-13 Final'!D76</f>
        <v>2399</v>
      </c>
      <c r="U75" s="1041">
        <f t="shared" si="57"/>
        <v>0</v>
      </c>
      <c r="V75" s="1358">
        <f>'[20]Oct midyear Intl_VIBE '!E75</f>
        <v>0</v>
      </c>
      <c r="W75" s="1351">
        <f t="shared" si="70"/>
        <v>0</v>
      </c>
      <c r="X75" s="1476">
        <f>'[20]Feb midyear Intl_VIBE '!E75</f>
        <v>0</v>
      </c>
      <c r="Y75" s="1482">
        <f t="shared" si="71"/>
        <v>0</v>
      </c>
      <c r="Z75" s="1482">
        <f t="shared" si="72"/>
        <v>0</v>
      </c>
      <c r="AA75" s="1041">
        <f t="shared" si="73"/>
        <v>0</v>
      </c>
      <c r="AB75" s="1092">
        <f t="shared" si="74"/>
        <v>0</v>
      </c>
      <c r="AC75" s="1041">
        <f t="shared" si="75"/>
        <v>0</v>
      </c>
      <c r="AD75" s="1041">
        <v>0</v>
      </c>
      <c r="AE75" s="1041">
        <f t="shared" si="76"/>
        <v>0</v>
      </c>
      <c r="AF75" s="1041">
        <v>0</v>
      </c>
      <c r="AG75" s="1041">
        <f t="shared" si="77"/>
        <v>0</v>
      </c>
      <c r="AH75" s="1041">
        <f t="shared" si="78"/>
        <v>0</v>
      </c>
      <c r="AI75" s="1042">
        <f t="shared" si="58"/>
        <v>0</v>
      </c>
      <c r="AJ75" s="1042">
        <f t="shared" si="59"/>
        <v>0</v>
      </c>
      <c r="AK75" s="49"/>
      <c r="AL75" s="49">
        <f t="shared" si="79"/>
        <v>0</v>
      </c>
      <c r="AM75" s="49">
        <f>-'[22]Table 5C1C-Intl_VIBE'!AL75</f>
        <v>0</v>
      </c>
      <c r="AN75" s="49">
        <f>-'[21]Table 5C1C-Intl_VIBE'!P75</f>
        <v>0</v>
      </c>
      <c r="AO75" s="49">
        <f t="shared" si="80"/>
        <v>0</v>
      </c>
      <c r="AP75" s="49"/>
    </row>
    <row r="76" spans="1:42">
      <c r="A76" s="1191"/>
      <c r="B76" s="1192" t="s">
        <v>807</v>
      </c>
      <c r="C76" s="1203"/>
      <c r="D76" s="1194">
        <f>D62</f>
        <v>5076.2407002640311</v>
      </c>
      <c r="E76" s="1077">
        <f t="shared" si="60"/>
        <v>0</v>
      </c>
      <c r="F76" s="1359">
        <f>'Table 5B1_RSD_Orleans'!E112</f>
        <v>0</v>
      </c>
      <c r="G76" s="1077">
        <f t="shared" ref="G76" si="81">C76*F76</f>
        <v>0</v>
      </c>
      <c r="H76" s="1040">
        <f t="shared" ref="H76" si="82">E76+G76</f>
        <v>0</v>
      </c>
      <c r="I76" s="1420">
        <f>'[1]Oct midyear Intl_VIBE '!K76</f>
        <v>0</v>
      </c>
      <c r="J76" s="1420">
        <f>'[1]Feb midyear Intl_VIBE '!K76</f>
        <v>0</v>
      </c>
      <c r="K76" s="1420">
        <f t="shared" si="63"/>
        <v>0</v>
      </c>
      <c r="L76" s="1438">
        <f t="shared" si="64"/>
        <v>0</v>
      </c>
      <c r="M76" s="1087">
        <f t="shared" si="65"/>
        <v>0</v>
      </c>
      <c r="N76" s="1040">
        <f t="shared" si="66"/>
        <v>0</v>
      </c>
      <c r="O76" s="1040">
        <v>0</v>
      </c>
      <c r="P76" s="1040">
        <f t="shared" ref="P76" si="83">SUM(N76:O76)</f>
        <v>0</v>
      </c>
      <c r="Q76" s="1040">
        <f>317-32-32-32-32-32-32-31-31</f>
        <v>63</v>
      </c>
      <c r="R76" s="1040">
        <f t="shared" ref="R76" si="84">P76-Q76</f>
        <v>-63</v>
      </c>
      <c r="S76" s="1040">
        <f t="shared" si="69"/>
        <v>-31.5</v>
      </c>
      <c r="T76" s="1360"/>
      <c r="U76" s="1361"/>
      <c r="V76" s="1362"/>
      <c r="W76" s="1363"/>
      <c r="X76" s="1483"/>
      <c r="Y76" s="1363"/>
      <c r="Z76" s="1363"/>
      <c r="AA76" s="1361"/>
      <c r="AB76" s="1364"/>
      <c r="AC76" s="1361"/>
      <c r="AD76" s="1361"/>
      <c r="AE76" s="1361"/>
      <c r="AF76" s="1361"/>
      <c r="AG76" s="1361"/>
      <c r="AH76" s="1361"/>
      <c r="AI76" s="1042">
        <f t="shared" si="58"/>
        <v>0</v>
      </c>
      <c r="AJ76" s="1042">
        <f t="shared" si="59"/>
        <v>-31.5</v>
      </c>
      <c r="AK76" s="49"/>
      <c r="AL76" s="49">
        <f>SUM(AL7:AL75)</f>
        <v>-4594.4562500000002</v>
      </c>
      <c r="AM76" s="49">
        <f>SUM(AM7:AM75)</f>
        <v>4333.1824999999999</v>
      </c>
      <c r="AN76" s="49">
        <f t="shared" ref="AN76:AO76" si="85">SUM(AN7:AN75)</f>
        <v>3240.5649999999996</v>
      </c>
      <c r="AO76" s="49">
        <f t="shared" si="85"/>
        <v>-261.27374999999989</v>
      </c>
      <c r="AP76" s="49"/>
    </row>
    <row r="77" spans="1:42" ht="13.5" thickBot="1">
      <c r="A77" s="993"/>
      <c r="B77" s="994" t="s">
        <v>167</v>
      </c>
      <c r="C77" s="995">
        <f>SUM(C7:C76)</f>
        <v>309</v>
      </c>
      <c r="D77" s="996">
        <f>'Table 3 Levels 1&amp;2'!AL77</f>
        <v>4336.5032257801222</v>
      </c>
      <c r="E77" s="1078">
        <f>SUM(E7:E76)</f>
        <v>1056896.4016150117</v>
      </c>
      <c r="F77" s="1078">
        <f>'Table 4 Level 3'!P75</f>
        <v>703.90028204588873</v>
      </c>
      <c r="G77" s="1078">
        <f>SUM(G7:G76)</f>
        <v>233162.05945205482</v>
      </c>
      <c r="H77" s="997">
        <f t="shared" ref="H77:L77" si="86">SUM(H7:H76)</f>
        <v>1290058.4610670668</v>
      </c>
      <c r="I77" s="1421">
        <f t="shared" si="86"/>
        <v>456606.28845131083</v>
      </c>
      <c r="J77" s="1421">
        <f t="shared" si="86"/>
        <v>52658.554480663362</v>
      </c>
      <c r="K77" s="1421">
        <f t="shared" si="86"/>
        <v>509264.84293197421</v>
      </c>
      <c r="L77" s="1463">
        <f t="shared" si="86"/>
        <v>1799323.3039990407</v>
      </c>
      <c r="M77" s="1088">
        <f t="shared" ref="M77" si="87">SUM(M7:M76)</f>
        <v>-4498.3082599976015</v>
      </c>
      <c r="N77" s="997">
        <f t="shared" ref="N77" si="88">SUM(N7:N76)</f>
        <v>1794824.9957390435</v>
      </c>
      <c r="O77" s="1212">
        <f t="shared" ref="O77" si="89">SUM(O7:O76)</f>
        <v>-2567.7028599048972</v>
      </c>
      <c r="P77" s="997">
        <f t="shared" ref="P77" si="90">SUM(P7:P76)</f>
        <v>1792257.2928791386</v>
      </c>
      <c r="Q77" s="997">
        <f t="shared" ref="Q77" si="91">SUM(Q7:Q76)</f>
        <v>1509584</v>
      </c>
      <c r="R77" s="997">
        <f t="shared" ref="R77" si="92">SUM(R7:R76)</f>
        <v>282673.29287913832</v>
      </c>
      <c r="S77" s="997">
        <f t="shared" ref="S77" si="93">SUM(S7:S76)</f>
        <v>141336.64643956916</v>
      </c>
      <c r="T77" s="1043"/>
      <c r="U77" s="998">
        <f t="shared" ref="U77:AH77" si="94">SUM(U7:U75)</f>
        <v>1322253</v>
      </c>
      <c r="V77" s="1357">
        <f>SUM(V7:V75)</f>
        <v>109</v>
      </c>
      <c r="W77" s="1352">
        <f t="shared" ref="W77:AA77" si="95">SUM(W7:W75)</f>
        <v>463336</v>
      </c>
      <c r="X77" s="1484">
        <f>SUM(X7:X75)</f>
        <v>25</v>
      </c>
      <c r="Y77" s="1473">
        <f t="shared" si="95"/>
        <v>52193.5</v>
      </c>
      <c r="Z77" s="1473">
        <f t="shared" si="95"/>
        <v>515529.5</v>
      </c>
      <c r="AA77" s="998">
        <f t="shared" si="95"/>
        <v>1837782.5</v>
      </c>
      <c r="AB77" s="1093">
        <f t="shared" si="94"/>
        <v>-4594.4562500000002</v>
      </c>
      <c r="AC77" s="998">
        <f t="shared" si="94"/>
        <v>1833188.04375</v>
      </c>
      <c r="AD77" s="998">
        <f t="shared" si="94"/>
        <v>0</v>
      </c>
      <c r="AE77" s="998">
        <f t="shared" si="94"/>
        <v>1833188.04375</v>
      </c>
      <c r="AF77" s="998">
        <f t="shared" si="94"/>
        <v>1460248</v>
      </c>
      <c r="AG77" s="998">
        <f t="shared" si="94"/>
        <v>372940.04375000001</v>
      </c>
      <c r="AH77" s="998">
        <f t="shared" si="94"/>
        <v>186470.02187500001</v>
      </c>
      <c r="AI77" s="1388">
        <f>SUM(AI7:AI76)</f>
        <v>3625445.3366291379</v>
      </c>
      <c r="AJ77" s="1388">
        <f t="shared" si="59"/>
        <v>327806.66831456916</v>
      </c>
      <c r="AK77" s="49"/>
      <c r="AL77" s="49"/>
      <c r="AM77" s="49"/>
      <c r="AN77" s="49"/>
      <c r="AO77" s="49"/>
      <c r="AP77" s="49"/>
    </row>
    <row r="78" spans="1:42" ht="13.5" hidden="1" thickTop="1"/>
    <row r="79" spans="1:42" hidden="1">
      <c r="M79" s="804" t="s">
        <v>1416</v>
      </c>
      <c r="N79" s="49">
        <f>M77</f>
        <v>-4498.3082599976015</v>
      </c>
    </row>
    <row r="80" spans="1:42" hidden="1">
      <c r="M80" s="804" t="s">
        <v>1274</v>
      </c>
      <c r="N80" s="49">
        <f>-'[22]Table 5C1C-Intl_VIBE'!$N$79</f>
        <v>4547.0771763518869</v>
      </c>
    </row>
    <row r="81" spans="13:14" hidden="1">
      <c r="M81" s="804" t="s">
        <v>1275</v>
      </c>
      <c r="N81" s="49">
        <f>-'[21]Table 5C1C-Intl_VIBE'!$I$76</f>
        <v>3260.8341057989301</v>
      </c>
    </row>
    <row r="82" spans="13:14" hidden="1">
      <c r="M82" s="804" t="s">
        <v>1276</v>
      </c>
      <c r="N82" s="49">
        <f>SUM(N79:N80)</f>
        <v>48.768916354285466</v>
      </c>
    </row>
    <row r="83" spans="13:14" hidden="1"/>
    <row r="84" spans="13:14" ht="13.5" thickTop="1"/>
  </sheetData>
  <mergeCells count="31">
    <mergeCell ref="A2:B4"/>
    <mergeCell ref="C2:S2"/>
    <mergeCell ref="T2:AH2"/>
    <mergeCell ref="L3:L4"/>
    <mergeCell ref="V3:V4"/>
    <mergeCell ref="W3:W4"/>
    <mergeCell ref="AA3:AA4"/>
    <mergeCell ref="Q3:Q4"/>
    <mergeCell ref="R3:R4"/>
    <mergeCell ref="Y3:Y4"/>
    <mergeCell ref="X3:X4"/>
    <mergeCell ref="Z3:Z4"/>
    <mergeCell ref="P3:P4"/>
    <mergeCell ref="S3:S4"/>
    <mergeCell ref="T3:T4"/>
    <mergeCell ref="AI2:AI4"/>
    <mergeCell ref="AJ2:AJ4"/>
    <mergeCell ref="C3:C4"/>
    <mergeCell ref="D3:D4"/>
    <mergeCell ref="E3:E4"/>
    <mergeCell ref="F3:F4"/>
    <mergeCell ref="G3:G4"/>
    <mergeCell ref="AC3:AC4"/>
    <mergeCell ref="AD3:AD4"/>
    <mergeCell ref="AE3:AE4"/>
    <mergeCell ref="H3:H4"/>
    <mergeCell ref="N3:N4"/>
    <mergeCell ref="O3:O4"/>
    <mergeCell ref="I3:I4"/>
    <mergeCell ref="J3:J4"/>
    <mergeCell ref="K3:K4"/>
  </mergeCells>
  <pageMargins left="0.33" right="0.35" top="0.75" bottom="0.75" header="0.3" footer="0.3"/>
  <pageSetup paperSize="5" scale="63" firstPageNumber="54" orientation="portrait" useFirstPageNumber="1" r:id="rId1"/>
  <headerFooter>
    <oddHeader xml:space="preserve">&amp;L&amp;"Arial,Bold"&amp;20Table 5C1-C: FY2012-13 MFP Budget Letter (May 2013)
International High School of New Orleans </oddHeader>
    <oddFooter>&amp;R&amp;P</oddFooter>
  </headerFooter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3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0.140625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2" bestFit="1" customWidth="1"/>
    <col min="15" max="15" width="15.5703125" customWidth="1"/>
    <col min="16" max="18" width="14" customWidth="1"/>
    <col min="19" max="19" width="9" bestFit="1" customWidth="1"/>
    <col min="20" max="20" width="15.42578125" bestFit="1" customWidth="1"/>
    <col min="21" max="21" width="10.140625" bestFit="1" customWidth="1"/>
    <col min="22" max="26" width="13.42578125" customWidth="1"/>
    <col min="27" max="27" width="12" bestFit="1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3.140625" customWidth="1"/>
    <col min="38" max="41" width="0" hidden="1" customWidth="1"/>
    <col min="44" max="44" width="10.5703125" bestFit="1" customWidth="1"/>
  </cols>
  <sheetData>
    <row r="1" spans="1:41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1" ht="45" customHeight="1">
      <c r="A2" s="2046" t="s">
        <v>1009</v>
      </c>
      <c r="B2" s="2047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1" ht="123" customHeight="1">
      <c r="A3" s="2048"/>
      <c r="B3" s="2049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1917" t="s">
        <v>1265</v>
      </c>
      <c r="U3" s="1338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409" t="s">
        <v>724</v>
      </c>
      <c r="AC3" s="1917" t="s">
        <v>725</v>
      </c>
      <c r="AD3" s="1917" t="s">
        <v>990</v>
      </c>
      <c r="AE3" s="1917" t="s">
        <v>1122</v>
      </c>
      <c r="AF3" s="2033" t="s">
        <v>1330</v>
      </c>
      <c r="AG3" s="2033" t="s">
        <v>1403</v>
      </c>
      <c r="AH3" s="2033" t="s">
        <v>1217</v>
      </c>
      <c r="AI3" s="1915"/>
      <c r="AJ3" s="1915"/>
    </row>
    <row r="4" spans="1:41" ht="34.5" customHeight="1">
      <c r="A4" s="2050"/>
      <c r="B4" s="2051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200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1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</row>
    <row r="6" spans="1:41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1">
      <c r="A7" s="968">
        <v>1</v>
      </c>
      <c r="B7" s="969" t="s">
        <v>102</v>
      </c>
      <c r="C7" s="970">
        <f>'Table 8 2.1.12 MFP Funded'!Z4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NOMMA'!K7</f>
        <v>0</v>
      </c>
      <c r="J7" s="1414">
        <f>'[1]Feb midyear NOMMA'!K7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Final'!K8</f>
        <v>2115</v>
      </c>
      <c r="U7" s="973">
        <f t="shared" ref="U7:U38" si="30">C7*T7</f>
        <v>0</v>
      </c>
      <c r="V7" s="1354">
        <f>'[20]Oct midyear NOMMA'!E7</f>
        <v>0</v>
      </c>
      <c r="W7" s="1444">
        <f>V7*T7</f>
        <v>0</v>
      </c>
      <c r="X7" s="1466">
        <f>'[20]Feb midyear NOMMA'!E7</f>
        <v>0</v>
      </c>
      <c r="Y7" s="1444">
        <f>X7*(T7*0.5)</f>
        <v>0</v>
      </c>
      <c r="Z7" s="1444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v>0</v>
      </c>
      <c r="AG7" s="973">
        <f>AE7-AF7</f>
        <v>0</v>
      </c>
      <c r="AH7" s="973">
        <f>AG7/2</f>
        <v>0</v>
      </c>
      <c r="AI7" s="974">
        <f t="shared" ref="AI7:AI38" si="31">P7+AE7</f>
        <v>0</v>
      </c>
      <c r="AJ7" s="974">
        <f t="shared" ref="AJ7:AJ38" si="32">S7+AH7</f>
        <v>0</v>
      </c>
      <c r="AL7" s="1542">
        <f>AB7</f>
        <v>0</v>
      </c>
      <c r="AM7" s="1542">
        <f>-'[22]Table 5C1D-NOMMA'!AL7</f>
        <v>0</v>
      </c>
      <c r="AN7" s="49">
        <f>-'[21]Table 5C1D-NOMMA'!P7</f>
        <v>0</v>
      </c>
      <c r="AO7" s="1542">
        <f>SUM(AL7:AM7)</f>
        <v>0</v>
      </c>
    </row>
    <row r="8" spans="1:41">
      <c r="A8" s="975">
        <v>2</v>
      </c>
      <c r="B8" s="976" t="s">
        <v>103</v>
      </c>
      <c r="C8" s="1168">
        <f>'Table 8 2.1.12 MFP Funded'!Z5</f>
        <v>0</v>
      </c>
      <c r="D8" s="978">
        <f>'Table 3 Levels 1&amp;2'!AL9</f>
        <v>6149.545926426621</v>
      </c>
      <c r="E8" s="1072">
        <f t="shared" ref="E8:E71" si="33">C8*D8</f>
        <v>0</v>
      </c>
      <c r="F8" s="1072">
        <f>'Table 4 Level 3'!P7</f>
        <v>842.32</v>
      </c>
      <c r="G8" s="1072">
        <f t="shared" ref="G8:G71" si="34">C8*F8</f>
        <v>0</v>
      </c>
      <c r="H8" s="1030">
        <f t="shared" ref="H8:H71" si="35">E8+G8</f>
        <v>0</v>
      </c>
      <c r="I8" s="1415">
        <f>'[1]Oct midyear NOMMA'!K8</f>
        <v>0</v>
      </c>
      <c r="J8" s="1415">
        <f>'[1]Feb midyear NOMMA'!K8</f>
        <v>0</v>
      </c>
      <c r="K8" s="1415">
        <f t="shared" ref="K8:K71" si="36">I8+J8</f>
        <v>0</v>
      </c>
      <c r="L8" s="1434">
        <f t="shared" ref="L8:L71" si="37">H8+K8</f>
        <v>0</v>
      </c>
      <c r="M8" s="1082">
        <f t="shared" ref="M8:M71" si="38">-(0.25%*L8)</f>
        <v>0</v>
      </c>
      <c r="N8" s="1030">
        <f t="shared" ref="N8:N71" si="39">SUM(L8:M8)</f>
        <v>0</v>
      </c>
      <c r="O8" s="1030">
        <v>0</v>
      </c>
      <c r="P8" s="1030">
        <f t="shared" ref="P8:P71" si="40">SUM(N8:O8)</f>
        <v>0</v>
      </c>
      <c r="Q8" s="1030">
        <v>0</v>
      </c>
      <c r="R8" s="1030">
        <f t="shared" ref="R8:R71" si="41">P8-Q8</f>
        <v>0</v>
      </c>
      <c r="S8" s="1030">
        <f t="shared" ref="S8:S71" si="42">R8/2</f>
        <v>0</v>
      </c>
      <c r="T8" s="1029">
        <f>'[14]FY2012-13 Final'!K9</f>
        <v>2584</v>
      </c>
      <c r="U8" s="1031">
        <f t="shared" si="30"/>
        <v>0</v>
      </c>
      <c r="V8" s="1464">
        <f>'[20]Oct midyear NOMMA'!E8</f>
        <v>0</v>
      </c>
      <c r="W8" s="1443">
        <f t="shared" ref="W8:W71" si="43">V8*T8</f>
        <v>0</v>
      </c>
      <c r="X8" s="1474">
        <f>'[20]Feb midyear NOMMA'!E8</f>
        <v>0</v>
      </c>
      <c r="Y8" s="1470">
        <f t="shared" ref="Y8:Y71" si="44">X8*(T8*0.5)</f>
        <v>0</v>
      </c>
      <c r="Z8" s="1470">
        <f t="shared" ref="Z8:Z71" si="45">W8+Y8</f>
        <v>0</v>
      </c>
      <c r="AA8" s="1031">
        <f t="shared" ref="AA8:AA71" si="46">U8+Z8</f>
        <v>0</v>
      </c>
      <c r="AB8" s="1090">
        <f t="shared" ref="AB8:AB71" si="47">-(0.25%*AA8)</f>
        <v>0</v>
      </c>
      <c r="AC8" s="1031">
        <f t="shared" ref="AC8:AC71" si="48">SUM(AA8:AB8)</f>
        <v>0</v>
      </c>
      <c r="AD8" s="1031">
        <v>0</v>
      </c>
      <c r="AE8" s="1031">
        <f t="shared" ref="AE8:AE71" si="49">SUM(AC8:AD8)</f>
        <v>0</v>
      </c>
      <c r="AF8" s="1031">
        <v>0</v>
      </c>
      <c r="AG8" s="1031">
        <f t="shared" ref="AG8:AG71" si="50">AE8-AF8</f>
        <v>0</v>
      </c>
      <c r="AH8" s="1031">
        <f t="shared" ref="AH8:AH71" si="51">AG8/2</f>
        <v>0</v>
      </c>
      <c r="AI8" s="1032">
        <f t="shared" si="31"/>
        <v>0</v>
      </c>
      <c r="AJ8" s="1032">
        <f t="shared" si="32"/>
        <v>0</v>
      </c>
      <c r="AL8" s="49">
        <f t="shared" ref="AL8:AL71" si="52">AB8</f>
        <v>0</v>
      </c>
      <c r="AM8" s="49">
        <f>-'[22]Table 5C1D-NOMMA'!AL8</f>
        <v>0</v>
      </c>
      <c r="AN8">
        <f>-'[21]Table 5C1D-NOMMA'!P8</f>
        <v>0</v>
      </c>
      <c r="AO8" s="49">
        <f t="shared" ref="AO8:AO71" si="53">SUM(AL8:AM8)</f>
        <v>0</v>
      </c>
    </row>
    <row r="9" spans="1:41">
      <c r="A9" s="975">
        <v>3</v>
      </c>
      <c r="B9" s="976" t="s">
        <v>104</v>
      </c>
      <c r="C9" s="1168">
        <f>'Table 8 2.1.12 MFP Funded'!Z6</f>
        <v>0</v>
      </c>
      <c r="D9" s="978">
        <f>'Table 3 Levels 1&amp;2'!AL10</f>
        <v>4340.9401078757892</v>
      </c>
      <c r="E9" s="1072">
        <f t="shared" si="33"/>
        <v>0</v>
      </c>
      <c r="F9" s="1072">
        <f>'Table 4 Level 3'!P8</f>
        <v>596.84</v>
      </c>
      <c r="G9" s="1072">
        <f t="shared" si="34"/>
        <v>0</v>
      </c>
      <c r="H9" s="1030">
        <f t="shared" si="35"/>
        <v>0</v>
      </c>
      <c r="I9" s="1415">
        <f>'[1]Oct midyear NOMMA'!K9</f>
        <v>0</v>
      </c>
      <c r="J9" s="1415">
        <f>'[1]Feb midyear NOMMA'!K9</f>
        <v>0</v>
      </c>
      <c r="K9" s="1415">
        <f t="shared" si="36"/>
        <v>0</v>
      </c>
      <c r="L9" s="1434">
        <f t="shared" si="37"/>
        <v>0</v>
      </c>
      <c r="M9" s="1082">
        <f t="shared" si="38"/>
        <v>0</v>
      </c>
      <c r="N9" s="1030">
        <f t="shared" si="39"/>
        <v>0</v>
      </c>
      <c r="O9" s="1030">
        <v>0</v>
      </c>
      <c r="P9" s="1030">
        <f t="shared" si="40"/>
        <v>0</v>
      </c>
      <c r="Q9" s="1030">
        <v>0</v>
      </c>
      <c r="R9" s="1030">
        <f t="shared" si="41"/>
        <v>0</v>
      </c>
      <c r="S9" s="1030">
        <f t="shared" si="42"/>
        <v>0</v>
      </c>
      <c r="T9" s="1029">
        <f>'[14]FY2012-13 Final'!K10</f>
        <v>4977</v>
      </c>
      <c r="U9" s="1031">
        <f t="shared" si="30"/>
        <v>0</v>
      </c>
      <c r="V9" s="1464">
        <f>'[20]Oct midyear NOMMA'!E9</f>
        <v>0</v>
      </c>
      <c r="W9" s="1443">
        <f t="shared" si="43"/>
        <v>0</v>
      </c>
      <c r="X9" s="1474">
        <f>'[20]Feb midyear NOMMA'!E9</f>
        <v>0</v>
      </c>
      <c r="Y9" s="1470">
        <f t="shared" si="44"/>
        <v>0</v>
      </c>
      <c r="Z9" s="1470">
        <f t="shared" si="45"/>
        <v>0</v>
      </c>
      <c r="AA9" s="1031">
        <f t="shared" si="46"/>
        <v>0</v>
      </c>
      <c r="AB9" s="1090">
        <f t="shared" si="47"/>
        <v>0</v>
      </c>
      <c r="AC9" s="1031">
        <f t="shared" si="48"/>
        <v>0</v>
      </c>
      <c r="AD9" s="1031">
        <v>0</v>
      </c>
      <c r="AE9" s="1031">
        <f t="shared" si="49"/>
        <v>0</v>
      </c>
      <c r="AF9" s="1031">
        <v>0</v>
      </c>
      <c r="AG9" s="1031">
        <f t="shared" si="50"/>
        <v>0</v>
      </c>
      <c r="AH9" s="1031">
        <f t="shared" si="51"/>
        <v>0</v>
      </c>
      <c r="AI9" s="1032">
        <f t="shared" si="31"/>
        <v>0</v>
      </c>
      <c r="AJ9" s="1032">
        <f t="shared" si="32"/>
        <v>0</v>
      </c>
      <c r="AL9" s="49">
        <f t="shared" si="52"/>
        <v>0</v>
      </c>
      <c r="AM9" s="49">
        <f>-'[22]Table 5C1D-NOMMA'!AL9</f>
        <v>0</v>
      </c>
      <c r="AN9">
        <f>-'[21]Table 5C1D-NOMMA'!P9</f>
        <v>0</v>
      </c>
      <c r="AO9" s="49">
        <f t="shared" si="53"/>
        <v>0</v>
      </c>
    </row>
    <row r="10" spans="1:41">
      <c r="A10" s="975">
        <v>4</v>
      </c>
      <c r="B10" s="976" t="s">
        <v>105</v>
      </c>
      <c r="C10" s="1168">
        <f>'Table 8 2.1.12 MFP Funded'!Z7</f>
        <v>0</v>
      </c>
      <c r="D10" s="978">
        <f>'Table 3 Levels 1&amp;2'!AL11</f>
        <v>6077.3708498182023</v>
      </c>
      <c r="E10" s="1072">
        <f t="shared" si="33"/>
        <v>0</v>
      </c>
      <c r="F10" s="1072">
        <f>'Table 4 Level 3'!P9</f>
        <v>585.76</v>
      </c>
      <c r="G10" s="1072">
        <f t="shared" si="34"/>
        <v>0</v>
      </c>
      <c r="H10" s="1030">
        <f t="shared" si="35"/>
        <v>0</v>
      </c>
      <c r="I10" s="1415">
        <f>'[1]Oct midyear NOMMA'!K10</f>
        <v>0</v>
      </c>
      <c r="J10" s="1415">
        <f>'[1]Feb midyear NOMMA'!K10</f>
        <v>0</v>
      </c>
      <c r="K10" s="1415">
        <f t="shared" si="36"/>
        <v>0</v>
      </c>
      <c r="L10" s="1434">
        <f t="shared" si="37"/>
        <v>0</v>
      </c>
      <c r="M10" s="1082">
        <f t="shared" si="38"/>
        <v>0</v>
      </c>
      <c r="N10" s="1030">
        <f t="shared" si="39"/>
        <v>0</v>
      </c>
      <c r="O10" s="1030">
        <v>0</v>
      </c>
      <c r="P10" s="1030">
        <f t="shared" si="40"/>
        <v>0</v>
      </c>
      <c r="Q10" s="1030">
        <v>0</v>
      </c>
      <c r="R10" s="1030">
        <f t="shared" si="41"/>
        <v>0</v>
      </c>
      <c r="S10" s="1030">
        <f t="shared" si="42"/>
        <v>0</v>
      </c>
      <c r="T10" s="1029">
        <f>'[14]FY2012-13 Final'!K11</f>
        <v>3455</v>
      </c>
      <c r="U10" s="1031">
        <f t="shared" si="30"/>
        <v>0</v>
      </c>
      <c r="V10" s="1464">
        <f>'[20]Oct midyear NOMMA'!E10</f>
        <v>0</v>
      </c>
      <c r="W10" s="1443">
        <f t="shared" si="43"/>
        <v>0</v>
      </c>
      <c r="X10" s="1474">
        <f>'[20]Feb midyear NOMMA'!E10</f>
        <v>0</v>
      </c>
      <c r="Y10" s="1470">
        <f t="shared" si="44"/>
        <v>0</v>
      </c>
      <c r="Z10" s="1470">
        <f t="shared" si="45"/>
        <v>0</v>
      </c>
      <c r="AA10" s="1031">
        <f t="shared" si="46"/>
        <v>0</v>
      </c>
      <c r="AB10" s="1090">
        <f t="shared" si="47"/>
        <v>0</v>
      </c>
      <c r="AC10" s="1031">
        <f t="shared" si="48"/>
        <v>0</v>
      </c>
      <c r="AD10" s="1031">
        <v>0</v>
      </c>
      <c r="AE10" s="1031">
        <f t="shared" si="49"/>
        <v>0</v>
      </c>
      <c r="AF10" s="1031">
        <v>0</v>
      </c>
      <c r="AG10" s="1031">
        <f t="shared" si="50"/>
        <v>0</v>
      </c>
      <c r="AH10" s="1031">
        <f t="shared" si="51"/>
        <v>0</v>
      </c>
      <c r="AI10" s="1032">
        <f t="shared" si="31"/>
        <v>0</v>
      </c>
      <c r="AJ10" s="1032">
        <f t="shared" si="32"/>
        <v>0</v>
      </c>
      <c r="AL10" s="49">
        <f t="shared" si="52"/>
        <v>0</v>
      </c>
      <c r="AM10" s="49">
        <f>-'[22]Table 5C1D-NOMMA'!AL10</f>
        <v>0</v>
      </c>
      <c r="AN10">
        <f>-'[21]Table 5C1D-NOMMA'!P10</f>
        <v>0</v>
      </c>
      <c r="AO10" s="49">
        <f t="shared" si="53"/>
        <v>0</v>
      </c>
    </row>
    <row r="11" spans="1:41">
      <c r="A11" s="979">
        <v>5</v>
      </c>
      <c r="B11" s="980" t="s">
        <v>106</v>
      </c>
      <c r="C11" s="1169">
        <f>'Table 8 2.1.12 MFP Funded'!Z8</f>
        <v>0</v>
      </c>
      <c r="D11" s="982">
        <f>'Table 3 Levels 1&amp;2'!AL12</f>
        <v>4878.1095033692254</v>
      </c>
      <c r="E11" s="1073">
        <f t="shared" si="33"/>
        <v>0</v>
      </c>
      <c r="F11" s="1073">
        <f>'Table 4 Level 3'!P10</f>
        <v>555.91</v>
      </c>
      <c r="G11" s="1073">
        <f t="shared" si="34"/>
        <v>0</v>
      </c>
      <c r="H11" s="1033">
        <f t="shared" si="35"/>
        <v>0</v>
      </c>
      <c r="I11" s="1416">
        <f>'[1]Oct midyear NOMMA'!K11</f>
        <v>0</v>
      </c>
      <c r="J11" s="1416">
        <f>'[1]Feb midyear NOMMA'!K11</f>
        <v>0</v>
      </c>
      <c r="K11" s="1416">
        <f t="shared" si="36"/>
        <v>0</v>
      </c>
      <c r="L11" s="1435">
        <f t="shared" si="37"/>
        <v>0</v>
      </c>
      <c r="M11" s="1083">
        <f t="shared" si="38"/>
        <v>0</v>
      </c>
      <c r="N11" s="1033">
        <f t="shared" si="39"/>
        <v>0</v>
      </c>
      <c r="O11" s="1033">
        <v>0</v>
      </c>
      <c r="P11" s="1033">
        <f t="shared" si="40"/>
        <v>0</v>
      </c>
      <c r="Q11" s="1033">
        <v>0</v>
      </c>
      <c r="R11" s="1033">
        <f t="shared" si="41"/>
        <v>0</v>
      </c>
      <c r="S11" s="1033">
        <f t="shared" si="42"/>
        <v>0</v>
      </c>
      <c r="T11" s="1034">
        <f>'[14]FY2012-13 Final'!K12</f>
        <v>1515</v>
      </c>
      <c r="U11" s="1035">
        <f t="shared" si="30"/>
        <v>0</v>
      </c>
      <c r="V11" s="1465">
        <f>'[20]Oct midyear NOMMA'!E11</f>
        <v>0</v>
      </c>
      <c r="W11" s="1445">
        <f t="shared" si="43"/>
        <v>0</v>
      </c>
      <c r="X11" s="1475">
        <f>'[20]Feb midyear NOMMA'!E11</f>
        <v>0</v>
      </c>
      <c r="Y11" s="1471">
        <f t="shared" si="44"/>
        <v>0</v>
      </c>
      <c r="Z11" s="1471">
        <f t="shared" si="45"/>
        <v>0</v>
      </c>
      <c r="AA11" s="1035">
        <f t="shared" si="46"/>
        <v>0</v>
      </c>
      <c r="AB11" s="1091">
        <f t="shared" si="47"/>
        <v>0</v>
      </c>
      <c r="AC11" s="1035">
        <f t="shared" si="48"/>
        <v>0</v>
      </c>
      <c r="AD11" s="1035">
        <v>0</v>
      </c>
      <c r="AE11" s="1035">
        <f t="shared" si="49"/>
        <v>0</v>
      </c>
      <c r="AF11" s="1035">
        <v>0</v>
      </c>
      <c r="AG11" s="1035">
        <f t="shared" si="50"/>
        <v>0</v>
      </c>
      <c r="AH11" s="1035">
        <f t="shared" si="51"/>
        <v>0</v>
      </c>
      <c r="AI11" s="1036">
        <f t="shared" si="31"/>
        <v>0</v>
      </c>
      <c r="AJ11" s="1036">
        <f t="shared" si="32"/>
        <v>0</v>
      </c>
      <c r="AL11" s="49">
        <f t="shared" si="52"/>
        <v>0</v>
      </c>
      <c r="AM11" s="49">
        <f>-'[22]Table 5C1D-NOMMA'!AL11</f>
        <v>0</v>
      </c>
      <c r="AN11">
        <f>-'[21]Table 5C1D-NOMMA'!P11</f>
        <v>0</v>
      </c>
      <c r="AO11" s="49">
        <f t="shared" si="53"/>
        <v>0</v>
      </c>
    </row>
    <row r="12" spans="1:41">
      <c r="A12" s="968">
        <v>6</v>
      </c>
      <c r="B12" s="969" t="s">
        <v>107</v>
      </c>
      <c r="C12" s="1170">
        <f>'Table 8 2.1.12 MFP Funded'!Z9</f>
        <v>0</v>
      </c>
      <c r="D12" s="971">
        <f>'Table 3 Levels 1&amp;2'!AL13</f>
        <v>5550.1901239384006</v>
      </c>
      <c r="E12" s="1071">
        <f t="shared" si="33"/>
        <v>0</v>
      </c>
      <c r="F12" s="1071">
        <f>'Table 4 Level 3'!P11</f>
        <v>545.4799999999999</v>
      </c>
      <c r="G12" s="1071">
        <f t="shared" si="34"/>
        <v>0</v>
      </c>
      <c r="H12" s="972">
        <f t="shared" si="35"/>
        <v>0</v>
      </c>
      <c r="I12" s="1414">
        <f>'[1]Oct midyear NOMMA'!K12</f>
        <v>0</v>
      </c>
      <c r="J12" s="1414">
        <f>'[1]Feb midyear NOMMA'!K12</f>
        <v>0</v>
      </c>
      <c r="K12" s="1414">
        <f t="shared" si="36"/>
        <v>0</v>
      </c>
      <c r="L12" s="1213">
        <f t="shared" si="37"/>
        <v>0</v>
      </c>
      <c r="M12" s="1081">
        <f t="shared" si="38"/>
        <v>0</v>
      </c>
      <c r="N12" s="972">
        <f t="shared" si="39"/>
        <v>0</v>
      </c>
      <c r="O12" s="972">
        <v>0</v>
      </c>
      <c r="P12" s="972">
        <f t="shared" si="40"/>
        <v>0</v>
      </c>
      <c r="Q12" s="972">
        <v>0</v>
      </c>
      <c r="R12" s="972">
        <f t="shared" si="41"/>
        <v>0</v>
      </c>
      <c r="S12" s="972">
        <f t="shared" si="42"/>
        <v>0</v>
      </c>
      <c r="T12" s="1029">
        <f>'[14]FY2012-13 Final'!K13</f>
        <v>3579</v>
      </c>
      <c r="U12" s="973">
        <f t="shared" si="30"/>
        <v>0</v>
      </c>
      <c r="V12" s="1466">
        <f>'[20]Oct midyear NOMMA'!E12</f>
        <v>0</v>
      </c>
      <c r="W12" s="1444">
        <f t="shared" si="43"/>
        <v>0</v>
      </c>
      <c r="X12" s="1466">
        <f>'[20]Feb midyear NOMMA'!E12</f>
        <v>0</v>
      </c>
      <c r="Y12" s="1444">
        <f t="shared" si="44"/>
        <v>0</v>
      </c>
      <c r="Z12" s="1444">
        <f t="shared" si="45"/>
        <v>0</v>
      </c>
      <c r="AA12" s="973">
        <f t="shared" si="46"/>
        <v>0</v>
      </c>
      <c r="AB12" s="1089">
        <f t="shared" si="47"/>
        <v>0</v>
      </c>
      <c r="AC12" s="973">
        <f t="shared" si="48"/>
        <v>0</v>
      </c>
      <c r="AD12" s="973">
        <v>0</v>
      </c>
      <c r="AE12" s="973">
        <f t="shared" si="49"/>
        <v>0</v>
      </c>
      <c r="AF12" s="973">
        <v>0</v>
      </c>
      <c r="AG12" s="973">
        <f t="shared" si="50"/>
        <v>0</v>
      </c>
      <c r="AH12" s="973">
        <f t="shared" si="51"/>
        <v>0</v>
      </c>
      <c r="AI12" s="974">
        <f t="shared" si="31"/>
        <v>0</v>
      </c>
      <c r="AJ12" s="974">
        <f t="shared" si="32"/>
        <v>0</v>
      </c>
      <c r="AL12" s="49">
        <f t="shared" si="52"/>
        <v>0</v>
      </c>
      <c r="AM12" s="49">
        <f>-'[22]Table 5C1D-NOMMA'!AL12</f>
        <v>0</v>
      </c>
      <c r="AN12">
        <f>-'[21]Table 5C1D-NOMMA'!P12</f>
        <v>0</v>
      </c>
      <c r="AO12" s="49">
        <f t="shared" si="53"/>
        <v>0</v>
      </c>
    </row>
    <row r="13" spans="1:41">
      <c r="A13" s="975">
        <v>7</v>
      </c>
      <c r="B13" s="976" t="s">
        <v>108</v>
      </c>
      <c r="C13" s="1168">
        <f>'Table 8 2.1.12 MFP Funded'!Z10</f>
        <v>0</v>
      </c>
      <c r="D13" s="978">
        <f>'Table 3 Levels 1&amp;2'!AL14</f>
        <v>1550.5347159603245</v>
      </c>
      <c r="E13" s="1072">
        <f t="shared" si="33"/>
        <v>0</v>
      </c>
      <c r="F13" s="1072">
        <f>'Table 4 Level 3'!P12</f>
        <v>756.91999999999985</v>
      </c>
      <c r="G13" s="1072">
        <f t="shared" si="34"/>
        <v>0</v>
      </c>
      <c r="H13" s="1030">
        <f t="shared" si="35"/>
        <v>0</v>
      </c>
      <c r="I13" s="1415">
        <f>'[1]Oct midyear NOMMA'!K13</f>
        <v>0</v>
      </c>
      <c r="J13" s="1415">
        <f>'[1]Feb midyear NOMMA'!K13</f>
        <v>0</v>
      </c>
      <c r="K13" s="1415">
        <f t="shared" si="36"/>
        <v>0</v>
      </c>
      <c r="L13" s="1434">
        <f t="shared" si="37"/>
        <v>0</v>
      </c>
      <c r="M13" s="1082">
        <f t="shared" si="38"/>
        <v>0</v>
      </c>
      <c r="N13" s="1030">
        <f t="shared" si="39"/>
        <v>0</v>
      </c>
      <c r="O13" s="1030">
        <v>0</v>
      </c>
      <c r="P13" s="1030">
        <f t="shared" si="40"/>
        <v>0</v>
      </c>
      <c r="Q13" s="1030">
        <v>0</v>
      </c>
      <c r="R13" s="1030">
        <f t="shared" si="41"/>
        <v>0</v>
      </c>
      <c r="S13" s="1030">
        <f t="shared" si="42"/>
        <v>0</v>
      </c>
      <c r="T13" s="1029">
        <f>'[14]FY2012-13 Final'!K14</f>
        <v>12483</v>
      </c>
      <c r="U13" s="1031">
        <f t="shared" si="30"/>
        <v>0</v>
      </c>
      <c r="V13" s="1464">
        <f>'[20]Oct midyear NOMMA'!E13</f>
        <v>0</v>
      </c>
      <c r="W13" s="1443">
        <f t="shared" si="43"/>
        <v>0</v>
      </c>
      <c r="X13" s="1474">
        <f>'[20]Feb midyear NOMMA'!E13</f>
        <v>0</v>
      </c>
      <c r="Y13" s="1470">
        <f t="shared" si="44"/>
        <v>0</v>
      </c>
      <c r="Z13" s="1470">
        <f t="shared" si="45"/>
        <v>0</v>
      </c>
      <c r="AA13" s="1031">
        <f t="shared" si="46"/>
        <v>0</v>
      </c>
      <c r="AB13" s="1090">
        <f t="shared" si="47"/>
        <v>0</v>
      </c>
      <c r="AC13" s="1031">
        <f t="shared" si="48"/>
        <v>0</v>
      </c>
      <c r="AD13" s="1031">
        <v>0</v>
      </c>
      <c r="AE13" s="1031">
        <f t="shared" si="49"/>
        <v>0</v>
      </c>
      <c r="AF13" s="1031">
        <v>0</v>
      </c>
      <c r="AG13" s="1031">
        <f t="shared" si="50"/>
        <v>0</v>
      </c>
      <c r="AH13" s="1031">
        <f t="shared" si="51"/>
        <v>0</v>
      </c>
      <c r="AI13" s="1032">
        <f t="shared" si="31"/>
        <v>0</v>
      </c>
      <c r="AJ13" s="1032">
        <f t="shared" si="32"/>
        <v>0</v>
      </c>
      <c r="AL13" s="49">
        <f t="shared" si="52"/>
        <v>0</v>
      </c>
      <c r="AM13" s="49">
        <f>-'[22]Table 5C1D-NOMMA'!AL13</f>
        <v>0</v>
      </c>
      <c r="AN13">
        <f>-'[21]Table 5C1D-NOMMA'!P13</f>
        <v>0</v>
      </c>
      <c r="AO13" s="49">
        <f t="shared" si="53"/>
        <v>0</v>
      </c>
    </row>
    <row r="14" spans="1:41">
      <c r="A14" s="975">
        <v>8</v>
      </c>
      <c r="B14" s="976" t="s">
        <v>109</v>
      </c>
      <c r="C14" s="1168">
        <f>'Table 8 2.1.12 MFP Funded'!Z11</f>
        <v>0</v>
      </c>
      <c r="D14" s="978">
        <f>'Table 3 Levels 1&amp;2'!AL15</f>
        <v>4054.7459475361657</v>
      </c>
      <c r="E14" s="1072">
        <f t="shared" si="33"/>
        <v>0</v>
      </c>
      <c r="F14" s="1072">
        <f>'Table 4 Level 3'!P13</f>
        <v>725.76</v>
      </c>
      <c r="G14" s="1072">
        <f t="shared" si="34"/>
        <v>0</v>
      </c>
      <c r="H14" s="1030">
        <f t="shared" si="35"/>
        <v>0</v>
      </c>
      <c r="I14" s="1415">
        <f>'[1]Oct midyear NOMMA'!K14</f>
        <v>0</v>
      </c>
      <c r="J14" s="1415">
        <f>'[1]Feb midyear NOMMA'!K14</f>
        <v>0</v>
      </c>
      <c r="K14" s="1415">
        <f t="shared" si="36"/>
        <v>0</v>
      </c>
      <c r="L14" s="1434">
        <f t="shared" si="37"/>
        <v>0</v>
      </c>
      <c r="M14" s="1082">
        <f t="shared" si="38"/>
        <v>0</v>
      </c>
      <c r="N14" s="1030">
        <f t="shared" si="39"/>
        <v>0</v>
      </c>
      <c r="O14" s="1030">
        <v>0</v>
      </c>
      <c r="P14" s="1030">
        <f t="shared" si="40"/>
        <v>0</v>
      </c>
      <c r="Q14" s="1030">
        <v>0</v>
      </c>
      <c r="R14" s="1434">
        <f t="shared" si="41"/>
        <v>0</v>
      </c>
      <c r="S14" s="1434">
        <f t="shared" si="42"/>
        <v>0</v>
      </c>
      <c r="T14" s="1029">
        <f>'[14]FY2012-13 Final'!K15</f>
        <v>4187</v>
      </c>
      <c r="U14" s="1031">
        <f t="shared" si="30"/>
        <v>0</v>
      </c>
      <c r="V14" s="1464">
        <f>'[20]Oct midyear NOMMA'!E14</f>
        <v>0</v>
      </c>
      <c r="W14" s="1443">
        <f t="shared" si="43"/>
        <v>0</v>
      </c>
      <c r="X14" s="1474">
        <f>'[20]Feb midyear NOMMA'!E14</f>
        <v>0</v>
      </c>
      <c r="Y14" s="1470">
        <f t="shared" si="44"/>
        <v>0</v>
      </c>
      <c r="Z14" s="1470">
        <f t="shared" si="45"/>
        <v>0</v>
      </c>
      <c r="AA14" s="1031">
        <f t="shared" si="46"/>
        <v>0</v>
      </c>
      <c r="AB14" s="1090">
        <f t="shared" si="47"/>
        <v>0</v>
      </c>
      <c r="AC14" s="1031">
        <f t="shared" si="48"/>
        <v>0</v>
      </c>
      <c r="AD14" s="1031">
        <v>0</v>
      </c>
      <c r="AE14" s="1031">
        <f t="shared" si="49"/>
        <v>0</v>
      </c>
      <c r="AF14" s="1031">
        <v>0</v>
      </c>
      <c r="AG14" s="1031">
        <f t="shared" si="50"/>
        <v>0</v>
      </c>
      <c r="AH14" s="1031">
        <f t="shared" si="51"/>
        <v>0</v>
      </c>
      <c r="AI14" s="1032">
        <f t="shared" si="31"/>
        <v>0</v>
      </c>
      <c r="AJ14" s="1032">
        <f t="shared" si="32"/>
        <v>0</v>
      </c>
      <c r="AL14" s="49">
        <f t="shared" si="52"/>
        <v>0</v>
      </c>
      <c r="AM14" s="49">
        <f>-'[22]Table 5C1D-NOMMA'!AL14</f>
        <v>0</v>
      </c>
      <c r="AN14">
        <f>-'[21]Table 5C1D-NOMMA'!P14</f>
        <v>0</v>
      </c>
      <c r="AO14" s="49">
        <f t="shared" si="53"/>
        <v>0</v>
      </c>
    </row>
    <row r="15" spans="1:41">
      <c r="A15" s="975">
        <v>9</v>
      </c>
      <c r="B15" s="976" t="s">
        <v>110</v>
      </c>
      <c r="C15" s="1168">
        <f>'Table 8 2.1.12 MFP Funded'!Z12</f>
        <v>0</v>
      </c>
      <c r="D15" s="978">
        <f>'Table 3 Levels 1&amp;2'!AL16</f>
        <v>4287.1210280148016</v>
      </c>
      <c r="E15" s="1072">
        <f t="shared" si="33"/>
        <v>0</v>
      </c>
      <c r="F15" s="1072">
        <f>'Table 4 Level 3'!P14</f>
        <v>744.76</v>
      </c>
      <c r="G15" s="1072">
        <f t="shared" si="34"/>
        <v>0</v>
      </c>
      <c r="H15" s="1030">
        <f t="shared" si="35"/>
        <v>0</v>
      </c>
      <c r="I15" s="1415">
        <f>'[1]Oct midyear NOMMA'!K15</f>
        <v>0</v>
      </c>
      <c r="J15" s="1415">
        <f>'[1]Feb midyear NOMMA'!K15</f>
        <v>0</v>
      </c>
      <c r="K15" s="1415">
        <f t="shared" si="36"/>
        <v>0</v>
      </c>
      <c r="L15" s="1434">
        <f t="shared" si="37"/>
        <v>0</v>
      </c>
      <c r="M15" s="1082">
        <f t="shared" si="38"/>
        <v>0</v>
      </c>
      <c r="N15" s="1030">
        <f t="shared" si="39"/>
        <v>0</v>
      </c>
      <c r="O15" s="1030">
        <v>0</v>
      </c>
      <c r="P15" s="1030">
        <f t="shared" si="40"/>
        <v>0</v>
      </c>
      <c r="Q15" s="1030">
        <v>0</v>
      </c>
      <c r="R15" s="1434">
        <f t="shared" si="41"/>
        <v>0</v>
      </c>
      <c r="S15" s="1434">
        <f t="shared" si="42"/>
        <v>0</v>
      </c>
      <c r="T15" s="1029">
        <f>'[14]FY2012-13 Final'!K16</f>
        <v>4649</v>
      </c>
      <c r="U15" s="1031">
        <f t="shared" si="30"/>
        <v>0</v>
      </c>
      <c r="V15" s="1464">
        <f>'[20]Oct midyear NOMMA'!E15</f>
        <v>0</v>
      </c>
      <c r="W15" s="1443">
        <f t="shared" si="43"/>
        <v>0</v>
      </c>
      <c r="X15" s="1474">
        <f>'[20]Feb midyear NOMMA'!E15</f>
        <v>0</v>
      </c>
      <c r="Y15" s="1470">
        <f t="shared" si="44"/>
        <v>0</v>
      </c>
      <c r="Z15" s="1470">
        <f t="shared" si="45"/>
        <v>0</v>
      </c>
      <c r="AA15" s="1031">
        <f t="shared" si="46"/>
        <v>0</v>
      </c>
      <c r="AB15" s="1090">
        <f t="shared" si="47"/>
        <v>0</v>
      </c>
      <c r="AC15" s="1031">
        <f t="shared" si="48"/>
        <v>0</v>
      </c>
      <c r="AD15" s="1031">
        <v>0</v>
      </c>
      <c r="AE15" s="1031">
        <f t="shared" si="49"/>
        <v>0</v>
      </c>
      <c r="AF15" s="1031">
        <v>0</v>
      </c>
      <c r="AG15" s="1031">
        <f t="shared" si="50"/>
        <v>0</v>
      </c>
      <c r="AH15" s="1031">
        <f t="shared" si="51"/>
        <v>0</v>
      </c>
      <c r="AI15" s="1032">
        <f t="shared" si="31"/>
        <v>0</v>
      </c>
      <c r="AJ15" s="1032">
        <f t="shared" si="32"/>
        <v>0</v>
      </c>
      <c r="AL15" s="49">
        <f t="shared" si="52"/>
        <v>0</v>
      </c>
      <c r="AM15" s="49">
        <f>-'[22]Table 5C1D-NOMMA'!AL15</f>
        <v>0</v>
      </c>
      <c r="AN15">
        <f>-'[21]Table 5C1D-NOMMA'!P15</f>
        <v>0</v>
      </c>
      <c r="AO15" s="49">
        <f t="shared" si="53"/>
        <v>0</v>
      </c>
    </row>
    <row r="16" spans="1:41">
      <c r="A16" s="979">
        <v>10</v>
      </c>
      <c r="B16" s="980" t="s">
        <v>111</v>
      </c>
      <c r="C16" s="1169">
        <f>'Table 8 2.1.12 MFP Funded'!Z13</f>
        <v>0</v>
      </c>
      <c r="D16" s="982">
        <f>'Table 3 Levels 1&amp;2'!AL17</f>
        <v>4320.1782742925079</v>
      </c>
      <c r="E16" s="1073">
        <f t="shared" si="33"/>
        <v>0</v>
      </c>
      <c r="F16" s="1073">
        <f>'Table 4 Level 3'!P15</f>
        <v>608.04000000000008</v>
      </c>
      <c r="G16" s="1073">
        <f t="shared" si="34"/>
        <v>0</v>
      </c>
      <c r="H16" s="1033">
        <f t="shared" si="35"/>
        <v>0</v>
      </c>
      <c r="I16" s="1416">
        <f>'[1]Oct midyear NOMMA'!K16</f>
        <v>0</v>
      </c>
      <c r="J16" s="1416">
        <f>'[1]Feb midyear NOMMA'!K16</f>
        <v>0</v>
      </c>
      <c r="K16" s="1416">
        <f t="shared" si="36"/>
        <v>0</v>
      </c>
      <c r="L16" s="1435">
        <f t="shared" si="37"/>
        <v>0</v>
      </c>
      <c r="M16" s="1083">
        <f t="shared" si="38"/>
        <v>0</v>
      </c>
      <c r="N16" s="1033">
        <f t="shared" si="39"/>
        <v>0</v>
      </c>
      <c r="O16" s="1033">
        <v>0</v>
      </c>
      <c r="P16" s="1033">
        <f t="shared" si="40"/>
        <v>0</v>
      </c>
      <c r="Q16" s="1033">
        <v>0</v>
      </c>
      <c r="R16" s="1435">
        <f t="shared" si="41"/>
        <v>0</v>
      </c>
      <c r="S16" s="1435">
        <f t="shared" si="42"/>
        <v>0</v>
      </c>
      <c r="T16" s="1034">
        <f>'[14]FY2012-13 Final'!K17</f>
        <v>4395</v>
      </c>
      <c r="U16" s="1035">
        <f t="shared" si="30"/>
        <v>0</v>
      </c>
      <c r="V16" s="1465">
        <f>'[20]Oct midyear NOMMA'!E16</f>
        <v>0</v>
      </c>
      <c r="W16" s="1445">
        <f t="shared" si="43"/>
        <v>0</v>
      </c>
      <c r="X16" s="1475">
        <f>'[20]Feb midyear NOMMA'!E16</f>
        <v>0</v>
      </c>
      <c r="Y16" s="1471">
        <f t="shared" si="44"/>
        <v>0</v>
      </c>
      <c r="Z16" s="1471">
        <f t="shared" si="45"/>
        <v>0</v>
      </c>
      <c r="AA16" s="1035">
        <f t="shared" si="46"/>
        <v>0</v>
      </c>
      <c r="AB16" s="1091">
        <f t="shared" si="47"/>
        <v>0</v>
      </c>
      <c r="AC16" s="1035">
        <f t="shared" si="48"/>
        <v>0</v>
      </c>
      <c r="AD16" s="1035">
        <v>0</v>
      </c>
      <c r="AE16" s="1035">
        <f t="shared" si="49"/>
        <v>0</v>
      </c>
      <c r="AF16" s="1035">
        <v>0</v>
      </c>
      <c r="AG16" s="1035">
        <f t="shared" si="50"/>
        <v>0</v>
      </c>
      <c r="AH16" s="1035">
        <f t="shared" si="51"/>
        <v>0</v>
      </c>
      <c r="AI16" s="1036">
        <f t="shared" si="31"/>
        <v>0</v>
      </c>
      <c r="AJ16" s="1036">
        <f t="shared" si="32"/>
        <v>0</v>
      </c>
      <c r="AL16" s="49">
        <f t="shared" si="52"/>
        <v>0</v>
      </c>
      <c r="AM16" s="49">
        <f>-'[22]Table 5C1D-NOMMA'!AL16</f>
        <v>0</v>
      </c>
      <c r="AN16">
        <f>-'[21]Table 5C1D-NOMMA'!P16</f>
        <v>0</v>
      </c>
      <c r="AO16" s="49">
        <f t="shared" si="53"/>
        <v>0</v>
      </c>
    </row>
    <row r="17" spans="1:41">
      <c r="A17" s="968">
        <v>11</v>
      </c>
      <c r="B17" s="969" t="s">
        <v>112</v>
      </c>
      <c r="C17" s="1170">
        <f>'Table 8 2.1.12 MFP Funded'!Z14</f>
        <v>0</v>
      </c>
      <c r="D17" s="971">
        <f>'Table 3 Levels 1&amp;2'!AL18</f>
        <v>6754.8947842641273</v>
      </c>
      <c r="E17" s="1071">
        <f t="shared" si="33"/>
        <v>0</v>
      </c>
      <c r="F17" s="1071">
        <f>'Table 4 Level 3'!P16</f>
        <v>706.55</v>
      </c>
      <c r="G17" s="1071">
        <f t="shared" si="34"/>
        <v>0</v>
      </c>
      <c r="H17" s="972">
        <f t="shared" si="35"/>
        <v>0</v>
      </c>
      <c r="I17" s="1414">
        <f>'[1]Oct midyear NOMMA'!K17</f>
        <v>0</v>
      </c>
      <c r="J17" s="1414">
        <f>'[1]Feb midyear NOMMA'!K17</f>
        <v>0</v>
      </c>
      <c r="K17" s="1414">
        <f t="shared" si="36"/>
        <v>0</v>
      </c>
      <c r="L17" s="1213">
        <f t="shared" si="37"/>
        <v>0</v>
      </c>
      <c r="M17" s="1081">
        <f t="shared" si="38"/>
        <v>0</v>
      </c>
      <c r="N17" s="972">
        <f t="shared" si="39"/>
        <v>0</v>
      </c>
      <c r="O17" s="972">
        <v>0</v>
      </c>
      <c r="P17" s="972">
        <f t="shared" si="40"/>
        <v>0</v>
      </c>
      <c r="Q17" s="972">
        <v>0</v>
      </c>
      <c r="R17" s="1213">
        <f t="shared" si="41"/>
        <v>0</v>
      </c>
      <c r="S17" s="1213">
        <f t="shared" si="42"/>
        <v>0</v>
      </c>
      <c r="T17" s="1029">
        <f>'[14]FY2012-13 Final'!K18</f>
        <v>3450</v>
      </c>
      <c r="U17" s="973">
        <f t="shared" si="30"/>
        <v>0</v>
      </c>
      <c r="V17" s="1466">
        <f>'[20]Oct midyear NOMMA'!E17</f>
        <v>0</v>
      </c>
      <c r="W17" s="1444">
        <f t="shared" si="43"/>
        <v>0</v>
      </c>
      <c r="X17" s="1466">
        <f>'[20]Feb midyear NOMMA'!E17</f>
        <v>0</v>
      </c>
      <c r="Y17" s="1444">
        <f t="shared" si="44"/>
        <v>0</v>
      </c>
      <c r="Z17" s="1444">
        <f t="shared" si="45"/>
        <v>0</v>
      </c>
      <c r="AA17" s="973">
        <f t="shared" si="46"/>
        <v>0</v>
      </c>
      <c r="AB17" s="1089">
        <f t="shared" si="47"/>
        <v>0</v>
      </c>
      <c r="AC17" s="973">
        <f t="shared" si="48"/>
        <v>0</v>
      </c>
      <c r="AD17" s="973">
        <v>0</v>
      </c>
      <c r="AE17" s="973">
        <f t="shared" si="49"/>
        <v>0</v>
      </c>
      <c r="AF17" s="973">
        <v>0</v>
      </c>
      <c r="AG17" s="973">
        <f t="shared" si="50"/>
        <v>0</v>
      </c>
      <c r="AH17" s="973">
        <f t="shared" si="51"/>
        <v>0</v>
      </c>
      <c r="AI17" s="974">
        <f t="shared" si="31"/>
        <v>0</v>
      </c>
      <c r="AJ17" s="974">
        <f t="shared" si="32"/>
        <v>0</v>
      </c>
      <c r="AL17" s="49">
        <f t="shared" si="52"/>
        <v>0</v>
      </c>
      <c r="AM17" s="49">
        <f>-'[22]Table 5C1D-NOMMA'!AL17</f>
        <v>0</v>
      </c>
      <c r="AN17">
        <f>-'[21]Table 5C1D-NOMMA'!P17</f>
        <v>0</v>
      </c>
      <c r="AO17" s="49">
        <f t="shared" si="53"/>
        <v>0</v>
      </c>
    </row>
    <row r="18" spans="1:41">
      <c r="A18" s="975">
        <v>12</v>
      </c>
      <c r="B18" s="976" t="s">
        <v>113</v>
      </c>
      <c r="C18" s="1168">
        <f>'Table 8 2.1.12 MFP Funded'!Z15</f>
        <v>0</v>
      </c>
      <c r="D18" s="978">
        <f>'Table 3 Levels 1&amp;2'!AL19</f>
        <v>1807.9873469387755</v>
      </c>
      <c r="E18" s="1072">
        <f t="shared" si="33"/>
        <v>0</v>
      </c>
      <c r="F18" s="1072">
        <f>'Table 4 Level 3'!P17</f>
        <v>1063.31</v>
      </c>
      <c r="G18" s="1072">
        <f t="shared" si="34"/>
        <v>0</v>
      </c>
      <c r="H18" s="1030">
        <f t="shared" si="35"/>
        <v>0</v>
      </c>
      <c r="I18" s="1415">
        <f>'[1]Oct midyear NOMMA'!K18</f>
        <v>0</v>
      </c>
      <c r="J18" s="1415">
        <f>'[1]Feb midyear NOMMA'!K18</f>
        <v>0</v>
      </c>
      <c r="K18" s="1415">
        <f t="shared" si="36"/>
        <v>0</v>
      </c>
      <c r="L18" s="1434">
        <f t="shared" si="37"/>
        <v>0</v>
      </c>
      <c r="M18" s="1082">
        <f t="shared" si="38"/>
        <v>0</v>
      </c>
      <c r="N18" s="1030">
        <f t="shared" si="39"/>
        <v>0</v>
      </c>
      <c r="O18" s="1030">
        <v>0</v>
      </c>
      <c r="P18" s="1030">
        <f t="shared" si="40"/>
        <v>0</v>
      </c>
      <c r="Q18" s="1030">
        <v>0</v>
      </c>
      <c r="R18" s="1434">
        <f t="shared" si="41"/>
        <v>0</v>
      </c>
      <c r="S18" s="1434">
        <f t="shared" si="42"/>
        <v>0</v>
      </c>
      <c r="T18" s="1029">
        <f>'[14]FY2012-13 Final'!K19</f>
        <v>12561</v>
      </c>
      <c r="U18" s="1031">
        <f t="shared" si="30"/>
        <v>0</v>
      </c>
      <c r="V18" s="1464">
        <f>'[20]Oct midyear NOMMA'!E18</f>
        <v>0</v>
      </c>
      <c r="W18" s="1443">
        <f t="shared" si="43"/>
        <v>0</v>
      </c>
      <c r="X18" s="1474">
        <f>'[20]Feb midyear NOMMA'!E18</f>
        <v>0</v>
      </c>
      <c r="Y18" s="1470">
        <f t="shared" si="44"/>
        <v>0</v>
      </c>
      <c r="Z18" s="1470">
        <f t="shared" si="45"/>
        <v>0</v>
      </c>
      <c r="AA18" s="1031">
        <f t="shared" si="46"/>
        <v>0</v>
      </c>
      <c r="AB18" s="1090">
        <f t="shared" si="47"/>
        <v>0</v>
      </c>
      <c r="AC18" s="1031">
        <f t="shared" si="48"/>
        <v>0</v>
      </c>
      <c r="AD18" s="1031">
        <v>0</v>
      </c>
      <c r="AE18" s="1031">
        <f t="shared" si="49"/>
        <v>0</v>
      </c>
      <c r="AF18" s="1031">
        <v>0</v>
      </c>
      <c r="AG18" s="1031">
        <f t="shared" si="50"/>
        <v>0</v>
      </c>
      <c r="AH18" s="1031">
        <f t="shared" si="51"/>
        <v>0</v>
      </c>
      <c r="AI18" s="1032">
        <f t="shared" si="31"/>
        <v>0</v>
      </c>
      <c r="AJ18" s="1032">
        <f t="shared" si="32"/>
        <v>0</v>
      </c>
      <c r="AL18" s="49">
        <f t="shared" si="52"/>
        <v>0</v>
      </c>
      <c r="AM18" s="49">
        <f>-'[22]Table 5C1D-NOMMA'!AL18</f>
        <v>0</v>
      </c>
      <c r="AN18">
        <f>-'[21]Table 5C1D-NOMMA'!P18</f>
        <v>0</v>
      </c>
      <c r="AO18" s="49">
        <f t="shared" si="53"/>
        <v>0</v>
      </c>
    </row>
    <row r="19" spans="1:41">
      <c r="A19" s="975">
        <v>13</v>
      </c>
      <c r="B19" s="976" t="s">
        <v>114</v>
      </c>
      <c r="C19" s="1168">
        <f>'Table 8 2.1.12 MFP Funded'!Z16</f>
        <v>0</v>
      </c>
      <c r="D19" s="978">
        <f>'Table 3 Levels 1&amp;2'!AL20</f>
        <v>6143.511131744569</v>
      </c>
      <c r="E19" s="1072">
        <f t="shared" si="33"/>
        <v>0</v>
      </c>
      <c r="F19" s="1072">
        <f>'Table 4 Level 3'!P18</f>
        <v>749.43000000000006</v>
      </c>
      <c r="G19" s="1072">
        <f t="shared" si="34"/>
        <v>0</v>
      </c>
      <c r="H19" s="1030">
        <f t="shared" si="35"/>
        <v>0</v>
      </c>
      <c r="I19" s="1415">
        <f>'[1]Oct midyear NOMMA'!K19</f>
        <v>0</v>
      </c>
      <c r="J19" s="1415">
        <f>'[1]Feb midyear NOMMA'!K19</f>
        <v>0</v>
      </c>
      <c r="K19" s="1415">
        <f t="shared" si="36"/>
        <v>0</v>
      </c>
      <c r="L19" s="1434">
        <f t="shared" si="37"/>
        <v>0</v>
      </c>
      <c r="M19" s="1082">
        <f t="shared" si="38"/>
        <v>0</v>
      </c>
      <c r="N19" s="1030">
        <f t="shared" si="39"/>
        <v>0</v>
      </c>
      <c r="O19" s="1030">
        <v>0</v>
      </c>
      <c r="P19" s="1030">
        <f t="shared" si="40"/>
        <v>0</v>
      </c>
      <c r="Q19" s="1030">
        <v>0</v>
      </c>
      <c r="R19" s="1434">
        <f t="shared" si="41"/>
        <v>0</v>
      </c>
      <c r="S19" s="1434">
        <f t="shared" si="42"/>
        <v>0</v>
      </c>
      <c r="T19" s="1029">
        <f>'[14]FY2012-13 Final'!K20</f>
        <v>2538</v>
      </c>
      <c r="U19" s="1031">
        <f t="shared" si="30"/>
        <v>0</v>
      </c>
      <c r="V19" s="1464">
        <f>'[20]Oct midyear NOMMA'!E19</f>
        <v>0</v>
      </c>
      <c r="W19" s="1443">
        <f t="shared" si="43"/>
        <v>0</v>
      </c>
      <c r="X19" s="1474">
        <f>'[20]Feb midyear NOMMA'!E19</f>
        <v>0</v>
      </c>
      <c r="Y19" s="1470">
        <f t="shared" si="44"/>
        <v>0</v>
      </c>
      <c r="Z19" s="1470">
        <f t="shared" si="45"/>
        <v>0</v>
      </c>
      <c r="AA19" s="1031">
        <f t="shared" si="46"/>
        <v>0</v>
      </c>
      <c r="AB19" s="1090">
        <f t="shared" si="47"/>
        <v>0</v>
      </c>
      <c r="AC19" s="1031">
        <f t="shared" si="48"/>
        <v>0</v>
      </c>
      <c r="AD19" s="1031">
        <v>0</v>
      </c>
      <c r="AE19" s="1031">
        <f t="shared" si="49"/>
        <v>0</v>
      </c>
      <c r="AF19" s="1031">
        <v>0</v>
      </c>
      <c r="AG19" s="1448">
        <f t="shared" si="50"/>
        <v>0</v>
      </c>
      <c r="AH19" s="1448">
        <f t="shared" si="51"/>
        <v>0</v>
      </c>
      <c r="AI19" s="1032">
        <f t="shared" si="31"/>
        <v>0</v>
      </c>
      <c r="AJ19" s="1032">
        <f t="shared" si="32"/>
        <v>0</v>
      </c>
      <c r="AL19" s="49">
        <f t="shared" si="52"/>
        <v>0</v>
      </c>
      <c r="AM19" s="49">
        <f>-'[22]Table 5C1D-NOMMA'!AL19</f>
        <v>0</v>
      </c>
      <c r="AN19">
        <f>-'[21]Table 5C1D-NOMMA'!P19</f>
        <v>0</v>
      </c>
      <c r="AO19" s="49">
        <f t="shared" si="53"/>
        <v>0</v>
      </c>
    </row>
    <row r="20" spans="1:41">
      <c r="A20" s="975">
        <v>14</v>
      </c>
      <c r="B20" s="976" t="s">
        <v>115</v>
      </c>
      <c r="C20" s="1168">
        <f>'Table 8 2.1.12 MFP Funded'!Z17</f>
        <v>0</v>
      </c>
      <c r="D20" s="978">
        <f>'Table 3 Levels 1&amp;2'!AL21</f>
        <v>5304.5609177528095</v>
      </c>
      <c r="E20" s="1072">
        <f t="shared" si="33"/>
        <v>0</v>
      </c>
      <c r="F20" s="1072">
        <f>'Table 4 Level 3'!P19</f>
        <v>809.9799999999999</v>
      </c>
      <c r="G20" s="1072">
        <f t="shared" si="34"/>
        <v>0</v>
      </c>
      <c r="H20" s="1030">
        <f t="shared" si="35"/>
        <v>0</v>
      </c>
      <c r="I20" s="1415">
        <f>'[1]Oct midyear NOMMA'!K20</f>
        <v>0</v>
      </c>
      <c r="J20" s="1415">
        <f>'[1]Feb midyear NOMMA'!K20</f>
        <v>0</v>
      </c>
      <c r="K20" s="1415">
        <f t="shared" si="36"/>
        <v>0</v>
      </c>
      <c r="L20" s="1434">
        <f t="shared" si="37"/>
        <v>0</v>
      </c>
      <c r="M20" s="1082">
        <f t="shared" si="38"/>
        <v>0</v>
      </c>
      <c r="N20" s="1030">
        <f t="shared" si="39"/>
        <v>0</v>
      </c>
      <c r="O20" s="1030">
        <v>0</v>
      </c>
      <c r="P20" s="1030">
        <f t="shared" si="40"/>
        <v>0</v>
      </c>
      <c r="Q20" s="1030">
        <v>0</v>
      </c>
      <c r="R20" s="1434">
        <f t="shared" si="41"/>
        <v>0</v>
      </c>
      <c r="S20" s="1434">
        <f t="shared" si="42"/>
        <v>0</v>
      </c>
      <c r="T20" s="1029">
        <f>'[14]FY2012-13 Final'!K21</f>
        <v>3890</v>
      </c>
      <c r="U20" s="1031">
        <f t="shared" si="30"/>
        <v>0</v>
      </c>
      <c r="V20" s="1464">
        <f>'[20]Oct midyear NOMMA'!E20</f>
        <v>0</v>
      </c>
      <c r="W20" s="1443">
        <f t="shared" si="43"/>
        <v>0</v>
      </c>
      <c r="X20" s="1474">
        <f>'[20]Feb midyear NOMMA'!E20</f>
        <v>0</v>
      </c>
      <c r="Y20" s="1470">
        <f t="shared" si="44"/>
        <v>0</v>
      </c>
      <c r="Z20" s="1470">
        <f t="shared" si="45"/>
        <v>0</v>
      </c>
      <c r="AA20" s="1031">
        <f t="shared" si="46"/>
        <v>0</v>
      </c>
      <c r="AB20" s="1090">
        <f t="shared" si="47"/>
        <v>0</v>
      </c>
      <c r="AC20" s="1031">
        <f t="shared" si="48"/>
        <v>0</v>
      </c>
      <c r="AD20" s="1031">
        <v>0</v>
      </c>
      <c r="AE20" s="1031">
        <f t="shared" si="49"/>
        <v>0</v>
      </c>
      <c r="AF20" s="1031">
        <v>0</v>
      </c>
      <c r="AG20" s="1448">
        <f t="shared" si="50"/>
        <v>0</v>
      </c>
      <c r="AH20" s="1448">
        <f t="shared" si="51"/>
        <v>0</v>
      </c>
      <c r="AI20" s="1032">
        <f t="shared" si="31"/>
        <v>0</v>
      </c>
      <c r="AJ20" s="1032">
        <f t="shared" si="32"/>
        <v>0</v>
      </c>
      <c r="AL20" s="49">
        <f t="shared" si="52"/>
        <v>0</v>
      </c>
      <c r="AM20" s="49">
        <f>-'[22]Table 5C1D-NOMMA'!AL20</f>
        <v>0</v>
      </c>
      <c r="AN20">
        <f>-'[21]Table 5C1D-NOMMA'!P20</f>
        <v>0</v>
      </c>
      <c r="AO20" s="49">
        <f t="shared" si="53"/>
        <v>0</v>
      </c>
    </row>
    <row r="21" spans="1:41">
      <c r="A21" s="979">
        <v>15</v>
      </c>
      <c r="B21" s="980" t="s">
        <v>116</v>
      </c>
      <c r="C21" s="1169">
        <f>'Table 8 2.1.12 MFP Funded'!Z18</f>
        <v>0</v>
      </c>
      <c r="D21" s="982">
        <f>'Table 3 Levels 1&amp;2'!AL22</f>
        <v>5440.6588926253107</v>
      </c>
      <c r="E21" s="1073">
        <f t="shared" si="33"/>
        <v>0</v>
      </c>
      <c r="F21" s="1073">
        <f>'Table 4 Level 3'!P20</f>
        <v>553.79999999999995</v>
      </c>
      <c r="G21" s="1073">
        <f t="shared" si="34"/>
        <v>0</v>
      </c>
      <c r="H21" s="1033">
        <f t="shared" si="35"/>
        <v>0</v>
      </c>
      <c r="I21" s="1416">
        <f>'[1]Oct midyear NOMMA'!K21</f>
        <v>0</v>
      </c>
      <c r="J21" s="1416">
        <f>'[1]Feb midyear NOMMA'!K21</f>
        <v>0</v>
      </c>
      <c r="K21" s="1416">
        <f t="shared" si="36"/>
        <v>0</v>
      </c>
      <c r="L21" s="1435">
        <f t="shared" si="37"/>
        <v>0</v>
      </c>
      <c r="M21" s="1083">
        <f t="shared" si="38"/>
        <v>0</v>
      </c>
      <c r="N21" s="1033">
        <f t="shared" si="39"/>
        <v>0</v>
      </c>
      <c r="O21" s="1033">
        <v>0</v>
      </c>
      <c r="P21" s="1033">
        <f t="shared" si="40"/>
        <v>0</v>
      </c>
      <c r="Q21" s="1033">
        <v>0</v>
      </c>
      <c r="R21" s="1435">
        <f t="shared" si="41"/>
        <v>0</v>
      </c>
      <c r="S21" s="1435">
        <f t="shared" si="42"/>
        <v>0</v>
      </c>
      <c r="T21" s="1034">
        <f>'[14]FY2012-13 Final'!K22</f>
        <v>2752</v>
      </c>
      <c r="U21" s="1035">
        <f t="shared" si="30"/>
        <v>0</v>
      </c>
      <c r="V21" s="1465">
        <f>'[20]Oct midyear NOMMA'!E21</f>
        <v>0</v>
      </c>
      <c r="W21" s="1445">
        <f t="shared" si="43"/>
        <v>0</v>
      </c>
      <c r="X21" s="1475">
        <f>'[20]Feb midyear NOMMA'!E21</f>
        <v>0</v>
      </c>
      <c r="Y21" s="1471">
        <f t="shared" si="44"/>
        <v>0</v>
      </c>
      <c r="Z21" s="1471">
        <f t="shared" si="45"/>
        <v>0</v>
      </c>
      <c r="AA21" s="1035">
        <f t="shared" si="46"/>
        <v>0</v>
      </c>
      <c r="AB21" s="1091">
        <f t="shared" si="47"/>
        <v>0</v>
      </c>
      <c r="AC21" s="1035">
        <f t="shared" si="48"/>
        <v>0</v>
      </c>
      <c r="AD21" s="1035">
        <v>0</v>
      </c>
      <c r="AE21" s="1035">
        <f t="shared" si="49"/>
        <v>0</v>
      </c>
      <c r="AF21" s="1035">
        <v>0</v>
      </c>
      <c r="AG21" s="1450">
        <f t="shared" si="50"/>
        <v>0</v>
      </c>
      <c r="AH21" s="1450">
        <f t="shared" si="51"/>
        <v>0</v>
      </c>
      <c r="AI21" s="1036">
        <f t="shared" si="31"/>
        <v>0</v>
      </c>
      <c r="AJ21" s="1036">
        <f t="shared" si="32"/>
        <v>0</v>
      </c>
      <c r="AL21" s="49">
        <f t="shared" si="52"/>
        <v>0</v>
      </c>
      <c r="AM21" s="49">
        <f>-'[22]Table 5C1D-NOMMA'!AL21</f>
        <v>0</v>
      </c>
      <c r="AN21">
        <f>-'[21]Table 5C1D-NOMMA'!P21</f>
        <v>0</v>
      </c>
      <c r="AO21" s="49">
        <f t="shared" si="53"/>
        <v>0</v>
      </c>
    </row>
    <row r="22" spans="1:41">
      <c r="A22" s="968">
        <v>16</v>
      </c>
      <c r="B22" s="969" t="s">
        <v>117</v>
      </c>
      <c r="C22" s="1170">
        <f>'Table 8 2.1.12 MFP Funded'!Z19</f>
        <v>0</v>
      </c>
      <c r="D22" s="971">
        <f>'Table 3 Levels 1&amp;2'!AL23</f>
        <v>1508.2103091706706</v>
      </c>
      <c r="E22" s="1071">
        <f t="shared" si="33"/>
        <v>0</v>
      </c>
      <c r="F22" s="1071">
        <f>'Table 4 Level 3'!P21</f>
        <v>686.73</v>
      </c>
      <c r="G22" s="1071">
        <f t="shared" si="34"/>
        <v>0</v>
      </c>
      <c r="H22" s="972">
        <f t="shared" si="35"/>
        <v>0</v>
      </c>
      <c r="I22" s="1414">
        <f>'[1]Oct midyear NOMMA'!K22</f>
        <v>0</v>
      </c>
      <c r="J22" s="1414">
        <f>'[1]Feb midyear NOMMA'!K22</f>
        <v>0</v>
      </c>
      <c r="K22" s="1414">
        <f t="shared" si="36"/>
        <v>0</v>
      </c>
      <c r="L22" s="1213">
        <f t="shared" si="37"/>
        <v>0</v>
      </c>
      <c r="M22" s="1081">
        <f t="shared" si="38"/>
        <v>0</v>
      </c>
      <c r="N22" s="972">
        <f t="shared" si="39"/>
        <v>0</v>
      </c>
      <c r="O22" s="972">
        <v>0</v>
      </c>
      <c r="P22" s="972">
        <f t="shared" si="40"/>
        <v>0</v>
      </c>
      <c r="Q22" s="972">
        <v>0</v>
      </c>
      <c r="R22" s="1213">
        <f t="shared" si="41"/>
        <v>0</v>
      </c>
      <c r="S22" s="1213">
        <f t="shared" si="42"/>
        <v>0</v>
      </c>
      <c r="T22" s="1029">
        <f>'[14]FY2012-13 Final'!K23</f>
        <v>15097</v>
      </c>
      <c r="U22" s="973">
        <f t="shared" si="30"/>
        <v>0</v>
      </c>
      <c r="V22" s="1466">
        <f>'[20]Oct midyear NOMMA'!E22</f>
        <v>0</v>
      </c>
      <c r="W22" s="1444">
        <f t="shared" si="43"/>
        <v>0</v>
      </c>
      <c r="X22" s="1466">
        <f>'[20]Feb midyear NOMMA'!E22</f>
        <v>0</v>
      </c>
      <c r="Y22" s="1444">
        <f t="shared" si="44"/>
        <v>0</v>
      </c>
      <c r="Z22" s="1444">
        <f t="shared" si="45"/>
        <v>0</v>
      </c>
      <c r="AA22" s="973">
        <f t="shared" si="46"/>
        <v>0</v>
      </c>
      <c r="AB22" s="1089">
        <f t="shared" si="47"/>
        <v>0</v>
      </c>
      <c r="AC22" s="973">
        <f t="shared" si="48"/>
        <v>0</v>
      </c>
      <c r="AD22" s="973">
        <v>0</v>
      </c>
      <c r="AE22" s="973">
        <f t="shared" si="49"/>
        <v>0</v>
      </c>
      <c r="AF22" s="973">
        <v>0</v>
      </c>
      <c r="AG22" s="1214">
        <f t="shared" si="50"/>
        <v>0</v>
      </c>
      <c r="AH22" s="1214">
        <f t="shared" si="51"/>
        <v>0</v>
      </c>
      <c r="AI22" s="974">
        <f t="shared" si="31"/>
        <v>0</v>
      </c>
      <c r="AJ22" s="974">
        <f t="shared" si="32"/>
        <v>0</v>
      </c>
      <c r="AL22" s="49">
        <f t="shared" si="52"/>
        <v>0</v>
      </c>
      <c r="AM22" s="49">
        <f>-'[22]Table 5C1D-NOMMA'!AL22</f>
        <v>0</v>
      </c>
      <c r="AN22">
        <f>-'[21]Table 5C1D-NOMMA'!P22</f>
        <v>0</v>
      </c>
      <c r="AO22" s="49">
        <f t="shared" si="53"/>
        <v>0</v>
      </c>
    </row>
    <row r="23" spans="1:41">
      <c r="A23" s="975">
        <v>17</v>
      </c>
      <c r="B23" s="976" t="s">
        <v>118</v>
      </c>
      <c r="C23" s="1168">
        <f>'Table 8 2.1.12 MFP Funded'!Z20</f>
        <v>0</v>
      </c>
      <c r="D23" s="978">
        <f>'Table 3 Levels 1&amp;2'!AL24</f>
        <v>3395.7244841073689</v>
      </c>
      <c r="E23" s="1072">
        <f t="shared" si="33"/>
        <v>0</v>
      </c>
      <c r="F23" s="1072">
        <f>'Table 5B2_RSD_LA'!F7</f>
        <v>801.47762416806802</v>
      </c>
      <c r="G23" s="1072">
        <f t="shared" si="34"/>
        <v>0</v>
      </c>
      <c r="H23" s="1030">
        <f t="shared" si="35"/>
        <v>0</v>
      </c>
      <c r="I23" s="1415">
        <f>'[1]Oct midyear NOMMA'!K23</f>
        <v>0</v>
      </c>
      <c r="J23" s="1415">
        <f>'[1]Feb midyear NOMMA'!K23</f>
        <v>0</v>
      </c>
      <c r="K23" s="1415">
        <f t="shared" si="36"/>
        <v>0</v>
      </c>
      <c r="L23" s="1434">
        <f t="shared" si="37"/>
        <v>0</v>
      </c>
      <c r="M23" s="1082">
        <f t="shared" si="38"/>
        <v>0</v>
      </c>
      <c r="N23" s="1030">
        <f t="shared" si="39"/>
        <v>0</v>
      </c>
      <c r="O23" s="1030">
        <v>0</v>
      </c>
      <c r="P23" s="1030">
        <f t="shared" si="40"/>
        <v>0</v>
      </c>
      <c r="Q23" s="1030">
        <v>0</v>
      </c>
      <c r="R23" s="1434">
        <f t="shared" si="41"/>
        <v>0</v>
      </c>
      <c r="S23" s="1434">
        <f t="shared" si="42"/>
        <v>0</v>
      </c>
      <c r="T23" s="1029">
        <f>'[14]FY2012-13 Final'!K24</f>
        <v>6601</v>
      </c>
      <c r="U23" s="1031">
        <f t="shared" si="30"/>
        <v>0</v>
      </c>
      <c r="V23" s="1464">
        <f>'[20]Oct midyear NOMMA'!E23</f>
        <v>0</v>
      </c>
      <c r="W23" s="1443">
        <f t="shared" si="43"/>
        <v>0</v>
      </c>
      <c r="X23" s="1474">
        <f>'[20]Feb midyear NOMMA'!E23</f>
        <v>0</v>
      </c>
      <c r="Y23" s="1470">
        <f t="shared" si="44"/>
        <v>0</v>
      </c>
      <c r="Z23" s="1470">
        <f t="shared" si="45"/>
        <v>0</v>
      </c>
      <c r="AA23" s="1031">
        <f t="shared" si="46"/>
        <v>0</v>
      </c>
      <c r="AB23" s="1090">
        <f t="shared" si="47"/>
        <v>0</v>
      </c>
      <c r="AC23" s="1031">
        <f t="shared" si="48"/>
        <v>0</v>
      </c>
      <c r="AD23" s="1031">
        <v>0</v>
      </c>
      <c r="AE23" s="1031">
        <f t="shared" si="49"/>
        <v>0</v>
      </c>
      <c r="AF23" s="1031">
        <v>0</v>
      </c>
      <c r="AG23" s="1448">
        <f t="shared" si="50"/>
        <v>0</v>
      </c>
      <c r="AH23" s="1448">
        <f t="shared" si="51"/>
        <v>0</v>
      </c>
      <c r="AI23" s="1032">
        <f t="shared" si="31"/>
        <v>0</v>
      </c>
      <c r="AJ23" s="1032">
        <f t="shared" si="32"/>
        <v>0</v>
      </c>
      <c r="AL23" s="49">
        <f t="shared" si="52"/>
        <v>0</v>
      </c>
      <c r="AM23" s="49">
        <f>-'[22]Table 5C1D-NOMMA'!AL23</f>
        <v>0</v>
      </c>
      <c r="AN23">
        <f>-'[21]Table 5C1D-NOMMA'!P23</f>
        <v>0</v>
      </c>
      <c r="AO23" s="49">
        <f t="shared" si="53"/>
        <v>0</v>
      </c>
    </row>
    <row r="24" spans="1:41">
      <c r="A24" s="975">
        <v>18</v>
      </c>
      <c r="B24" s="976" t="s">
        <v>119</v>
      </c>
      <c r="C24" s="1168">
        <f>'Table 8 2.1.12 MFP Funded'!Z21</f>
        <v>0</v>
      </c>
      <c r="D24" s="978">
        <f>'Table 3 Levels 1&amp;2'!AL25</f>
        <v>5811.9176591224677</v>
      </c>
      <c r="E24" s="1072">
        <f t="shared" si="33"/>
        <v>0</v>
      </c>
      <c r="F24" s="1072">
        <f>'Table 4 Level 3'!P23</f>
        <v>845.94999999999993</v>
      </c>
      <c r="G24" s="1072">
        <f t="shared" si="34"/>
        <v>0</v>
      </c>
      <c r="H24" s="1030">
        <f t="shared" si="35"/>
        <v>0</v>
      </c>
      <c r="I24" s="1415">
        <f>'[1]Oct midyear NOMMA'!K24</f>
        <v>0</v>
      </c>
      <c r="J24" s="1415">
        <f>'[1]Feb midyear NOMMA'!K24</f>
        <v>0</v>
      </c>
      <c r="K24" s="1415">
        <f t="shared" si="36"/>
        <v>0</v>
      </c>
      <c r="L24" s="1434">
        <f t="shared" si="37"/>
        <v>0</v>
      </c>
      <c r="M24" s="1082">
        <f t="shared" si="38"/>
        <v>0</v>
      </c>
      <c r="N24" s="1030">
        <f t="shared" si="39"/>
        <v>0</v>
      </c>
      <c r="O24" s="1030">
        <v>0</v>
      </c>
      <c r="P24" s="1030">
        <f t="shared" si="40"/>
        <v>0</v>
      </c>
      <c r="Q24" s="1030">
        <v>0</v>
      </c>
      <c r="R24" s="1434">
        <f t="shared" si="41"/>
        <v>0</v>
      </c>
      <c r="S24" s="1434">
        <f t="shared" si="42"/>
        <v>0</v>
      </c>
      <c r="T24" s="1029">
        <f>'[14]FY2012-13 Final'!K25</f>
        <v>2179</v>
      </c>
      <c r="U24" s="1031">
        <f t="shared" si="30"/>
        <v>0</v>
      </c>
      <c r="V24" s="1464">
        <f>'[20]Oct midyear NOMMA'!E24</f>
        <v>0</v>
      </c>
      <c r="W24" s="1443">
        <f t="shared" si="43"/>
        <v>0</v>
      </c>
      <c r="X24" s="1474">
        <f>'[20]Feb midyear NOMMA'!E24</f>
        <v>0</v>
      </c>
      <c r="Y24" s="1470">
        <f t="shared" si="44"/>
        <v>0</v>
      </c>
      <c r="Z24" s="1470">
        <f t="shared" si="45"/>
        <v>0</v>
      </c>
      <c r="AA24" s="1031">
        <f t="shared" si="46"/>
        <v>0</v>
      </c>
      <c r="AB24" s="1090">
        <f t="shared" si="47"/>
        <v>0</v>
      </c>
      <c r="AC24" s="1031">
        <f t="shared" si="48"/>
        <v>0</v>
      </c>
      <c r="AD24" s="1031">
        <v>0</v>
      </c>
      <c r="AE24" s="1031">
        <f t="shared" si="49"/>
        <v>0</v>
      </c>
      <c r="AF24" s="1031">
        <v>0</v>
      </c>
      <c r="AG24" s="1448">
        <f t="shared" si="50"/>
        <v>0</v>
      </c>
      <c r="AH24" s="1448">
        <f t="shared" si="51"/>
        <v>0</v>
      </c>
      <c r="AI24" s="1032">
        <f t="shared" si="31"/>
        <v>0</v>
      </c>
      <c r="AJ24" s="1032">
        <f t="shared" si="32"/>
        <v>0</v>
      </c>
      <c r="AL24" s="49">
        <f t="shared" si="52"/>
        <v>0</v>
      </c>
      <c r="AM24" s="49">
        <f>-'[22]Table 5C1D-NOMMA'!AL24</f>
        <v>0</v>
      </c>
      <c r="AN24">
        <f>-'[21]Table 5C1D-NOMMA'!P24</f>
        <v>0</v>
      </c>
      <c r="AO24" s="49">
        <f t="shared" si="53"/>
        <v>0</v>
      </c>
    </row>
    <row r="25" spans="1:41">
      <c r="A25" s="975">
        <v>19</v>
      </c>
      <c r="B25" s="976" t="s">
        <v>120</v>
      </c>
      <c r="C25" s="1168">
        <f>'Table 8 2.1.12 MFP Funded'!Z22</f>
        <v>0</v>
      </c>
      <c r="D25" s="978">
        <f>'Table 3 Levels 1&amp;2'!AL26</f>
        <v>5201.7687653250778</v>
      </c>
      <c r="E25" s="1072">
        <f t="shared" si="33"/>
        <v>0</v>
      </c>
      <c r="F25" s="1072">
        <f>'Table 4 Level 3'!P24</f>
        <v>905.43</v>
      </c>
      <c r="G25" s="1072">
        <f t="shared" si="34"/>
        <v>0</v>
      </c>
      <c r="H25" s="1030">
        <f t="shared" si="35"/>
        <v>0</v>
      </c>
      <c r="I25" s="1415">
        <f>'[1]Oct midyear NOMMA'!K25</f>
        <v>0</v>
      </c>
      <c r="J25" s="1415">
        <f>'[1]Feb midyear NOMMA'!K25</f>
        <v>0</v>
      </c>
      <c r="K25" s="1415">
        <f t="shared" si="36"/>
        <v>0</v>
      </c>
      <c r="L25" s="1434">
        <f t="shared" si="37"/>
        <v>0</v>
      </c>
      <c r="M25" s="1082">
        <f t="shared" si="38"/>
        <v>0</v>
      </c>
      <c r="N25" s="1030">
        <f t="shared" si="39"/>
        <v>0</v>
      </c>
      <c r="O25" s="1030">
        <v>0</v>
      </c>
      <c r="P25" s="1030">
        <f t="shared" si="40"/>
        <v>0</v>
      </c>
      <c r="Q25" s="1030">
        <v>0</v>
      </c>
      <c r="R25" s="1434">
        <f t="shared" si="41"/>
        <v>0</v>
      </c>
      <c r="S25" s="1434">
        <f t="shared" si="42"/>
        <v>0</v>
      </c>
      <c r="T25" s="1029">
        <f>'[14]FY2012-13 Final'!K26</f>
        <v>2736</v>
      </c>
      <c r="U25" s="1031">
        <f t="shared" si="30"/>
        <v>0</v>
      </c>
      <c r="V25" s="1464">
        <f>'[20]Oct midyear NOMMA'!E25</f>
        <v>0</v>
      </c>
      <c r="W25" s="1443">
        <f t="shared" si="43"/>
        <v>0</v>
      </c>
      <c r="X25" s="1474">
        <f>'[20]Feb midyear NOMMA'!E25</f>
        <v>0</v>
      </c>
      <c r="Y25" s="1470">
        <f t="shared" si="44"/>
        <v>0</v>
      </c>
      <c r="Z25" s="1470">
        <f t="shared" si="45"/>
        <v>0</v>
      </c>
      <c r="AA25" s="1031">
        <f t="shared" si="46"/>
        <v>0</v>
      </c>
      <c r="AB25" s="1090">
        <f t="shared" si="47"/>
        <v>0</v>
      </c>
      <c r="AC25" s="1031">
        <f t="shared" si="48"/>
        <v>0</v>
      </c>
      <c r="AD25" s="1031">
        <v>0</v>
      </c>
      <c r="AE25" s="1031">
        <f t="shared" si="49"/>
        <v>0</v>
      </c>
      <c r="AF25" s="1031">
        <v>0</v>
      </c>
      <c r="AG25" s="1448">
        <f t="shared" si="50"/>
        <v>0</v>
      </c>
      <c r="AH25" s="1448">
        <f t="shared" si="51"/>
        <v>0</v>
      </c>
      <c r="AI25" s="1032">
        <f t="shared" si="31"/>
        <v>0</v>
      </c>
      <c r="AJ25" s="1032">
        <f t="shared" si="32"/>
        <v>0</v>
      </c>
      <c r="AL25" s="49">
        <f t="shared" si="52"/>
        <v>0</v>
      </c>
      <c r="AM25" s="49">
        <f>-'[22]Table 5C1D-NOMMA'!AL25</f>
        <v>0</v>
      </c>
      <c r="AN25">
        <f>-'[21]Table 5C1D-NOMMA'!P25</f>
        <v>0</v>
      </c>
      <c r="AO25" s="49">
        <f t="shared" si="53"/>
        <v>0</v>
      </c>
    </row>
    <row r="26" spans="1:41">
      <c r="A26" s="979">
        <v>20</v>
      </c>
      <c r="B26" s="980" t="s">
        <v>121</v>
      </c>
      <c r="C26" s="1169">
        <f>'Table 8 2.1.12 MFP Funded'!Z23</f>
        <v>0</v>
      </c>
      <c r="D26" s="982">
        <f>'Table 3 Levels 1&amp;2'!AL27</f>
        <v>5446.6066076220959</v>
      </c>
      <c r="E26" s="1073">
        <f t="shared" si="33"/>
        <v>0</v>
      </c>
      <c r="F26" s="1073">
        <f>'Table 4 Level 3'!P25</f>
        <v>586.16999999999996</v>
      </c>
      <c r="G26" s="1073">
        <f t="shared" si="34"/>
        <v>0</v>
      </c>
      <c r="H26" s="1033">
        <f t="shared" si="35"/>
        <v>0</v>
      </c>
      <c r="I26" s="1416">
        <f>'[1]Oct midyear NOMMA'!K26</f>
        <v>0</v>
      </c>
      <c r="J26" s="1416">
        <f>'[1]Feb midyear NOMMA'!K26</f>
        <v>0</v>
      </c>
      <c r="K26" s="1416">
        <f t="shared" si="36"/>
        <v>0</v>
      </c>
      <c r="L26" s="1435">
        <f t="shared" si="37"/>
        <v>0</v>
      </c>
      <c r="M26" s="1083">
        <f t="shared" si="38"/>
        <v>0</v>
      </c>
      <c r="N26" s="1033">
        <f t="shared" si="39"/>
        <v>0</v>
      </c>
      <c r="O26" s="1033">
        <v>0</v>
      </c>
      <c r="P26" s="1033">
        <f t="shared" si="40"/>
        <v>0</v>
      </c>
      <c r="Q26" s="1033">
        <v>0</v>
      </c>
      <c r="R26" s="1435">
        <f t="shared" si="41"/>
        <v>0</v>
      </c>
      <c r="S26" s="1435">
        <f t="shared" si="42"/>
        <v>0</v>
      </c>
      <c r="T26" s="1034">
        <f>'[14]FY2012-13 Final'!K27</f>
        <v>2337</v>
      </c>
      <c r="U26" s="1035">
        <f t="shared" si="30"/>
        <v>0</v>
      </c>
      <c r="V26" s="1465">
        <f>'[20]Oct midyear NOMMA'!E26</f>
        <v>0</v>
      </c>
      <c r="W26" s="1445">
        <f t="shared" si="43"/>
        <v>0</v>
      </c>
      <c r="X26" s="1475">
        <f>'[20]Feb midyear NOMMA'!E26</f>
        <v>0</v>
      </c>
      <c r="Y26" s="1471">
        <f t="shared" si="44"/>
        <v>0</v>
      </c>
      <c r="Z26" s="1471">
        <f t="shared" si="45"/>
        <v>0</v>
      </c>
      <c r="AA26" s="1035">
        <f t="shared" si="46"/>
        <v>0</v>
      </c>
      <c r="AB26" s="1091">
        <f t="shared" si="47"/>
        <v>0</v>
      </c>
      <c r="AC26" s="1035">
        <f t="shared" si="48"/>
        <v>0</v>
      </c>
      <c r="AD26" s="1035">
        <v>0</v>
      </c>
      <c r="AE26" s="1035">
        <f t="shared" si="49"/>
        <v>0</v>
      </c>
      <c r="AF26" s="1035">
        <v>0</v>
      </c>
      <c r="AG26" s="1450">
        <f t="shared" si="50"/>
        <v>0</v>
      </c>
      <c r="AH26" s="1450">
        <f t="shared" si="51"/>
        <v>0</v>
      </c>
      <c r="AI26" s="1036">
        <f t="shared" si="31"/>
        <v>0</v>
      </c>
      <c r="AJ26" s="1036">
        <f t="shared" si="32"/>
        <v>0</v>
      </c>
      <c r="AL26" s="49">
        <f t="shared" si="52"/>
        <v>0</v>
      </c>
      <c r="AM26" s="49">
        <f>-'[22]Table 5C1D-NOMMA'!AL26</f>
        <v>0</v>
      </c>
      <c r="AN26">
        <f>-'[21]Table 5C1D-NOMMA'!P26</f>
        <v>0</v>
      </c>
      <c r="AO26" s="49">
        <f t="shared" si="53"/>
        <v>0</v>
      </c>
    </row>
    <row r="27" spans="1:41">
      <c r="A27" s="968">
        <v>21</v>
      </c>
      <c r="B27" s="969" t="s">
        <v>122</v>
      </c>
      <c r="C27" s="1170">
        <f>'Table 8 2.1.12 MFP Funded'!Z24</f>
        <v>0</v>
      </c>
      <c r="D27" s="971">
        <f>'Table 3 Levels 1&amp;2'!AL28</f>
        <v>5761.9798531850847</v>
      </c>
      <c r="E27" s="1071">
        <f t="shared" si="33"/>
        <v>0</v>
      </c>
      <c r="F27" s="1071">
        <f>'Table 4 Level 3'!P26</f>
        <v>610.35</v>
      </c>
      <c r="G27" s="1071">
        <f t="shared" si="34"/>
        <v>0</v>
      </c>
      <c r="H27" s="972">
        <f t="shared" si="35"/>
        <v>0</v>
      </c>
      <c r="I27" s="1414">
        <f>'[1]Oct midyear NOMMA'!K27</f>
        <v>0</v>
      </c>
      <c r="J27" s="1414">
        <f>'[1]Feb midyear NOMMA'!K27</f>
        <v>0</v>
      </c>
      <c r="K27" s="1414">
        <f t="shared" si="36"/>
        <v>0</v>
      </c>
      <c r="L27" s="1213">
        <f t="shared" si="37"/>
        <v>0</v>
      </c>
      <c r="M27" s="1081">
        <f t="shared" si="38"/>
        <v>0</v>
      </c>
      <c r="N27" s="972">
        <f t="shared" si="39"/>
        <v>0</v>
      </c>
      <c r="O27" s="972">
        <v>0</v>
      </c>
      <c r="P27" s="972">
        <f t="shared" si="40"/>
        <v>0</v>
      </c>
      <c r="Q27" s="972">
        <v>0</v>
      </c>
      <c r="R27" s="1213">
        <f t="shared" si="41"/>
        <v>0</v>
      </c>
      <c r="S27" s="1213">
        <f t="shared" si="42"/>
        <v>0</v>
      </c>
      <c r="T27" s="1029">
        <f>'[14]FY2012-13 Final'!K28</f>
        <v>2293</v>
      </c>
      <c r="U27" s="973">
        <f t="shared" si="30"/>
        <v>0</v>
      </c>
      <c r="V27" s="1466">
        <f>'[20]Oct midyear NOMMA'!E27</f>
        <v>0</v>
      </c>
      <c r="W27" s="1444">
        <f t="shared" si="43"/>
        <v>0</v>
      </c>
      <c r="X27" s="1466">
        <f>'[20]Feb midyear NOMMA'!E27</f>
        <v>0</v>
      </c>
      <c r="Y27" s="1444">
        <f t="shared" si="44"/>
        <v>0</v>
      </c>
      <c r="Z27" s="1444">
        <f t="shared" si="45"/>
        <v>0</v>
      </c>
      <c r="AA27" s="973">
        <f t="shared" si="46"/>
        <v>0</v>
      </c>
      <c r="AB27" s="1089">
        <f t="shared" si="47"/>
        <v>0</v>
      </c>
      <c r="AC27" s="973">
        <f t="shared" si="48"/>
        <v>0</v>
      </c>
      <c r="AD27" s="973">
        <v>0</v>
      </c>
      <c r="AE27" s="973">
        <f t="shared" si="49"/>
        <v>0</v>
      </c>
      <c r="AF27" s="973">
        <v>0</v>
      </c>
      <c r="AG27" s="1214">
        <f t="shared" si="50"/>
        <v>0</v>
      </c>
      <c r="AH27" s="1214">
        <f t="shared" si="51"/>
        <v>0</v>
      </c>
      <c r="AI27" s="974">
        <f t="shared" si="31"/>
        <v>0</v>
      </c>
      <c r="AJ27" s="974">
        <f t="shared" si="32"/>
        <v>0</v>
      </c>
      <c r="AL27" s="49">
        <f t="shared" si="52"/>
        <v>0</v>
      </c>
      <c r="AM27" s="49">
        <f>-'[22]Table 5C1D-NOMMA'!AL27</f>
        <v>0</v>
      </c>
      <c r="AN27">
        <f>-'[21]Table 5C1D-NOMMA'!P27</f>
        <v>0</v>
      </c>
      <c r="AO27" s="49">
        <f t="shared" si="53"/>
        <v>0</v>
      </c>
    </row>
    <row r="28" spans="1:41">
      <c r="A28" s="975">
        <v>22</v>
      </c>
      <c r="B28" s="976" t="s">
        <v>123</v>
      </c>
      <c r="C28" s="1168">
        <f>'Table 8 2.1.12 MFP Funded'!Z25</f>
        <v>0</v>
      </c>
      <c r="D28" s="978">
        <f>'Table 3 Levels 1&amp;2'!AL29</f>
        <v>6212.5932514983215</v>
      </c>
      <c r="E28" s="1072">
        <f t="shared" si="33"/>
        <v>0</v>
      </c>
      <c r="F28" s="1072">
        <f>'Table 4 Level 3'!P27</f>
        <v>496.36</v>
      </c>
      <c r="G28" s="1072">
        <f t="shared" si="34"/>
        <v>0</v>
      </c>
      <c r="H28" s="1030">
        <f t="shared" si="35"/>
        <v>0</v>
      </c>
      <c r="I28" s="1415">
        <f>'[1]Oct midyear NOMMA'!K28</f>
        <v>0</v>
      </c>
      <c r="J28" s="1415">
        <f>'[1]Feb midyear NOMMA'!K28</f>
        <v>0</v>
      </c>
      <c r="K28" s="1415">
        <f t="shared" si="36"/>
        <v>0</v>
      </c>
      <c r="L28" s="1434">
        <f t="shared" si="37"/>
        <v>0</v>
      </c>
      <c r="M28" s="1082">
        <f t="shared" si="38"/>
        <v>0</v>
      </c>
      <c r="N28" s="1030">
        <f t="shared" si="39"/>
        <v>0</v>
      </c>
      <c r="O28" s="1030">
        <v>0</v>
      </c>
      <c r="P28" s="1030">
        <f t="shared" si="40"/>
        <v>0</v>
      </c>
      <c r="Q28" s="1030">
        <v>0</v>
      </c>
      <c r="R28" s="1434">
        <f t="shared" si="41"/>
        <v>0</v>
      </c>
      <c r="S28" s="1434">
        <f t="shared" si="42"/>
        <v>0</v>
      </c>
      <c r="T28" s="1029">
        <f>'[14]FY2012-13 Final'!K29</f>
        <v>1412</v>
      </c>
      <c r="U28" s="1031">
        <f t="shared" si="30"/>
        <v>0</v>
      </c>
      <c r="V28" s="1464">
        <f>'[20]Oct midyear NOMMA'!E28</f>
        <v>0</v>
      </c>
      <c r="W28" s="1443">
        <f t="shared" si="43"/>
        <v>0</v>
      </c>
      <c r="X28" s="1474">
        <f>'[20]Feb midyear NOMMA'!E28</f>
        <v>0</v>
      </c>
      <c r="Y28" s="1470">
        <f t="shared" si="44"/>
        <v>0</v>
      </c>
      <c r="Z28" s="1470">
        <f t="shared" si="45"/>
        <v>0</v>
      </c>
      <c r="AA28" s="1031">
        <f t="shared" si="46"/>
        <v>0</v>
      </c>
      <c r="AB28" s="1090">
        <f t="shared" si="47"/>
        <v>0</v>
      </c>
      <c r="AC28" s="1031">
        <f t="shared" si="48"/>
        <v>0</v>
      </c>
      <c r="AD28" s="1031">
        <v>0</v>
      </c>
      <c r="AE28" s="1031">
        <f t="shared" si="49"/>
        <v>0</v>
      </c>
      <c r="AF28" s="1031">
        <v>0</v>
      </c>
      <c r="AG28" s="1448">
        <f t="shared" si="50"/>
        <v>0</v>
      </c>
      <c r="AH28" s="1448">
        <f t="shared" si="51"/>
        <v>0</v>
      </c>
      <c r="AI28" s="1032">
        <f t="shared" si="31"/>
        <v>0</v>
      </c>
      <c r="AJ28" s="1032">
        <f t="shared" si="32"/>
        <v>0</v>
      </c>
      <c r="AL28" s="49">
        <f t="shared" si="52"/>
        <v>0</v>
      </c>
      <c r="AM28" s="49">
        <f>-'[22]Table 5C1D-NOMMA'!AL28</f>
        <v>0</v>
      </c>
      <c r="AN28">
        <f>-'[21]Table 5C1D-NOMMA'!P28</f>
        <v>0</v>
      </c>
      <c r="AO28" s="49">
        <f t="shared" si="53"/>
        <v>0</v>
      </c>
    </row>
    <row r="29" spans="1:41">
      <c r="A29" s="975">
        <v>23</v>
      </c>
      <c r="B29" s="976" t="s">
        <v>124</v>
      </c>
      <c r="C29" s="1168">
        <f>'Table 8 2.1.12 MFP Funded'!Z26</f>
        <v>0</v>
      </c>
      <c r="D29" s="978">
        <f>'Table 3 Levels 1&amp;2'!AL30</f>
        <v>4824.5074836036147</v>
      </c>
      <c r="E29" s="1072">
        <f t="shared" si="33"/>
        <v>0</v>
      </c>
      <c r="F29" s="1072">
        <f>'Table 4 Level 3'!P28</f>
        <v>688.58</v>
      </c>
      <c r="G29" s="1072">
        <f t="shared" si="34"/>
        <v>0</v>
      </c>
      <c r="H29" s="1030">
        <f t="shared" si="35"/>
        <v>0</v>
      </c>
      <c r="I29" s="1415">
        <f>'[1]Oct midyear NOMMA'!K29</f>
        <v>0</v>
      </c>
      <c r="J29" s="1415">
        <f>'[1]Feb midyear NOMMA'!K29</f>
        <v>0</v>
      </c>
      <c r="K29" s="1415">
        <f t="shared" si="36"/>
        <v>0</v>
      </c>
      <c r="L29" s="1434">
        <f t="shared" si="37"/>
        <v>0</v>
      </c>
      <c r="M29" s="1082">
        <f t="shared" si="38"/>
        <v>0</v>
      </c>
      <c r="N29" s="1030">
        <f t="shared" si="39"/>
        <v>0</v>
      </c>
      <c r="O29" s="1030">
        <v>0</v>
      </c>
      <c r="P29" s="1030">
        <f t="shared" si="40"/>
        <v>0</v>
      </c>
      <c r="Q29" s="1030">
        <v>0</v>
      </c>
      <c r="R29" s="1434">
        <f t="shared" si="41"/>
        <v>0</v>
      </c>
      <c r="S29" s="1434">
        <f t="shared" si="42"/>
        <v>0</v>
      </c>
      <c r="T29" s="1029">
        <f>'[14]FY2012-13 Final'!K30</f>
        <v>3278</v>
      </c>
      <c r="U29" s="1031">
        <f t="shared" si="30"/>
        <v>0</v>
      </c>
      <c r="V29" s="1464">
        <f>'[20]Oct midyear NOMMA'!E29</f>
        <v>0</v>
      </c>
      <c r="W29" s="1443">
        <f t="shared" si="43"/>
        <v>0</v>
      </c>
      <c r="X29" s="1474">
        <f>'[20]Feb midyear NOMMA'!E29</f>
        <v>0</v>
      </c>
      <c r="Y29" s="1470">
        <f t="shared" si="44"/>
        <v>0</v>
      </c>
      <c r="Z29" s="1470">
        <f t="shared" si="45"/>
        <v>0</v>
      </c>
      <c r="AA29" s="1031">
        <f t="shared" si="46"/>
        <v>0</v>
      </c>
      <c r="AB29" s="1090">
        <f t="shared" si="47"/>
        <v>0</v>
      </c>
      <c r="AC29" s="1031">
        <f t="shared" si="48"/>
        <v>0</v>
      </c>
      <c r="AD29" s="1031">
        <v>0</v>
      </c>
      <c r="AE29" s="1031">
        <f t="shared" si="49"/>
        <v>0</v>
      </c>
      <c r="AF29" s="1031">
        <v>0</v>
      </c>
      <c r="AG29" s="1448">
        <f t="shared" si="50"/>
        <v>0</v>
      </c>
      <c r="AH29" s="1448">
        <f t="shared" si="51"/>
        <v>0</v>
      </c>
      <c r="AI29" s="1032">
        <f t="shared" si="31"/>
        <v>0</v>
      </c>
      <c r="AJ29" s="1032">
        <f t="shared" si="32"/>
        <v>0</v>
      </c>
      <c r="AL29" s="49">
        <f t="shared" si="52"/>
        <v>0</v>
      </c>
      <c r="AM29" s="49">
        <f>-'[22]Table 5C1D-NOMMA'!AL29</f>
        <v>0</v>
      </c>
      <c r="AN29">
        <f>-'[21]Table 5C1D-NOMMA'!P29</f>
        <v>0</v>
      </c>
      <c r="AO29" s="49">
        <f t="shared" si="53"/>
        <v>0</v>
      </c>
    </row>
    <row r="30" spans="1:41">
      <c r="A30" s="975">
        <v>24</v>
      </c>
      <c r="B30" s="976" t="s">
        <v>125</v>
      </c>
      <c r="C30" s="1168">
        <f>'Table 8 2.1.12 MFP Funded'!Z27</f>
        <v>0</v>
      </c>
      <c r="D30" s="978">
        <f>'Table 3 Levels 1&amp;2'!AL31</f>
        <v>2654.5104003578617</v>
      </c>
      <c r="E30" s="1072">
        <f t="shared" si="33"/>
        <v>0</v>
      </c>
      <c r="F30" s="1072">
        <f>'Table 4 Level 3'!P29</f>
        <v>854.24999999999989</v>
      </c>
      <c r="G30" s="1072">
        <f t="shared" si="34"/>
        <v>0</v>
      </c>
      <c r="H30" s="1030">
        <f t="shared" si="35"/>
        <v>0</v>
      </c>
      <c r="I30" s="1415">
        <f>'[1]Oct midyear NOMMA'!K30</f>
        <v>0</v>
      </c>
      <c r="J30" s="1415">
        <f>'[1]Feb midyear NOMMA'!K30</f>
        <v>0</v>
      </c>
      <c r="K30" s="1415">
        <f t="shared" si="36"/>
        <v>0</v>
      </c>
      <c r="L30" s="1434">
        <f t="shared" si="37"/>
        <v>0</v>
      </c>
      <c r="M30" s="1082">
        <f t="shared" si="38"/>
        <v>0</v>
      </c>
      <c r="N30" s="1030">
        <f t="shared" si="39"/>
        <v>0</v>
      </c>
      <c r="O30" s="1030">
        <v>0</v>
      </c>
      <c r="P30" s="1030">
        <f t="shared" si="40"/>
        <v>0</v>
      </c>
      <c r="Q30" s="1030">
        <v>0</v>
      </c>
      <c r="R30" s="1434">
        <f t="shared" si="41"/>
        <v>0</v>
      </c>
      <c r="S30" s="1434">
        <f t="shared" si="42"/>
        <v>0</v>
      </c>
      <c r="T30" s="1029">
        <f>'[14]FY2012-13 Final'!K31</f>
        <v>9311</v>
      </c>
      <c r="U30" s="1031">
        <f t="shared" si="30"/>
        <v>0</v>
      </c>
      <c r="V30" s="1464">
        <f>'[20]Oct midyear NOMMA'!E30</f>
        <v>0</v>
      </c>
      <c r="W30" s="1443">
        <f t="shared" si="43"/>
        <v>0</v>
      </c>
      <c r="X30" s="1474">
        <f>'[20]Feb midyear NOMMA'!E30</f>
        <v>0</v>
      </c>
      <c r="Y30" s="1470">
        <f t="shared" si="44"/>
        <v>0</v>
      </c>
      <c r="Z30" s="1470">
        <f t="shared" si="45"/>
        <v>0</v>
      </c>
      <c r="AA30" s="1031">
        <f t="shared" si="46"/>
        <v>0</v>
      </c>
      <c r="AB30" s="1090">
        <f t="shared" si="47"/>
        <v>0</v>
      </c>
      <c r="AC30" s="1031">
        <f t="shared" si="48"/>
        <v>0</v>
      </c>
      <c r="AD30" s="1031">
        <v>0</v>
      </c>
      <c r="AE30" s="1031">
        <f t="shared" si="49"/>
        <v>0</v>
      </c>
      <c r="AF30" s="1031">
        <v>0</v>
      </c>
      <c r="AG30" s="1448">
        <f t="shared" si="50"/>
        <v>0</v>
      </c>
      <c r="AH30" s="1448">
        <f t="shared" si="51"/>
        <v>0</v>
      </c>
      <c r="AI30" s="1032">
        <f t="shared" si="31"/>
        <v>0</v>
      </c>
      <c r="AJ30" s="1032">
        <f t="shared" si="32"/>
        <v>0</v>
      </c>
      <c r="AL30" s="49">
        <f t="shared" si="52"/>
        <v>0</v>
      </c>
      <c r="AM30" s="49">
        <f>-'[22]Table 5C1D-NOMMA'!AL30</f>
        <v>0</v>
      </c>
      <c r="AN30">
        <f>-'[21]Table 5C1D-NOMMA'!P30</f>
        <v>0</v>
      </c>
      <c r="AO30" s="49">
        <f t="shared" si="53"/>
        <v>0</v>
      </c>
    </row>
    <row r="31" spans="1:41">
      <c r="A31" s="979">
        <v>25</v>
      </c>
      <c r="B31" s="980" t="s">
        <v>126</v>
      </c>
      <c r="C31" s="1169">
        <f>'Table 8 2.1.12 MFP Funded'!Z28</f>
        <v>0</v>
      </c>
      <c r="D31" s="982">
        <f>'Table 3 Levels 1&amp;2'!AL32</f>
        <v>3876.6607101712493</v>
      </c>
      <c r="E31" s="1073">
        <f t="shared" si="33"/>
        <v>0</v>
      </c>
      <c r="F31" s="1073">
        <f>'Table 4 Level 3'!P30</f>
        <v>653.73</v>
      </c>
      <c r="G31" s="1073">
        <f t="shared" si="34"/>
        <v>0</v>
      </c>
      <c r="H31" s="1033">
        <f t="shared" si="35"/>
        <v>0</v>
      </c>
      <c r="I31" s="1416">
        <f>'[1]Oct midyear NOMMA'!K31</f>
        <v>0</v>
      </c>
      <c r="J31" s="1416">
        <f>'[1]Feb midyear NOMMA'!K31</f>
        <v>0</v>
      </c>
      <c r="K31" s="1416">
        <f t="shared" si="36"/>
        <v>0</v>
      </c>
      <c r="L31" s="1435">
        <f t="shared" si="37"/>
        <v>0</v>
      </c>
      <c r="M31" s="1083">
        <f t="shared" si="38"/>
        <v>0</v>
      </c>
      <c r="N31" s="1033">
        <f t="shared" si="39"/>
        <v>0</v>
      </c>
      <c r="O31" s="1033">
        <v>0</v>
      </c>
      <c r="P31" s="1033">
        <f t="shared" si="40"/>
        <v>0</v>
      </c>
      <c r="Q31" s="1033">
        <v>0</v>
      </c>
      <c r="R31" s="1435">
        <f t="shared" si="41"/>
        <v>0</v>
      </c>
      <c r="S31" s="1435">
        <f t="shared" si="42"/>
        <v>0</v>
      </c>
      <c r="T31" s="1034">
        <f>'[14]FY2012-13 Final'!K32</f>
        <v>5361</v>
      </c>
      <c r="U31" s="1035">
        <f t="shared" si="30"/>
        <v>0</v>
      </c>
      <c r="V31" s="1465">
        <f>'[20]Oct midyear NOMMA'!E31</f>
        <v>0</v>
      </c>
      <c r="W31" s="1445">
        <f t="shared" si="43"/>
        <v>0</v>
      </c>
      <c r="X31" s="1475">
        <f>'[20]Feb midyear NOMMA'!E31</f>
        <v>0</v>
      </c>
      <c r="Y31" s="1471">
        <f t="shared" si="44"/>
        <v>0</v>
      </c>
      <c r="Z31" s="1471">
        <f t="shared" si="45"/>
        <v>0</v>
      </c>
      <c r="AA31" s="1035">
        <f t="shared" si="46"/>
        <v>0</v>
      </c>
      <c r="AB31" s="1091">
        <f t="shared" si="47"/>
        <v>0</v>
      </c>
      <c r="AC31" s="1035">
        <f t="shared" si="48"/>
        <v>0</v>
      </c>
      <c r="AD31" s="1035">
        <v>0</v>
      </c>
      <c r="AE31" s="1035">
        <f t="shared" si="49"/>
        <v>0</v>
      </c>
      <c r="AF31" s="1035">
        <v>0</v>
      </c>
      <c r="AG31" s="1450">
        <f t="shared" si="50"/>
        <v>0</v>
      </c>
      <c r="AH31" s="1450">
        <f t="shared" si="51"/>
        <v>0</v>
      </c>
      <c r="AI31" s="1036">
        <f t="shared" si="31"/>
        <v>0</v>
      </c>
      <c r="AJ31" s="1036">
        <f t="shared" si="32"/>
        <v>0</v>
      </c>
      <c r="AL31" s="49">
        <f t="shared" si="52"/>
        <v>0</v>
      </c>
      <c r="AM31" s="49">
        <f>-'[22]Table 5C1D-NOMMA'!AL31</f>
        <v>0</v>
      </c>
      <c r="AN31">
        <f>-'[21]Table 5C1D-NOMMA'!P31</f>
        <v>0</v>
      </c>
      <c r="AO31" s="49">
        <f t="shared" si="53"/>
        <v>0</v>
      </c>
    </row>
    <row r="32" spans="1:41">
      <c r="A32" s="968">
        <v>26</v>
      </c>
      <c r="B32" s="969" t="s">
        <v>127</v>
      </c>
      <c r="C32" s="1170">
        <f>'Table 8 2.1.12 MFP Funded'!Z29</f>
        <v>44</v>
      </c>
      <c r="D32" s="971">
        <f>'Table 3 Levels 1&amp;2'!AL33</f>
        <v>3130.9087022137969</v>
      </c>
      <c r="E32" s="1071">
        <f t="shared" si="33"/>
        <v>137759.98289740706</v>
      </c>
      <c r="F32" s="1071">
        <f>'Table 4 Level 3'!P31</f>
        <v>836.83</v>
      </c>
      <c r="G32" s="1071">
        <f t="shared" si="34"/>
        <v>36820.520000000004</v>
      </c>
      <c r="H32" s="972">
        <f t="shared" si="35"/>
        <v>174580.50289740704</v>
      </c>
      <c r="I32" s="1414">
        <f>'[1]Oct midyear NOMMA'!K32</f>
        <v>245999.7995372554</v>
      </c>
      <c r="J32" s="1414">
        <f>'[1]Feb midyear NOMMA'!K32</f>
        <v>7935.4774044275937</v>
      </c>
      <c r="K32" s="1414">
        <f t="shared" si="36"/>
        <v>253935.276941683</v>
      </c>
      <c r="L32" s="1213">
        <f t="shared" si="37"/>
        <v>428515.77983909007</v>
      </c>
      <c r="M32" s="1081">
        <f t="shared" si="38"/>
        <v>-1071.2894495977253</v>
      </c>
      <c r="N32" s="972">
        <f t="shared" si="39"/>
        <v>427444.49038949236</v>
      </c>
      <c r="O32" s="1213">
        <v>-7974.3558019593474</v>
      </c>
      <c r="P32" s="972">
        <f t="shared" si="40"/>
        <v>419470.13458753302</v>
      </c>
      <c r="Q32" s="972">
        <f>13902+33044+33839+33839+33839+33839+33839+33839+42777+42777</f>
        <v>335534</v>
      </c>
      <c r="R32" s="1213">
        <f t="shared" si="41"/>
        <v>83936.134587533015</v>
      </c>
      <c r="S32" s="1213">
        <f t="shared" si="42"/>
        <v>41968.067293766508</v>
      </c>
      <c r="T32" s="1029">
        <f>'[14]FY2012-13 Final'!K33</f>
        <v>5202</v>
      </c>
      <c r="U32" s="973">
        <f t="shared" si="30"/>
        <v>228888</v>
      </c>
      <c r="V32" s="1466">
        <f>'[20]Oct midyear NOMMA'!E32</f>
        <v>62</v>
      </c>
      <c r="W32" s="1444">
        <f t="shared" si="43"/>
        <v>322524</v>
      </c>
      <c r="X32" s="1466">
        <f>'[20]Feb midyear NOMMA'!E32</f>
        <v>4</v>
      </c>
      <c r="Y32" s="1444">
        <f t="shared" si="44"/>
        <v>10404</v>
      </c>
      <c r="Z32" s="1444">
        <f t="shared" si="45"/>
        <v>332928</v>
      </c>
      <c r="AA32" s="973">
        <f t="shared" si="46"/>
        <v>561816</v>
      </c>
      <c r="AB32" s="1089">
        <f t="shared" si="47"/>
        <v>-1404.54</v>
      </c>
      <c r="AC32" s="973">
        <f t="shared" si="48"/>
        <v>560411.46</v>
      </c>
      <c r="AD32" s="1214">
        <v>-9296</v>
      </c>
      <c r="AE32" s="973">
        <f t="shared" si="49"/>
        <v>551115.46</v>
      </c>
      <c r="AF32" s="973">
        <f>18233+43211+44248+44248+44248+44248+44248+44248+53299+53299</f>
        <v>433530</v>
      </c>
      <c r="AG32" s="1214">
        <f t="shared" si="50"/>
        <v>117585.45999999996</v>
      </c>
      <c r="AH32" s="1214">
        <f t="shared" si="51"/>
        <v>58792.729999999981</v>
      </c>
      <c r="AI32" s="974">
        <f t="shared" si="31"/>
        <v>970585.59458753304</v>
      </c>
      <c r="AJ32" s="974">
        <f t="shared" si="32"/>
        <v>100760.79729376649</v>
      </c>
      <c r="AL32" s="49">
        <f t="shared" si="52"/>
        <v>-1404.54</v>
      </c>
      <c r="AM32" s="49">
        <f>-'[22]Table 5C1D-NOMMA'!AL32</f>
        <v>1377</v>
      </c>
      <c r="AN32">
        <f>-'[21]Table 5C1D-NOMMA'!P32</f>
        <v>571.66999999999996</v>
      </c>
      <c r="AO32" s="49">
        <f t="shared" si="53"/>
        <v>-27.539999999999964</v>
      </c>
    </row>
    <row r="33" spans="1:41">
      <c r="A33" s="975">
        <v>27</v>
      </c>
      <c r="B33" s="976" t="s">
        <v>128</v>
      </c>
      <c r="C33" s="1171">
        <f>'Table 8 2.1.12 MFP Funded'!Z30</f>
        <v>0</v>
      </c>
      <c r="D33" s="984">
        <f>'Table 3 Levels 1&amp;2'!AL34</f>
        <v>5673.3097932359224</v>
      </c>
      <c r="E33" s="1074">
        <f t="shared" si="33"/>
        <v>0</v>
      </c>
      <c r="F33" s="1074">
        <f>'Table 4 Level 3'!P32</f>
        <v>693.06</v>
      </c>
      <c r="G33" s="1074">
        <f t="shared" si="34"/>
        <v>0</v>
      </c>
      <c r="H33" s="1037">
        <f t="shared" si="35"/>
        <v>0</v>
      </c>
      <c r="I33" s="1417">
        <f>'[1]Oct midyear NOMMA'!K33</f>
        <v>0</v>
      </c>
      <c r="J33" s="1417">
        <f>'[1]Feb midyear NOMMA'!K33</f>
        <v>0</v>
      </c>
      <c r="K33" s="1417">
        <f t="shared" si="36"/>
        <v>0</v>
      </c>
      <c r="L33" s="1436">
        <f t="shared" si="37"/>
        <v>0</v>
      </c>
      <c r="M33" s="1084">
        <f t="shared" si="38"/>
        <v>0</v>
      </c>
      <c r="N33" s="1037">
        <f t="shared" si="39"/>
        <v>0</v>
      </c>
      <c r="O33" s="1037">
        <v>0</v>
      </c>
      <c r="P33" s="1037">
        <f t="shared" si="40"/>
        <v>0</v>
      </c>
      <c r="Q33" s="1037">
        <v>0</v>
      </c>
      <c r="R33" s="1436">
        <f t="shared" si="41"/>
        <v>0</v>
      </c>
      <c r="S33" s="1436">
        <f t="shared" si="42"/>
        <v>0</v>
      </c>
      <c r="T33" s="1029">
        <f>'[14]FY2012-13 Final'!K34</f>
        <v>3093</v>
      </c>
      <c r="U33" s="1031">
        <f t="shared" si="30"/>
        <v>0</v>
      </c>
      <c r="V33" s="1464">
        <f>'[20]Oct midyear NOMMA'!E33</f>
        <v>0</v>
      </c>
      <c r="W33" s="1443">
        <f t="shared" si="43"/>
        <v>0</v>
      </c>
      <c r="X33" s="1474">
        <f>'[20]Feb midyear NOMMA'!E33</f>
        <v>0</v>
      </c>
      <c r="Y33" s="1470">
        <f t="shared" si="44"/>
        <v>0</v>
      </c>
      <c r="Z33" s="1470">
        <f t="shared" si="45"/>
        <v>0</v>
      </c>
      <c r="AA33" s="1031">
        <f t="shared" si="46"/>
        <v>0</v>
      </c>
      <c r="AB33" s="1090">
        <f t="shared" si="47"/>
        <v>0</v>
      </c>
      <c r="AC33" s="1031">
        <f t="shared" si="48"/>
        <v>0</v>
      </c>
      <c r="AD33" s="1031">
        <v>0</v>
      </c>
      <c r="AE33" s="1031">
        <f t="shared" si="49"/>
        <v>0</v>
      </c>
      <c r="AF33" s="1031">
        <v>0</v>
      </c>
      <c r="AG33" s="1448">
        <f t="shared" si="50"/>
        <v>0</v>
      </c>
      <c r="AH33" s="1448">
        <f t="shared" si="51"/>
        <v>0</v>
      </c>
      <c r="AI33" s="1032">
        <f t="shared" si="31"/>
        <v>0</v>
      </c>
      <c r="AJ33" s="1032">
        <f t="shared" si="32"/>
        <v>0</v>
      </c>
      <c r="AL33" s="49">
        <f t="shared" si="52"/>
        <v>0</v>
      </c>
      <c r="AM33" s="49">
        <f>-'[22]Table 5C1D-NOMMA'!AL33</f>
        <v>0</v>
      </c>
      <c r="AN33">
        <f>-'[21]Table 5C1D-NOMMA'!P33</f>
        <v>0</v>
      </c>
      <c r="AO33" s="49">
        <f t="shared" si="53"/>
        <v>0</v>
      </c>
    </row>
    <row r="34" spans="1:41">
      <c r="A34" s="975">
        <v>28</v>
      </c>
      <c r="B34" s="976" t="s">
        <v>129</v>
      </c>
      <c r="C34" s="1171">
        <f>'Table 8 2.1.12 MFP Funded'!Z31</f>
        <v>0</v>
      </c>
      <c r="D34" s="984">
        <f>'Table 3 Levels 1&amp;2'!AL35</f>
        <v>3225.6961587092846</v>
      </c>
      <c r="E34" s="1074">
        <f t="shared" si="33"/>
        <v>0</v>
      </c>
      <c r="F34" s="1074">
        <f>'Table 4 Level 3'!P33</f>
        <v>694.4</v>
      </c>
      <c r="G34" s="1074">
        <f t="shared" si="34"/>
        <v>0</v>
      </c>
      <c r="H34" s="1037">
        <f t="shared" si="35"/>
        <v>0</v>
      </c>
      <c r="I34" s="1417">
        <f>'[1]Oct midyear NOMMA'!K34</f>
        <v>0</v>
      </c>
      <c r="J34" s="1417">
        <f>'[1]Feb midyear NOMMA'!K34</f>
        <v>0</v>
      </c>
      <c r="K34" s="1417">
        <f t="shared" si="36"/>
        <v>0</v>
      </c>
      <c r="L34" s="1436">
        <f t="shared" si="37"/>
        <v>0</v>
      </c>
      <c r="M34" s="1084">
        <f t="shared" si="38"/>
        <v>0</v>
      </c>
      <c r="N34" s="1037">
        <f t="shared" si="39"/>
        <v>0</v>
      </c>
      <c r="O34" s="1037">
        <v>0</v>
      </c>
      <c r="P34" s="1037">
        <f t="shared" si="40"/>
        <v>0</v>
      </c>
      <c r="Q34" s="1037">
        <v>0</v>
      </c>
      <c r="R34" s="1436">
        <f t="shared" si="41"/>
        <v>0</v>
      </c>
      <c r="S34" s="1436">
        <f t="shared" si="42"/>
        <v>0</v>
      </c>
      <c r="T34" s="1029">
        <f>'[14]FY2012-13 Final'!K35</f>
        <v>5338</v>
      </c>
      <c r="U34" s="1031">
        <f t="shared" si="30"/>
        <v>0</v>
      </c>
      <c r="V34" s="1464">
        <f>'[20]Oct midyear NOMMA'!E34</f>
        <v>0</v>
      </c>
      <c r="W34" s="1443">
        <f t="shared" si="43"/>
        <v>0</v>
      </c>
      <c r="X34" s="1474">
        <f>'[20]Feb midyear NOMMA'!E34</f>
        <v>0</v>
      </c>
      <c r="Y34" s="1470">
        <f t="shared" si="44"/>
        <v>0</v>
      </c>
      <c r="Z34" s="1470">
        <f t="shared" si="45"/>
        <v>0</v>
      </c>
      <c r="AA34" s="1031">
        <f t="shared" si="46"/>
        <v>0</v>
      </c>
      <c r="AB34" s="1090">
        <f t="shared" si="47"/>
        <v>0</v>
      </c>
      <c r="AC34" s="1031">
        <f t="shared" si="48"/>
        <v>0</v>
      </c>
      <c r="AD34" s="1031">
        <v>0</v>
      </c>
      <c r="AE34" s="1031">
        <f t="shared" si="49"/>
        <v>0</v>
      </c>
      <c r="AF34" s="1031">
        <v>0</v>
      </c>
      <c r="AG34" s="1448">
        <f t="shared" si="50"/>
        <v>0</v>
      </c>
      <c r="AH34" s="1448">
        <f t="shared" si="51"/>
        <v>0</v>
      </c>
      <c r="AI34" s="1032">
        <f t="shared" si="31"/>
        <v>0</v>
      </c>
      <c r="AJ34" s="1032">
        <f t="shared" si="32"/>
        <v>0</v>
      </c>
      <c r="AL34" s="49">
        <f t="shared" si="52"/>
        <v>0</v>
      </c>
      <c r="AM34" s="49">
        <f>-'[22]Table 5C1D-NOMMA'!AL34</f>
        <v>0</v>
      </c>
      <c r="AN34">
        <f>-'[21]Table 5C1D-NOMMA'!P34</f>
        <v>0</v>
      </c>
      <c r="AO34" s="49">
        <f t="shared" si="53"/>
        <v>0</v>
      </c>
    </row>
    <row r="35" spans="1:41">
      <c r="A35" s="975">
        <v>29</v>
      </c>
      <c r="B35" s="976" t="s">
        <v>130</v>
      </c>
      <c r="C35" s="1171">
        <f>'Table 8 2.1.12 MFP Funded'!Z32</f>
        <v>0</v>
      </c>
      <c r="D35" s="984">
        <f>'Table 3 Levels 1&amp;2'!AL36</f>
        <v>3955.7852148385191</v>
      </c>
      <c r="E35" s="1074">
        <f t="shared" si="33"/>
        <v>0</v>
      </c>
      <c r="F35" s="1074">
        <f>'Table 4 Level 3'!P34</f>
        <v>754.94999999999993</v>
      </c>
      <c r="G35" s="1074">
        <f t="shared" si="34"/>
        <v>0</v>
      </c>
      <c r="H35" s="1037">
        <f t="shared" si="35"/>
        <v>0</v>
      </c>
      <c r="I35" s="1417">
        <f>'[1]Oct midyear NOMMA'!K35</f>
        <v>0</v>
      </c>
      <c r="J35" s="1417">
        <f>'[1]Feb midyear NOMMA'!K35</f>
        <v>0</v>
      </c>
      <c r="K35" s="1417">
        <f t="shared" si="36"/>
        <v>0</v>
      </c>
      <c r="L35" s="1436">
        <f t="shared" si="37"/>
        <v>0</v>
      </c>
      <c r="M35" s="1084">
        <f t="shared" si="38"/>
        <v>0</v>
      </c>
      <c r="N35" s="1037">
        <f t="shared" si="39"/>
        <v>0</v>
      </c>
      <c r="O35" s="1037">
        <v>0</v>
      </c>
      <c r="P35" s="1037">
        <f t="shared" si="40"/>
        <v>0</v>
      </c>
      <c r="Q35" s="1037">
        <v>0</v>
      </c>
      <c r="R35" s="1436">
        <f t="shared" si="41"/>
        <v>0</v>
      </c>
      <c r="S35" s="1436">
        <f t="shared" si="42"/>
        <v>0</v>
      </c>
      <c r="T35" s="1029">
        <f>'[14]FY2012-13 Final'!K36</f>
        <v>4414</v>
      </c>
      <c r="U35" s="1031">
        <f t="shared" si="30"/>
        <v>0</v>
      </c>
      <c r="V35" s="1464">
        <f>'[20]Oct midyear NOMMA'!E35</f>
        <v>0</v>
      </c>
      <c r="W35" s="1443">
        <f t="shared" si="43"/>
        <v>0</v>
      </c>
      <c r="X35" s="1474">
        <f>'[20]Feb midyear NOMMA'!E35</f>
        <v>0</v>
      </c>
      <c r="Y35" s="1470">
        <f t="shared" si="44"/>
        <v>0</v>
      </c>
      <c r="Z35" s="1470">
        <f t="shared" si="45"/>
        <v>0</v>
      </c>
      <c r="AA35" s="1031">
        <f t="shared" si="46"/>
        <v>0</v>
      </c>
      <c r="AB35" s="1090">
        <f t="shared" si="47"/>
        <v>0</v>
      </c>
      <c r="AC35" s="1031">
        <f t="shared" si="48"/>
        <v>0</v>
      </c>
      <c r="AD35" s="1031">
        <v>0</v>
      </c>
      <c r="AE35" s="1031">
        <f t="shared" si="49"/>
        <v>0</v>
      </c>
      <c r="AF35" s="1031">
        <v>0</v>
      </c>
      <c r="AG35" s="1448">
        <f t="shared" si="50"/>
        <v>0</v>
      </c>
      <c r="AH35" s="1448">
        <f t="shared" si="51"/>
        <v>0</v>
      </c>
      <c r="AI35" s="1032">
        <f t="shared" si="31"/>
        <v>0</v>
      </c>
      <c r="AJ35" s="1032">
        <f t="shared" si="32"/>
        <v>0</v>
      </c>
      <c r="AL35" s="49">
        <f t="shared" si="52"/>
        <v>0</v>
      </c>
      <c r="AM35" s="49">
        <f>-'[22]Table 5C1D-NOMMA'!AL35</f>
        <v>0</v>
      </c>
      <c r="AN35">
        <f>-'[21]Table 5C1D-NOMMA'!P35</f>
        <v>0</v>
      </c>
      <c r="AO35" s="49">
        <f t="shared" si="53"/>
        <v>0</v>
      </c>
    </row>
    <row r="36" spans="1:41">
      <c r="A36" s="979">
        <v>30</v>
      </c>
      <c r="B36" s="980" t="s">
        <v>131</v>
      </c>
      <c r="C36" s="1172">
        <f>'Table 8 2.1.12 MFP Funded'!Z33</f>
        <v>0</v>
      </c>
      <c r="D36" s="986">
        <f>'Table 3 Levels 1&amp;2'!AL37</f>
        <v>5609.6361466464068</v>
      </c>
      <c r="E36" s="1075">
        <f t="shared" si="33"/>
        <v>0</v>
      </c>
      <c r="F36" s="1075">
        <f>'Table 4 Level 3'!P35</f>
        <v>727.17</v>
      </c>
      <c r="G36" s="1075">
        <f t="shared" si="34"/>
        <v>0</v>
      </c>
      <c r="H36" s="1038">
        <f t="shared" si="35"/>
        <v>0</v>
      </c>
      <c r="I36" s="1418">
        <f>'[1]Oct midyear NOMMA'!K36</f>
        <v>0</v>
      </c>
      <c r="J36" s="1418">
        <f>'[1]Feb midyear NOMMA'!K36</f>
        <v>0</v>
      </c>
      <c r="K36" s="1418">
        <f t="shared" si="36"/>
        <v>0</v>
      </c>
      <c r="L36" s="1437">
        <f t="shared" si="37"/>
        <v>0</v>
      </c>
      <c r="M36" s="1085">
        <f t="shared" si="38"/>
        <v>0</v>
      </c>
      <c r="N36" s="1038">
        <f t="shared" si="39"/>
        <v>0</v>
      </c>
      <c r="O36" s="1038">
        <v>0</v>
      </c>
      <c r="P36" s="1038">
        <f t="shared" si="40"/>
        <v>0</v>
      </c>
      <c r="Q36" s="1038">
        <v>0</v>
      </c>
      <c r="R36" s="1437">
        <f t="shared" si="41"/>
        <v>0</v>
      </c>
      <c r="S36" s="1437">
        <f t="shared" si="42"/>
        <v>0</v>
      </c>
      <c r="T36" s="1034">
        <f>'[14]FY2012-13 Final'!K37</f>
        <v>3703</v>
      </c>
      <c r="U36" s="1035">
        <f t="shared" si="30"/>
        <v>0</v>
      </c>
      <c r="V36" s="1465">
        <f>'[20]Oct midyear NOMMA'!E36</f>
        <v>0</v>
      </c>
      <c r="W36" s="1445">
        <f t="shared" si="43"/>
        <v>0</v>
      </c>
      <c r="X36" s="1475">
        <f>'[20]Feb midyear NOMMA'!E36</f>
        <v>0</v>
      </c>
      <c r="Y36" s="1471">
        <f t="shared" si="44"/>
        <v>0</v>
      </c>
      <c r="Z36" s="1471">
        <f t="shared" si="45"/>
        <v>0</v>
      </c>
      <c r="AA36" s="1035">
        <f t="shared" si="46"/>
        <v>0</v>
      </c>
      <c r="AB36" s="1091">
        <f t="shared" si="47"/>
        <v>0</v>
      </c>
      <c r="AC36" s="1035">
        <f t="shared" si="48"/>
        <v>0</v>
      </c>
      <c r="AD36" s="1035">
        <v>0</v>
      </c>
      <c r="AE36" s="1035">
        <f t="shared" si="49"/>
        <v>0</v>
      </c>
      <c r="AF36" s="1035">
        <v>0</v>
      </c>
      <c r="AG36" s="1450">
        <f t="shared" si="50"/>
        <v>0</v>
      </c>
      <c r="AH36" s="1450">
        <f t="shared" si="51"/>
        <v>0</v>
      </c>
      <c r="AI36" s="1036">
        <f t="shared" si="31"/>
        <v>0</v>
      </c>
      <c r="AJ36" s="1036">
        <f t="shared" si="32"/>
        <v>0</v>
      </c>
      <c r="AL36" s="49">
        <f t="shared" si="52"/>
        <v>0</v>
      </c>
      <c r="AM36" s="49">
        <f>-'[22]Table 5C1D-NOMMA'!AL36</f>
        <v>0</v>
      </c>
      <c r="AN36">
        <f>-'[21]Table 5C1D-NOMMA'!P36</f>
        <v>0</v>
      </c>
      <c r="AO36" s="49">
        <f t="shared" si="53"/>
        <v>0</v>
      </c>
    </row>
    <row r="37" spans="1:41">
      <c r="A37" s="968">
        <v>31</v>
      </c>
      <c r="B37" s="969" t="s">
        <v>132</v>
      </c>
      <c r="C37" s="1173">
        <f>'Table 8 2.1.12 MFP Funded'!Z34</f>
        <v>0</v>
      </c>
      <c r="D37" s="988">
        <f>'Table 3 Levels 1&amp;2'!AL38</f>
        <v>4174.0937400224284</v>
      </c>
      <c r="E37" s="1076">
        <f t="shared" si="33"/>
        <v>0</v>
      </c>
      <c r="F37" s="1076">
        <f>'Table 4 Level 3'!P36</f>
        <v>620.83000000000004</v>
      </c>
      <c r="G37" s="1076">
        <f t="shared" si="34"/>
        <v>0</v>
      </c>
      <c r="H37" s="1039">
        <f t="shared" si="35"/>
        <v>0</v>
      </c>
      <c r="I37" s="1419">
        <f>'[1]Oct midyear NOMMA'!K37</f>
        <v>0</v>
      </c>
      <c r="J37" s="1419">
        <f>'[1]Feb midyear NOMMA'!K37</f>
        <v>0</v>
      </c>
      <c r="K37" s="1419">
        <f t="shared" si="36"/>
        <v>0</v>
      </c>
      <c r="L37" s="1211">
        <f t="shared" si="37"/>
        <v>0</v>
      </c>
      <c r="M37" s="1086">
        <f t="shared" si="38"/>
        <v>0</v>
      </c>
      <c r="N37" s="1039">
        <f t="shared" si="39"/>
        <v>0</v>
      </c>
      <c r="O37" s="1039">
        <v>0</v>
      </c>
      <c r="P37" s="1039">
        <f t="shared" si="40"/>
        <v>0</v>
      </c>
      <c r="Q37" s="1039">
        <v>0</v>
      </c>
      <c r="R37" s="1211">
        <f t="shared" si="41"/>
        <v>0</v>
      </c>
      <c r="S37" s="1211">
        <f t="shared" si="42"/>
        <v>0</v>
      </c>
      <c r="T37" s="1029">
        <f>'[14]FY2012-13 Final'!K38</f>
        <v>4709</v>
      </c>
      <c r="U37" s="973">
        <f t="shared" si="30"/>
        <v>0</v>
      </c>
      <c r="V37" s="1466">
        <f>'[20]Oct midyear NOMMA'!E37</f>
        <v>0</v>
      </c>
      <c r="W37" s="1444">
        <f t="shared" si="43"/>
        <v>0</v>
      </c>
      <c r="X37" s="1466">
        <f>'[20]Feb midyear NOMMA'!E37</f>
        <v>0</v>
      </c>
      <c r="Y37" s="1444">
        <f t="shared" si="44"/>
        <v>0</v>
      </c>
      <c r="Z37" s="1444">
        <f t="shared" si="45"/>
        <v>0</v>
      </c>
      <c r="AA37" s="973">
        <f t="shared" si="46"/>
        <v>0</v>
      </c>
      <c r="AB37" s="1089">
        <f t="shared" si="47"/>
        <v>0</v>
      </c>
      <c r="AC37" s="973">
        <f t="shared" si="48"/>
        <v>0</v>
      </c>
      <c r="AD37" s="973">
        <v>0</v>
      </c>
      <c r="AE37" s="973">
        <f t="shared" si="49"/>
        <v>0</v>
      </c>
      <c r="AF37" s="973">
        <v>0</v>
      </c>
      <c r="AG37" s="1214">
        <f t="shared" si="50"/>
        <v>0</v>
      </c>
      <c r="AH37" s="1214">
        <f t="shared" si="51"/>
        <v>0</v>
      </c>
      <c r="AI37" s="974">
        <f t="shared" si="31"/>
        <v>0</v>
      </c>
      <c r="AJ37" s="974">
        <f t="shared" si="32"/>
        <v>0</v>
      </c>
      <c r="AL37" s="49">
        <f t="shared" si="52"/>
        <v>0</v>
      </c>
      <c r="AM37" s="49">
        <f>-'[22]Table 5C1D-NOMMA'!AL37</f>
        <v>0</v>
      </c>
      <c r="AN37">
        <f>-'[21]Table 5C1D-NOMMA'!P37</f>
        <v>0</v>
      </c>
      <c r="AO37" s="49">
        <f t="shared" si="53"/>
        <v>0</v>
      </c>
    </row>
    <row r="38" spans="1:41">
      <c r="A38" s="975">
        <v>32</v>
      </c>
      <c r="B38" s="976" t="s">
        <v>133</v>
      </c>
      <c r="C38" s="1171">
        <f>'Table 8 2.1.12 MFP Funded'!Z35</f>
        <v>0</v>
      </c>
      <c r="D38" s="984">
        <f>'Table 3 Levels 1&amp;2'!AL39</f>
        <v>5486.1585166144778</v>
      </c>
      <c r="E38" s="1074">
        <f t="shared" si="33"/>
        <v>0</v>
      </c>
      <c r="F38" s="1074">
        <f>'Table 4 Level 3'!P37</f>
        <v>559.77</v>
      </c>
      <c r="G38" s="1074">
        <f t="shared" si="34"/>
        <v>0</v>
      </c>
      <c r="H38" s="1037">
        <f t="shared" si="35"/>
        <v>0</v>
      </c>
      <c r="I38" s="1417">
        <f>'[1]Oct midyear NOMMA'!K38</f>
        <v>0</v>
      </c>
      <c r="J38" s="1417">
        <f>'[1]Feb midyear NOMMA'!K38</f>
        <v>0</v>
      </c>
      <c r="K38" s="1417">
        <f t="shared" si="36"/>
        <v>0</v>
      </c>
      <c r="L38" s="1436">
        <f t="shared" si="37"/>
        <v>0</v>
      </c>
      <c r="M38" s="1084">
        <f t="shared" si="38"/>
        <v>0</v>
      </c>
      <c r="N38" s="1037">
        <f t="shared" si="39"/>
        <v>0</v>
      </c>
      <c r="O38" s="1037">
        <v>0</v>
      </c>
      <c r="P38" s="1037">
        <f t="shared" si="40"/>
        <v>0</v>
      </c>
      <c r="Q38" s="1037">
        <f>547*7-957-957</f>
        <v>1915</v>
      </c>
      <c r="R38" s="1436">
        <f t="shared" si="41"/>
        <v>-1915</v>
      </c>
      <c r="S38" s="1436">
        <f t="shared" si="42"/>
        <v>-957.5</v>
      </c>
      <c r="T38" s="1029">
        <f>'[14]FY2012-13 Final'!K39</f>
        <v>1967</v>
      </c>
      <c r="U38" s="1031">
        <f t="shared" si="30"/>
        <v>0</v>
      </c>
      <c r="V38" s="1464">
        <f>'[20]Oct midyear NOMMA'!E38</f>
        <v>0</v>
      </c>
      <c r="W38" s="1443">
        <f t="shared" si="43"/>
        <v>0</v>
      </c>
      <c r="X38" s="1474">
        <f>'[20]Feb midyear NOMMA'!E38</f>
        <v>0</v>
      </c>
      <c r="Y38" s="1470">
        <f t="shared" si="44"/>
        <v>0</v>
      </c>
      <c r="Z38" s="1470">
        <f t="shared" si="45"/>
        <v>0</v>
      </c>
      <c r="AA38" s="1031">
        <f t="shared" si="46"/>
        <v>0</v>
      </c>
      <c r="AB38" s="1090">
        <f t="shared" si="47"/>
        <v>0</v>
      </c>
      <c r="AC38" s="1031">
        <f t="shared" si="48"/>
        <v>0</v>
      </c>
      <c r="AD38" s="1031">
        <v>0</v>
      </c>
      <c r="AE38" s="1031">
        <f t="shared" si="49"/>
        <v>0</v>
      </c>
      <c r="AF38" s="1031">
        <f>179+180+180+180+180+180+180-315-315</f>
        <v>629</v>
      </c>
      <c r="AG38" s="1448">
        <f t="shared" si="50"/>
        <v>-629</v>
      </c>
      <c r="AH38" s="1448">
        <f t="shared" si="51"/>
        <v>-314.5</v>
      </c>
      <c r="AI38" s="1032">
        <f t="shared" si="31"/>
        <v>0</v>
      </c>
      <c r="AJ38" s="1032">
        <f t="shared" si="32"/>
        <v>-1272</v>
      </c>
      <c r="AL38" s="49">
        <f t="shared" si="52"/>
        <v>0</v>
      </c>
      <c r="AM38" s="49">
        <f>-'[22]Table 5C1D-NOMMA'!AL38</f>
        <v>0</v>
      </c>
      <c r="AN38">
        <f>-'[21]Table 5C1D-NOMMA'!P38</f>
        <v>0</v>
      </c>
      <c r="AO38" s="49">
        <f t="shared" si="53"/>
        <v>0</v>
      </c>
    </row>
    <row r="39" spans="1:41">
      <c r="A39" s="975">
        <v>33</v>
      </c>
      <c r="B39" s="976" t="s">
        <v>134</v>
      </c>
      <c r="C39" s="1171">
        <f>'Table 8 2.1.12 MFP Funded'!Z36</f>
        <v>0</v>
      </c>
      <c r="D39" s="984">
        <f>'Table 3 Levels 1&amp;2'!AL40</f>
        <v>5393.8471941993575</v>
      </c>
      <c r="E39" s="1074">
        <f t="shared" si="33"/>
        <v>0</v>
      </c>
      <c r="F39" s="1074">
        <f>'Table 4 Level 3'!P38</f>
        <v>655.31000000000006</v>
      </c>
      <c r="G39" s="1074">
        <f t="shared" si="34"/>
        <v>0</v>
      </c>
      <c r="H39" s="1037">
        <f t="shared" si="35"/>
        <v>0</v>
      </c>
      <c r="I39" s="1417">
        <f>'[1]Oct midyear NOMMA'!K39</f>
        <v>0</v>
      </c>
      <c r="J39" s="1417">
        <f>'[1]Feb midyear NOMMA'!K39</f>
        <v>0</v>
      </c>
      <c r="K39" s="1417">
        <f t="shared" si="36"/>
        <v>0</v>
      </c>
      <c r="L39" s="1436">
        <f t="shared" si="37"/>
        <v>0</v>
      </c>
      <c r="M39" s="1084">
        <f t="shared" si="38"/>
        <v>0</v>
      </c>
      <c r="N39" s="1037">
        <f t="shared" si="39"/>
        <v>0</v>
      </c>
      <c r="O39" s="1037">
        <v>0</v>
      </c>
      <c r="P39" s="1037">
        <f t="shared" si="40"/>
        <v>0</v>
      </c>
      <c r="Q39" s="1037">
        <v>0</v>
      </c>
      <c r="R39" s="1436">
        <f t="shared" si="41"/>
        <v>0</v>
      </c>
      <c r="S39" s="1436">
        <f t="shared" si="42"/>
        <v>0</v>
      </c>
      <c r="T39" s="1029">
        <f>'[14]FY2012-13 Final'!K40</f>
        <v>2990</v>
      </c>
      <c r="U39" s="1031">
        <f t="shared" ref="U39:U70" si="54">C39*T39</f>
        <v>0</v>
      </c>
      <c r="V39" s="1464">
        <f>'[20]Oct midyear NOMMA'!E39</f>
        <v>0</v>
      </c>
      <c r="W39" s="1443">
        <f t="shared" si="43"/>
        <v>0</v>
      </c>
      <c r="X39" s="1474">
        <f>'[20]Feb midyear NOMMA'!E39</f>
        <v>0</v>
      </c>
      <c r="Y39" s="1470">
        <f t="shared" si="44"/>
        <v>0</v>
      </c>
      <c r="Z39" s="1470">
        <f t="shared" si="45"/>
        <v>0</v>
      </c>
      <c r="AA39" s="1031">
        <f t="shared" si="46"/>
        <v>0</v>
      </c>
      <c r="AB39" s="1090">
        <f t="shared" si="47"/>
        <v>0</v>
      </c>
      <c r="AC39" s="1031">
        <f t="shared" si="48"/>
        <v>0</v>
      </c>
      <c r="AD39" s="1031">
        <v>0</v>
      </c>
      <c r="AE39" s="1031">
        <f t="shared" si="49"/>
        <v>0</v>
      </c>
      <c r="AF39" s="1031">
        <v>0</v>
      </c>
      <c r="AG39" s="1448">
        <f t="shared" si="50"/>
        <v>0</v>
      </c>
      <c r="AH39" s="1448">
        <f t="shared" si="51"/>
        <v>0</v>
      </c>
      <c r="AI39" s="1032">
        <f t="shared" ref="AI39:AI75" si="55">P39+AE39</f>
        <v>0</v>
      </c>
      <c r="AJ39" s="1032">
        <f t="shared" ref="AJ39:AJ75" si="56">S39+AH39</f>
        <v>0</v>
      </c>
      <c r="AL39" s="49">
        <f t="shared" si="52"/>
        <v>0</v>
      </c>
      <c r="AM39" s="49">
        <f>-'[22]Table 5C1D-NOMMA'!AL39</f>
        <v>0</v>
      </c>
      <c r="AN39">
        <f>-'[21]Table 5C1D-NOMMA'!P39</f>
        <v>0</v>
      </c>
      <c r="AO39" s="49">
        <f t="shared" si="53"/>
        <v>0</v>
      </c>
    </row>
    <row r="40" spans="1:41">
      <c r="A40" s="975">
        <v>34</v>
      </c>
      <c r="B40" s="976" t="s">
        <v>135</v>
      </c>
      <c r="C40" s="1171">
        <f>'Table 8 2.1.12 MFP Funded'!Z37</f>
        <v>0</v>
      </c>
      <c r="D40" s="984">
        <f>'Table 3 Levels 1&amp;2'!AL41</f>
        <v>5864.3549473361072</v>
      </c>
      <c r="E40" s="1074">
        <f t="shared" si="33"/>
        <v>0</v>
      </c>
      <c r="F40" s="1074">
        <f>'Table 4 Level 3'!P39</f>
        <v>644.11000000000013</v>
      </c>
      <c r="G40" s="1074">
        <f t="shared" si="34"/>
        <v>0</v>
      </c>
      <c r="H40" s="1037">
        <f t="shared" si="35"/>
        <v>0</v>
      </c>
      <c r="I40" s="1417">
        <f>'[1]Oct midyear NOMMA'!K40</f>
        <v>0</v>
      </c>
      <c r="J40" s="1417">
        <f>'[1]Feb midyear NOMMA'!K40</f>
        <v>0</v>
      </c>
      <c r="K40" s="1417">
        <f t="shared" si="36"/>
        <v>0</v>
      </c>
      <c r="L40" s="1436">
        <f t="shared" si="37"/>
        <v>0</v>
      </c>
      <c r="M40" s="1084">
        <f t="shared" si="38"/>
        <v>0</v>
      </c>
      <c r="N40" s="1037">
        <f t="shared" si="39"/>
        <v>0</v>
      </c>
      <c r="O40" s="1037">
        <v>0</v>
      </c>
      <c r="P40" s="1037">
        <f t="shared" si="40"/>
        <v>0</v>
      </c>
      <c r="Q40" s="1037">
        <v>0</v>
      </c>
      <c r="R40" s="1436">
        <f t="shared" si="41"/>
        <v>0</v>
      </c>
      <c r="S40" s="1436">
        <f t="shared" si="42"/>
        <v>0</v>
      </c>
      <c r="T40" s="1029">
        <f>'[14]FY2012-13 Final'!K41</f>
        <v>2768</v>
      </c>
      <c r="U40" s="1031">
        <f t="shared" si="54"/>
        <v>0</v>
      </c>
      <c r="V40" s="1464">
        <f>'[20]Oct midyear NOMMA'!E40</f>
        <v>0</v>
      </c>
      <c r="W40" s="1443">
        <f t="shared" si="43"/>
        <v>0</v>
      </c>
      <c r="X40" s="1474">
        <f>'[20]Feb midyear NOMMA'!E40</f>
        <v>0</v>
      </c>
      <c r="Y40" s="1470">
        <f t="shared" si="44"/>
        <v>0</v>
      </c>
      <c r="Z40" s="1470">
        <f t="shared" si="45"/>
        <v>0</v>
      </c>
      <c r="AA40" s="1031">
        <f t="shared" si="46"/>
        <v>0</v>
      </c>
      <c r="AB40" s="1090">
        <f t="shared" si="47"/>
        <v>0</v>
      </c>
      <c r="AC40" s="1031">
        <f t="shared" si="48"/>
        <v>0</v>
      </c>
      <c r="AD40" s="1031">
        <v>0</v>
      </c>
      <c r="AE40" s="1031">
        <f t="shared" si="49"/>
        <v>0</v>
      </c>
      <c r="AF40" s="1031">
        <v>0</v>
      </c>
      <c r="AG40" s="1448">
        <f t="shared" si="50"/>
        <v>0</v>
      </c>
      <c r="AH40" s="1448">
        <f t="shared" si="51"/>
        <v>0</v>
      </c>
      <c r="AI40" s="1032">
        <f t="shared" si="55"/>
        <v>0</v>
      </c>
      <c r="AJ40" s="1032">
        <f t="shared" si="56"/>
        <v>0</v>
      </c>
      <c r="AL40" s="49">
        <f t="shared" si="52"/>
        <v>0</v>
      </c>
      <c r="AM40" s="49">
        <f>-'[22]Table 5C1D-NOMMA'!AL40</f>
        <v>0</v>
      </c>
      <c r="AN40">
        <f>-'[21]Table 5C1D-NOMMA'!P40</f>
        <v>0</v>
      </c>
      <c r="AO40" s="49">
        <f t="shared" si="53"/>
        <v>0</v>
      </c>
    </row>
    <row r="41" spans="1:41">
      <c r="A41" s="979">
        <v>35</v>
      </c>
      <c r="B41" s="980" t="s">
        <v>136</v>
      </c>
      <c r="C41" s="1172">
        <f>'Table 8 2.1.12 MFP Funded'!Z38</f>
        <v>0</v>
      </c>
      <c r="D41" s="986">
        <f>'Table 3 Levels 1&amp;2'!AL42</f>
        <v>4848.8680115701454</v>
      </c>
      <c r="E41" s="1075">
        <f t="shared" si="33"/>
        <v>0</v>
      </c>
      <c r="F41" s="1075">
        <f>'Table 4 Level 3'!P40</f>
        <v>537.96</v>
      </c>
      <c r="G41" s="1075">
        <f t="shared" si="34"/>
        <v>0</v>
      </c>
      <c r="H41" s="1038">
        <f t="shared" si="35"/>
        <v>0</v>
      </c>
      <c r="I41" s="1418">
        <f>'[1]Oct midyear NOMMA'!K41</f>
        <v>0</v>
      </c>
      <c r="J41" s="1418">
        <f>'[1]Feb midyear NOMMA'!K41</f>
        <v>0</v>
      </c>
      <c r="K41" s="1418">
        <f t="shared" si="36"/>
        <v>0</v>
      </c>
      <c r="L41" s="1437">
        <f t="shared" si="37"/>
        <v>0</v>
      </c>
      <c r="M41" s="1085">
        <f t="shared" si="38"/>
        <v>0</v>
      </c>
      <c r="N41" s="1038">
        <f t="shared" si="39"/>
        <v>0</v>
      </c>
      <c r="O41" s="1038">
        <v>0</v>
      </c>
      <c r="P41" s="1038">
        <f t="shared" si="40"/>
        <v>0</v>
      </c>
      <c r="Q41" s="1038">
        <v>0</v>
      </c>
      <c r="R41" s="1437">
        <f t="shared" si="41"/>
        <v>0</v>
      </c>
      <c r="S41" s="1437">
        <f t="shared" si="42"/>
        <v>0</v>
      </c>
      <c r="T41" s="1034">
        <f>'[14]FY2012-13 Final'!K42</f>
        <v>3611</v>
      </c>
      <c r="U41" s="1035">
        <f t="shared" si="54"/>
        <v>0</v>
      </c>
      <c r="V41" s="1465">
        <f>'[20]Oct midyear NOMMA'!E41</f>
        <v>0</v>
      </c>
      <c r="W41" s="1445">
        <f t="shared" si="43"/>
        <v>0</v>
      </c>
      <c r="X41" s="1475">
        <f>'[20]Feb midyear NOMMA'!E41</f>
        <v>0</v>
      </c>
      <c r="Y41" s="1471">
        <f t="shared" si="44"/>
        <v>0</v>
      </c>
      <c r="Z41" s="1471">
        <f t="shared" si="45"/>
        <v>0</v>
      </c>
      <c r="AA41" s="1035">
        <f t="shared" si="46"/>
        <v>0</v>
      </c>
      <c r="AB41" s="1091">
        <f t="shared" si="47"/>
        <v>0</v>
      </c>
      <c r="AC41" s="1035">
        <f t="shared" si="48"/>
        <v>0</v>
      </c>
      <c r="AD41" s="1035">
        <v>0</v>
      </c>
      <c r="AE41" s="1035">
        <f t="shared" si="49"/>
        <v>0</v>
      </c>
      <c r="AF41" s="1035">
        <v>0</v>
      </c>
      <c r="AG41" s="1450">
        <f t="shared" si="50"/>
        <v>0</v>
      </c>
      <c r="AH41" s="1450">
        <f t="shared" si="51"/>
        <v>0</v>
      </c>
      <c r="AI41" s="1036">
        <f t="shared" si="55"/>
        <v>0</v>
      </c>
      <c r="AJ41" s="1036">
        <f t="shared" si="56"/>
        <v>0</v>
      </c>
      <c r="AL41" s="49">
        <f t="shared" si="52"/>
        <v>0</v>
      </c>
      <c r="AM41" s="49">
        <f>-'[22]Table 5C1D-NOMMA'!AL41</f>
        <v>0</v>
      </c>
      <c r="AN41">
        <f>-'[21]Table 5C1D-NOMMA'!P41</f>
        <v>0</v>
      </c>
      <c r="AO41" s="49">
        <f t="shared" si="53"/>
        <v>0</v>
      </c>
    </row>
    <row r="42" spans="1:41">
      <c r="A42" s="968">
        <v>36</v>
      </c>
      <c r="B42" s="969" t="s">
        <v>137</v>
      </c>
      <c r="C42" s="1173">
        <f>'Table 8 2.1.12 MFP Funded'!Z39</f>
        <v>52</v>
      </c>
      <c r="D42" s="988">
        <f>'Table 3 Levels 1&amp;2'!AL43</f>
        <v>3442.7546828904692</v>
      </c>
      <c r="E42" s="1076">
        <f t="shared" si="33"/>
        <v>179023.2435103044</v>
      </c>
      <c r="F42" s="1076">
        <f>'Table 5B1_RSD_Orleans'!F78</f>
        <v>746.0335616438357</v>
      </c>
      <c r="G42" s="1076">
        <f t="shared" si="34"/>
        <v>38793.745205479456</v>
      </c>
      <c r="H42" s="1039">
        <f t="shared" si="35"/>
        <v>217816.98871578387</v>
      </c>
      <c r="I42" s="1419">
        <f>'[1]Oct midyear NOMMA'!K42</f>
        <v>209439.41222671524</v>
      </c>
      <c r="J42" s="1419">
        <f>'[1]Feb midyear NOMMA'!K42</f>
        <v>4188.7882445343048</v>
      </c>
      <c r="K42" s="1419">
        <f t="shared" si="36"/>
        <v>213628.20047124955</v>
      </c>
      <c r="L42" s="1211">
        <f t="shared" si="37"/>
        <v>431445.18918703345</v>
      </c>
      <c r="M42" s="1086">
        <f t="shared" si="38"/>
        <v>-1078.6129729675836</v>
      </c>
      <c r="N42" s="1039">
        <f t="shared" si="39"/>
        <v>430366.57621406589</v>
      </c>
      <c r="O42" s="1039">
        <v>0</v>
      </c>
      <c r="P42" s="1039">
        <f t="shared" si="40"/>
        <v>430366.57621406589</v>
      </c>
      <c r="Q42" s="1039">
        <f>18325+38701+36163+36163+36163+36163+36163+36163+40393+40393</f>
        <v>354790</v>
      </c>
      <c r="R42" s="1211">
        <f t="shared" si="41"/>
        <v>75576.576214065892</v>
      </c>
      <c r="S42" s="1211">
        <f t="shared" si="42"/>
        <v>37788.288107032946</v>
      </c>
      <c r="T42" s="1029">
        <f>'[14]FY2012-13 Final'!K43</f>
        <v>4884</v>
      </c>
      <c r="U42" s="973">
        <f t="shared" si="54"/>
        <v>253968</v>
      </c>
      <c r="V42" s="1466">
        <f>'[20]Oct midyear NOMMA'!E42</f>
        <v>50</v>
      </c>
      <c r="W42" s="1444">
        <f t="shared" si="43"/>
        <v>244200</v>
      </c>
      <c r="X42" s="1466">
        <f>'[20]Feb midyear NOMMA'!E42</f>
        <v>2</v>
      </c>
      <c r="Y42" s="1444">
        <f t="shared" si="44"/>
        <v>4884</v>
      </c>
      <c r="Z42" s="1444">
        <f t="shared" si="45"/>
        <v>249084</v>
      </c>
      <c r="AA42" s="973">
        <f t="shared" si="46"/>
        <v>503052</v>
      </c>
      <c r="AB42" s="1089">
        <f t="shared" si="47"/>
        <v>-1257.6300000000001</v>
      </c>
      <c r="AC42" s="973">
        <f t="shared" si="48"/>
        <v>501794.37</v>
      </c>
      <c r="AD42" s="973">
        <v>0</v>
      </c>
      <c r="AE42" s="973">
        <f t="shared" si="49"/>
        <v>501794.37</v>
      </c>
      <c r="AF42" s="973">
        <f>20683+43681+40817+40817+40817+40817+40817+40817+40863+40863</f>
        <v>390992</v>
      </c>
      <c r="AG42" s="1214">
        <f t="shared" si="50"/>
        <v>110802.37</v>
      </c>
      <c r="AH42" s="1214">
        <f t="shared" si="51"/>
        <v>55401.184999999998</v>
      </c>
      <c r="AI42" s="974">
        <f t="shared" si="55"/>
        <v>932160.94621406589</v>
      </c>
      <c r="AJ42" s="974">
        <f t="shared" si="56"/>
        <v>93189.473107032944</v>
      </c>
      <c r="AL42" s="49">
        <f t="shared" si="52"/>
        <v>-1257.6300000000001</v>
      </c>
      <c r="AM42" s="49">
        <f>-'[22]Table 5C1D-NOMMA'!AL42</f>
        <v>1184.7574999999999</v>
      </c>
      <c r="AN42">
        <f>-'[21]Table 5C1D-NOMMA'!P42</f>
        <v>622.05000000000007</v>
      </c>
      <c r="AO42" s="49">
        <f t="shared" si="53"/>
        <v>-72.872500000000173</v>
      </c>
    </row>
    <row r="43" spans="1:41">
      <c r="A43" s="975">
        <v>37</v>
      </c>
      <c r="B43" s="976" t="s">
        <v>138</v>
      </c>
      <c r="C43" s="1171">
        <f>'Table 8 2.1.12 MFP Funded'!Z40</f>
        <v>0</v>
      </c>
      <c r="D43" s="984">
        <f>'Table 3 Levels 1&amp;2'!AL44</f>
        <v>5492.0643232073926</v>
      </c>
      <c r="E43" s="1074">
        <f t="shared" si="33"/>
        <v>0</v>
      </c>
      <c r="F43" s="1074">
        <f>'Table 4 Level 3'!P42</f>
        <v>653.61</v>
      </c>
      <c r="G43" s="1074">
        <f t="shared" si="34"/>
        <v>0</v>
      </c>
      <c r="H43" s="1037">
        <f t="shared" si="35"/>
        <v>0</v>
      </c>
      <c r="I43" s="1417">
        <f>'[1]Oct midyear NOMMA'!K43</f>
        <v>0</v>
      </c>
      <c r="J43" s="1417">
        <f>'[1]Feb midyear NOMMA'!K43</f>
        <v>0</v>
      </c>
      <c r="K43" s="1417">
        <f t="shared" si="36"/>
        <v>0</v>
      </c>
      <c r="L43" s="1436">
        <f t="shared" si="37"/>
        <v>0</v>
      </c>
      <c r="M43" s="1084">
        <f t="shared" si="38"/>
        <v>0</v>
      </c>
      <c r="N43" s="1037">
        <f t="shared" si="39"/>
        <v>0</v>
      </c>
      <c r="O43" s="1037">
        <v>0</v>
      </c>
      <c r="P43" s="1037">
        <f t="shared" si="40"/>
        <v>0</v>
      </c>
      <c r="Q43" s="1037">
        <v>0</v>
      </c>
      <c r="R43" s="1436">
        <f t="shared" si="41"/>
        <v>0</v>
      </c>
      <c r="S43" s="1436">
        <f t="shared" si="42"/>
        <v>0</v>
      </c>
      <c r="T43" s="1029">
        <f>'[14]FY2012-13 Final'!K44</f>
        <v>3128</v>
      </c>
      <c r="U43" s="1031">
        <f t="shared" si="54"/>
        <v>0</v>
      </c>
      <c r="V43" s="1464">
        <f>'[20]Oct midyear NOMMA'!E43</f>
        <v>0</v>
      </c>
      <c r="W43" s="1443">
        <f t="shared" si="43"/>
        <v>0</v>
      </c>
      <c r="X43" s="1474">
        <f>'[20]Feb midyear NOMMA'!E43</f>
        <v>0</v>
      </c>
      <c r="Y43" s="1470">
        <f t="shared" si="44"/>
        <v>0</v>
      </c>
      <c r="Z43" s="1470">
        <f t="shared" si="45"/>
        <v>0</v>
      </c>
      <c r="AA43" s="1031">
        <f t="shared" si="46"/>
        <v>0</v>
      </c>
      <c r="AB43" s="1090">
        <f t="shared" si="47"/>
        <v>0</v>
      </c>
      <c r="AC43" s="1031">
        <f t="shared" si="48"/>
        <v>0</v>
      </c>
      <c r="AD43" s="1031">
        <v>0</v>
      </c>
      <c r="AE43" s="1031">
        <f t="shared" si="49"/>
        <v>0</v>
      </c>
      <c r="AF43" s="1031">
        <v>0</v>
      </c>
      <c r="AG43" s="1448">
        <f t="shared" si="50"/>
        <v>0</v>
      </c>
      <c r="AH43" s="1448">
        <f t="shared" si="51"/>
        <v>0</v>
      </c>
      <c r="AI43" s="1032">
        <f t="shared" si="55"/>
        <v>0</v>
      </c>
      <c r="AJ43" s="1032">
        <f t="shared" si="56"/>
        <v>0</v>
      </c>
      <c r="AL43" s="49">
        <f t="shared" si="52"/>
        <v>0</v>
      </c>
      <c r="AM43" s="49">
        <f>-'[22]Table 5C1D-NOMMA'!AL43</f>
        <v>0</v>
      </c>
      <c r="AN43">
        <f>-'[21]Table 5C1D-NOMMA'!P43</f>
        <v>0</v>
      </c>
      <c r="AO43" s="49">
        <f t="shared" si="53"/>
        <v>0</v>
      </c>
    </row>
    <row r="44" spans="1:41">
      <c r="A44" s="975">
        <v>38</v>
      </c>
      <c r="B44" s="976" t="s">
        <v>139</v>
      </c>
      <c r="C44" s="1171">
        <f>'Table 8 2.1.12 MFP Funded'!Z41</f>
        <v>5</v>
      </c>
      <c r="D44" s="984">
        <f>'Table 3 Levels 1&amp;2'!AL45</f>
        <v>2296.9220537376964</v>
      </c>
      <c r="E44" s="1074">
        <f t="shared" si="33"/>
        <v>11484.610268688482</v>
      </c>
      <c r="F44" s="1074">
        <f>'Table 4 Level 3'!P43</f>
        <v>829.92000000000007</v>
      </c>
      <c r="G44" s="1074">
        <f t="shared" si="34"/>
        <v>4149.6000000000004</v>
      </c>
      <c r="H44" s="1037">
        <f t="shared" si="35"/>
        <v>15634.210268688483</v>
      </c>
      <c r="I44" s="1417">
        <f>'[1]Oct midyear NOMMA'!K44</f>
        <v>9380.5261612130889</v>
      </c>
      <c r="J44" s="1417">
        <f>'[1]Feb midyear NOMMA'!K44</f>
        <v>0</v>
      </c>
      <c r="K44" s="1417">
        <f t="shared" si="36"/>
        <v>9380.5261612130889</v>
      </c>
      <c r="L44" s="1436">
        <f t="shared" si="37"/>
        <v>25014.736429901572</v>
      </c>
      <c r="M44" s="1084">
        <f t="shared" si="38"/>
        <v>-62.53684107475393</v>
      </c>
      <c r="N44" s="1037">
        <f t="shared" si="39"/>
        <v>24952.199588826817</v>
      </c>
      <c r="O44" s="1037">
        <v>0</v>
      </c>
      <c r="P44" s="1037">
        <f t="shared" si="40"/>
        <v>24952.199588826817</v>
      </c>
      <c r="Q44" s="1037">
        <f>1256+708+2516+2516+2516+2516+2516+2516+1763+1763</f>
        <v>20586</v>
      </c>
      <c r="R44" s="1436">
        <f t="shared" si="41"/>
        <v>4366.1995888268175</v>
      </c>
      <c r="S44" s="1436">
        <f t="shared" si="42"/>
        <v>2183.0997944134087</v>
      </c>
      <c r="T44" s="1029">
        <f>'[14]FY2012-13 Final'!K45</f>
        <v>10932</v>
      </c>
      <c r="U44" s="1031">
        <f t="shared" si="54"/>
        <v>54660</v>
      </c>
      <c r="V44" s="1464">
        <f>'[20]Oct midyear NOMMA'!E44</f>
        <v>3</v>
      </c>
      <c r="W44" s="1443">
        <f t="shared" si="43"/>
        <v>32796</v>
      </c>
      <c r="X44" s="1474">
        <f>'[20]Feb midyear NOMMA'!E44</f>
        <v>0</v>
      </c>
      <c r="Y44" s="1470">
        <f t="shared" si="44"/>
        <v>0</v>
      </c>
      <c r="Z44" s="1470">
        <f t="shared" si="45"/>
        <v>32796</v>
      </c>
      <c r="AA44" s="1031">
        <f t="shared" si="46"/>
        <v>87456</v>
      </c>
      <c r="AB44" s="1090">
        <f t="shared" si="47"/>
        <v>-218.64000000000001</v>
      </c>
      <c r="AC44" s="1031">
        <f t="shared" si="48"/>
        <v>87237.36</v>
      </c>
      <c r="AD44" s="1031">
        <v>0</v>
      </c>
      <c r="AE44" s="1031">
        <f t="shared" si="49"/>
        <v>87237.36</v>
      </c>
      <c r="AF44" s="1031">
        <f>4061+2289+8137+8137+8137+8137+8137+8137+5507+5507</f>
        <v>66186</v>
      </c>
      <c r="AG44" s="1448">
        <f t="shared" si="50"/>
        <v>21051.360000000001</v>
      </c>
      <c r="AH44" s="1448">
        <f t="shared" si="51"/>
        <v>10525.68</v>
      </c>
      <c r="AI44" s="1032">
        <f t="shared" si="55"/>
        <v>112189.55958882681</v>
      </c>
      <c r="AJ44" s="1032">
        <f t="shared" si="56"/>
        <v>12708.779794413409</v>
      </c>
      <c r="AL44" s="49">
        <f t="shared" si="52"/>
        <v>-218.64000000000001</v>
      </c>
      <c r="AM44" s="49">
        <f>-'[22]Table 5C1D-NOMMA'!AL44</f>
        <v>193.48000000000002</v>
      </c>
      <c r="AN44">
        <f>-'[21]Table 5C1D-NOMMA'!P44</f>
        <v>122.1375</v>
      </c>
      <c r="AO44" s="49">
        <f t="shared" si="53"/>
        <v>-25.159999999999997</v>
      </c>
    </row>
    <row r="45" spans="1:41">
      <c r="A45" s="975">
        <v>39</v>
      </c>
      <c r="B45" s="976" t="s">
        <v>140</v>
      </c>
      <c r="C45" s="1171">
        <f>'Table 8 2.1.12 MFP Funded'!Z42</f>
        <v>0</v>
      </c>
      <c r="D45" s="984">
        <f>'Table 3 Levels 1&amp;2'!AL46</f>
        <v>3692.59215316156</v>
      </c>
      <c r="E45" s="1074">
        <f t="shared" si="33"/>
        <v>0</v>
      </c>
      <c r="F45" s="1074">
        <f>'Table 5B2_RSD_LA'!F21</f>
        <v>779.65573042776441</v>
      </c>
      <c r="G45" s="1074">
        <f t="shared" si="34"/>
        <v>0</v>
      </c>
      <c r="H45" s="1037">
        <f t="shared" si="35"/>
        <v>0</v>
      </c>
      <c r="I45" s="1417">
        <f>'[1]Oct midyear NOMMA'!K45</f>
        <v>0</v>
      </c>
      <c r="J45" s="1417">
        <f>'[1]Feb midyear NOMMA'!K45</f>
        <v>0</v>
      </c>
      <c r="K45" s="1417">
        <f t="shared" si="36"/>
        <v>0</v>
      </c>
      <c r="L45" s="1436">
        <f t="shared" si="37"/>
        <v>0</v>
      </c>
      <c r="M45" s="1084">
        <f t="shared" si="38"/>
        <v>0</v>
      </c>
      <c r="N45" s="1037">
        <f t="shared" si="39"/>
        <v>0</v>
      </c>
      <c r="O45" s="1037">
        <v>0</v>
      </c>
      <c r="P45" s="1037">
        <f t="shared" si="40"/>
        <v>0</v>
      </c>
      <c r="Q45" s="1037">
        <v>0</v>
      </c>
      <c r="R45" s="1436">
        <f t="shared" si="41"/>
        <v>0</v>
      </c>
      <c r="S45" s="1436">
        <f t="shared" si="42"/>
        <v>0</v>
      </c>
      <c r="T45" s="1029">
        <f>'[14]FY2012-13 Final'!K46</f>
        <v>4317</v>
      </c>
      <c r="U45" s="1031">
        <f t="shared" si="54"/>
        <v>0</v>
      </c>
      <c r="V45" s="1464">
        <f>'[20]Oct midyear NOMMA'!E45</f>
        <v>0</v>
      </c>
      <c r="W45" s="1443">
        <f t="shared" si="43"/>
        <v>0</v>
      </c>
      <c r="X45" s="1474">
        <f>'[20]Feb midyear NOMMA'!E45</f>
        <v>0</v>
      </c>
      <c r="Y45" s="1470">
        <f t="shared" si="44"/>
        <v>0</v>
      </c>
      <c r="Z45" s="1470">
        <f t="shared" si="45"/>
        <v>0</v>
      </c>
      <c r="AA45" s="1031">
        <f t="shared" si="46"/>
        <v>0</v>
      </c>
      <c r="AB45" s="1090">
        <f t="shared" si="47"/>
        <v>0</v>
      </c>
      <c r="AC45" s="1031">
        <f t="shared" si="48"/>
        <v>0</v>
      </c>
      <c r="AD45" s="1031">
        <v>0</v>
      </c>
      <c r="AE45" s="1031">
        <f t="shared" si="49"/>
        <v>0</v>
      </c>
      <c r="AF45" s="1031">
        <v>0</v>
      </c>
      <c r="AG45" s="1448">
        <f t="shared" si="50"/>
        <v>0</v>
      </c>
      <c r="AH45" s="1448">
        <f t="shared" si="51"/>
        <v>0</v>
      </c>
      <c r="AI45" s="1032">
        <f t="shared" si="55"/>
        <v>0</v>
      </c>
      <c r="AJ45" s="1032">
        <f t="shared" si="56"/>
        <v>0</v>
      </c>
      <c r="AL45" s="49">
        <f t="shared" si="52"/>
        <v>0</v>
      </c>
      <c r="AM45" s="49">
        <f>-'[22]Table 5C1D-NOMMA'!AL45</f>
        <v>0</v>
      </c>
      <c r="AN45">
        <f>-'[21]Table 5C1D-NOMMA'!P45</f>
        <v>0</v>
      </c>
      <c r="AO45" s="49">
        <f t="shared" si="53"/>
        <v>0</v>
      </c>
    </row>
    <row r="46" spans="1:41">
      <c r="A46" s="979">
        <v>40</v>
      </c>
      <c r="B46" s="980" t="s">
        <v>141</v>
      </c>
      <c r="C46" s="1172">
        <f>'Table 8 2.1.12 MFP Funded'!Z43</f>
        <v>0</v>
      </c>
      <c r="D46" s="986">
        <f>'Table 3 Levels 1&amp;2'!AL47</f>
        <v>4897.3087815908475</v>
      </c>
      <c r="E46" s="1075">
        <f t="shared" si="33"/>
        <v>0</v>
      </c>
      <c r="F46" s="1075">
        <f>'Table 4 Level 3'!P45</f>
        <v>700.2700000000001</v>
      </c>
      <c r="G46" s="1075">
        <f t="shared" si="34"/>
        <v>0</v>
      </c>
      <c r="H46" s="1038">
        <f t="shared" si="35"/>
        <v>0</v>
      </c>
      <c r="I46" s="1418">
        <f>'[1]Oct midyear NOMMA'!K46</f>
        <v>0</v>
      </c>
      <c r="J46" s="1418">
        <f>'[1]Feb midyear NOMMA'!K46</f>
        <v>0</v>
      </c>
      <c r="K46" s="1418">
        <f t="shared" si="36"/>
        <v>0</v>
      </c>
      <c r="L46" s="1437">
        <f t="shared" si="37"/>
        <v>0</v>
      </c>
      <c r="M46" s="1085">
        <f t="shared" si="38"/>
        <v>0</v>
      </c>
      <c r="N46" s="1038">
        <f t="shared" si="39"/>
        <v>0</v>
      </c>
      <c r="O46" s="1038">
        <v>0</v>
      </c>
      <c r="P46" s="1038">
        <f t="shared" si="40"/>
        <v>0</v>
      </c>
      <c r="Q46" s="1038">
        <v>0</v>
      </c>
      <c r="R46" s="1437">
        <f t="shared" si="41"/>
        <v>0</v>
      </c>
      <c r="S46" s="1437">
        <f t="shared" si="42"/>
        <v>0</v>
      </c>
      <c r="T46" s="1034">
        <f>'[14]FY2012-13 Final'!K47</f>
        <v>2932</v>
      </c>
      <c r="U46" s="1035">
        <f t="shared" si="54"/>
        <v>0</v>
      </c>
      <c r="V46" s="1465">
        <f>'[20]Oct midyear NOMMA'!E46</f>
        <v>0</v>
      </c>
      <c r="W46" s="1445">
        <f t="shared" si="43"/>
        <v>0</v>
      </c>
      <c r="X46" s="1475">
        <f>'[20]Feb midyear NOMMA'!E46</f>
        <v>0</v>
      </c>
      <c r="Y46" s="1471">
        <f t="shared" si="44"/>
        <v>0</v>
      </c>
      <c r="Z46" s="1471">
        <f t="shared" si="45"/>
        <v>0</v>
      </c>
      <c r="AA46" s="1035">
        <f t="shared" si="46"/>
        <v>0</v>
      </c>
      <c r="AB46" s="1091">
        <f t="shared" si="47"/>
        <v>0</v>
      </c>
      <c r="AC46" s="1035">
        <f t="shared" si="48"/>
        <v>0</v>
      </c>
      <c r="AD46" s="1035">
        <v>0</v>
      </c>
      <c r="AE46" s="1035">
        <f t="shared" si="49"/>
        <v>0</v>
      </c>
      <c r="AF46" s="1035">
        <v>0</v>
      </c>
      <c r="AG46" s="1450">
        <f t="shared" si="50"/>
        <v>0</v>
      </c>
      <c r="AH46" s="1450">
        <f t="shared" si="51"/>
        <v>0</v>
      </c>
      <c r="AI46" s="1036">
        <f t="shared" si="55"/>
        <v>0</v>
      </c>
      <c r="AJ46" s="1036">
        <f t="shared" si="56"/>
        <v>0</v>
      </c>
      <c r="AL46" s="49">
        <f t="shared" si="52"/>
        <v>0</v>
      </c>
      <c r="AM46" s="49">
        <f>-'[22]Table 5C1D-NOMMA'!AL46</f>
        <v>0</v>
      </c>
      <c r="AN46">
        <f>-'[21]Table 5C1D-NOMMA'!P46</f>
        <v>0</v>
      </c>
      <c r="AO46" s="49">
        <f t="shared" si="53"/>
        <v>0</v>
      </c>
    </row>
    <row r="47" spans="1:41">
      <c r="A47" s="968">
        <v>41</v>
      </c>
      <c r="B47" s="969" t="s">
        <v>142</v>
      </c>
      <c r="C47" s="1173">
        <f>'Table 8 2.1.12 MFP Funded'!Z44</f>
        <v>0</v>
      </c>
      <c r="D47" s="988">
        <f>'Table 3 Levels 1&amp;2'!AL48</f>
        <v>1613.0487891737891</v>
      </c>
      <c r="E47" s="1076">
        <f t="shared" si="33"/>
        <v>0</v>
      </c>
      <c r="F47" s="1076">
        <f>'Table 4 Level 3'!P46</f>
        <v>886.22</v>
      </c>
      <c r="G47" s="1076">
        <f t="shared" si="34"/>
        <v>0</v>
      </c>
      <c r="H47" s="1039">
        <f t="shared" si="35"/>
        <v>0</v>
      </c>
      <c r="I47" s="1419">
        <f>'[1]Oct midyear NOMMA'!K47</f>
        <v>0</v>
      </c>
      <c r="J47" s="1419">
        <f>'[1]Feb midyear NOMMA'!K47</f>
        <v>0</v>
      </c>
      <c r="K47" s="1419">
        <f t="shared" si="36"/>
        <v>0</v>
      </c>
      <c r="L47" s="1211">
        <f t="shared" si="37"/>
        <v>0</v>
      </c>
      <c r="M47" s="1086">
        <f t="shared" si="38"/>
        <v>0</v>
      </c>
      <c r="N47" s="1039">
        <f t="shared" si="39"/>
        <v>0</v>
      </c>
      <c r="O47" s="1039">
        <v>0</v>
      </c>
      <c r="P47" s="1039">
        <f t="shared" si="40"/>
        <v>0</v>
      </c>
      <c r="Q47" s="1039">
        <v>0</v>
      </c>
      <c r="R47" s="1211">
        <f t="shared" si="41"/>
        <v>0</v>
      </c>
      <c r="S47" s="1211">
        <f t="shared" si="42"/>
        <v>0</v>
      </c>
      <c r="T47" s="1029">
        <f>'[14]FY2012-13 Final'!K48</f>
        <v>12026</v>
      </c>
      <c r="U47" s="973">
        <f t="shared" si="54"/>
        <v>0</v>
      </c>
      <c r="V47" s="1466">
        <f>'[20]Oct midyear NOMMA'!E47</f>
        <v>0</v>
      </c>
      <c r="W47" s="1444">
        <f t="shared" si="43"/>
        <v>0</v>
      </c>
      <c r="X47" s="1466">
        <f>'[20]Feb midyear NOMMA'!E47</f>
        <v>0</v>
      </c>
      <c r="Y47" s="1444">
        <f t="shared" si="44"/>
        <v>0</v>
      </c>
      <c r="Z47" s="1444">
        <f t="shared" si="45"/>
        <v>0</v>
      </c>
      <c r="AA47" s="973">
        <f t="shared" si="46"/>
        <v>0</v>
      </c>
      <c r="AB47" s="1089">
        <f t="shared" si="47"/>
        <v>0</v>
      </c>
      <c r="AC47" s="973">
        <f t="shared" si="48"/>
        <v>0</v>
      </c>
      <c r="AD47" s="973">
        <v>0</v>
      </c>
      <c r="AE47" s="973">
        <f t="shared" si="49"/>
        <v>0</v>
      </c>
      <c r="AF47" s="973">
        <v>0</v>
      </c>
      <c r="AG47" s="1214">
        <f t="shared" si="50"/>
        <v>0</v>
      </c>
      <c r="AH47" s="1214">
        <f t="shared" si="51"/>
        <v>0</v>
      </c>
      <c r="AI47" s="974">
        <f t="shared" si="55"/>
        <v>0</v>
      </c>
      <c r="AJ47" s="974">
        <f t="shared" si="56"/>
        <v>0</v>
      </c>
      <c r="AL47" s="49">
        <f t="shared" si="52"/>
        <v>0</v>
      </c>
      <c r="AM47" s="49">
        <f>-'[22]Table 5C1D-NOMMA'!AL47</f>
        <v>0</v>
      </c>
      <c r="AN47">
        <f>-'[21]Table 5C1D-NOMMA'!P47</f>
        <v>0</v>
      </c>
      <c r="AO47" s="49">
        <f t="shared" si="53"/>
        <v>0</v>
      </c>
    </row>
    <row r="48" spans="1:41">
      <c r="A48" s="975">
        <v>42</v>
      </c>
      <c r="B48" s="976" t="s">
        <v>143</v>
      </c>
      <c r="C48" s="1171">
        <f>'Table 8 2.1.12 MFP Funded'!Z45</f>
        <v>0</v>
      </c>
      <c r="D48" s="984">
        <f>'Table 3 Levels 1&amp;2'!AL49</f>
        <v>5259.3837602759822</v>
      </c>
      <c r="E48" s="1074">
        <f t="shared" si="33"/>
        <v>0</v>
      </c>
      <c r="F48" s="1074">
        <f>'Table 4 Level 3'!P47</f>
        <v>534.28</v>
      </c>
      <c r="G48" s="1074">
        <f t="shared" si="34"/>
        <v>0</v>
      </c>
      <c r="H48" s="1037">
        <f t="shared" si="35"/>
        <v>0</v>
      </c>
      <c r="I48" s="1417">
        <f>'[1]Oct midyear NOMMA'!K48</f>
        <v>0</v>
      </c>
      <c r="J48" s="1417">
        <f>'[1]Feb midyear NOMMA'!K48</f>
        <v>0</v>
      </c>
      <c r="K48" s="1417">
        <f t="shared" si="36"/>
        <v>0</v>
      </c>
      <c r="L48" s="1436">
        <f t="shared" si="37"/>
        <v>0</v>
      </c>
      <c r="M48" s="1084">
        <f t="shared" si="38"/>
        <v>0</v>
      </c>
      <c r="N48" s="1037">
        <f t="shared" si="39"/>
        <v>0</v>
      </c>
      <c r="O48" s="1037">
        <v>0</v>
      </c>
      <c r="P48" s="1037">
        <f t="shared" si="40"/>
        <v>0</v>
      </c>
      <c r="Q48" s="1037">
        <v>0</v>
      </c>
      <c r="R48" s="1436">
        <f t="shared" si="41"/>
        <v>0</v>
      </c>
      <c r="S48" s="1436">
        <f t="shared" si="42"/>
        <v>0</v>
      </c>
      <c r="T48" s="1029">
        <f>'[14]FY2012-13 Final'!K49</f>
        <v>2881</v>
      </c>
      <c r="U48" s="1031">
        <f t="shared" si="54"/>
        <v>0</v>
      </c>
      <c r="V48" s="1464">
        <f>'[20]Oct midyear NOMMA'!E48</f>
        <v>0</v>
      </c>
      <c r="W48" s="1443">
        <f t="shared" si="43"/>
        <v>0</v>
      </c>
      <c r="X48" s="1474">
        <f>'[20]Feb midyear NOMMA'!E48</f>
        <v>0</v>
      </c>
      <c r="Y48" s="1470">
        <f t="shared" si="44"/>
        <v>0</v>
      </c>
      <c r="Z48" s="1470">
        <f t="shared" si="45"/>
        <v>0</v>
      </c>
      <c r="AA48" s="1031">
        <f t="shared" si="46"/>
        <v>0</v>
      </c>
      <c r="AB48" s="1090">
        <f t="shared" si="47"/>
        <v>0</v>
      </c>
      <c r="AC48" s="1031">
        <f t="shared" si="48"/>
        <v>0</v>
      </c>
      <c r="AD48" s="1031">
        <v>0</v>
      </c>
      <c r="AE48" s="1031">
        <f t="shared" si="49"/>
        <v>0</v>
      </c>
      <c r="AF48" s="1031">
        <v>0</v>
      </c>
      <c r="AG48" s="1448">
        <f t="shared" si="50"/>
        <v>0</v>
      </c>
      <c r="AH48" s="1448">
        <f t="shared" si="51"/>
        <v>0</v>
      </c>
      <c r="AI48" s="1032">
        <f t="shared" si="55"/>
        <v>0</v>
      </c>
      <c r="AJ48" s="1032">
        <f t="shared" si="56"/>
        <v>0</v>
      </c>
      <c r="AL48" s="49">
        <f t="shared" si="52"/>
        <v>0</v>
      </c>
      <c r="AM48" s="49">
        <f>-'[22]Table 5C1D-NOMMA'!AL48</f>
        <v>0</v>
      </c>
      <c r="AN48">
        <f>-'[21]Table 5C1D-NOMMA'!P48</f>
        <v>0</v>
      </c>
      <c r="AO48" s="49">
        <f t="shared" si="53"/>
        <v>0</v>
      </c>
    </row>
    <row r="49" spans="1:41">
      <c r="A49" s="975">
        <v>43</v>
      </c>
      <c r="B49" s="976" t="s">
        <v>144</v>
      </c>
      <c r="C49" s="1171">
        <f>'Table 8 2.1.12 MFP Funded'!Z46</f>
        <v>0</v>
      </c>
      <c r="D49" s="984">
        <f>'Table 3 Levels 1&amp;2'!AL50</f>
        <v>5602.7225412254893</v>
      </c>
      <c r="E49" s="1074">
        <f t="shared" si="33"/>
        <v>0</v>
      </c>
      <c r="F49" s="1074">
        <f>'Table 4 Level 3'!P48</f>
        <v>574.6099999999999</v>
      </c>
      <c r="G49" s="1074">
        <f t="shared" si="34"/>
        <v>0</v>
      </c>
      <c r="H49" s="1037">
        <f t="shared" si="35"/>
        <v>0</v>
      </c>
      <c r="I49" s="1417">
        <f>'[1]Oct midyear NOMMA'!K49</f>
        <v>0</v>
      </c>
      <c r="J49" s="1417">
        <f>'[1]Feb midyear NOMMA'!K49</f>
        <v>0</v>
      </c>
      <c r="K49" s="1417">
        <f t="shared" si="36"/>
        <v>0</v>
      </c>
      <c r="L49" s="1436">
        <f t="shared" si="37"/>
        <v>0</v>
      </c>
      <c r="M49" s="1084">
        <f t="shared" si="38"/>
        <v>0</v>
      </c>
      <c r="N49" s="1037">
        <f t="shared" si="39"/>
        <v>0</v>
      </c>
      <c r="O49" s="1037">
        <v>0</v>
      </c>
      <c r="P49" s="1037">
        <f t="shared" si="40"/>
        <v>0</v>
      </c>
      <c r="Q49" s="1037">
        <v>0</v>
      </c>
      <c r="R49" s="1436">
        <f t="shared" si="41"/>
        <v>0</v>
      </c>
      <c r="S49" s="1436">
        <f t="shared" si="42"/>
        <v>0</v>
      </c>
      <c r="T49" s="1029">
        <f>'[14]FY2012-13 Final'!K50</f>
        <v>5270</v>
      </c>
      <c r="U49" s="1031">
        <f t="shared" si="54"/>
        <v>0</v>
      </c>
      <c r="V49" s="1464">
        <f>'[20]Oct midyear NOMMA'!E49</f>
        <v>0</v>
      </c>
      <c r="W49" s="1443">
        <f t="shared" si="43"/>
        <v>0</v>
      </c>
      <c r="X49" s="1474">
        <f>'[20]Feb midyear NOMMA'!E49</f>
        <v>0</v>
      </c>
      <c r="Y49" s="1470">
        <f t="shared" si="44"/>
        <v>0</v>
      </c>
      <c r="Z49" s="1470">
        <f t="shared" si="45"/>
        <v>0</v>
      </c>
      <c r="AA49" s="1031">
        <f t="shared" si="46"/>
        <v>0</v>
      </c>
      <c r="AB49" s="1090">
        <f t="shared" si="47"/>
        <v>0</v>
      </c>
      <c r="AC49" s="1031">
        <f t="shared" si="48"/>
        <v>0</v>
      </c>
      <c r="AD49" s="1031">
        <v>0</v>
      </c>
      <c r="AE49" s="1031">
        <f t="shared" si="49"/>
        <v>0</v>
      </c>
      <c r="AF49" s="1031">
        <v>0</v>
      </c>
      <c r="AG49" s="1448">
        <f t="shared" si="50"/>
        <v>0</v>
      </c>
      <c r="AH49" s="1448">
        <f t="shared" si="51"/>
        <v>0</v>
      </c>
      <c r="AI49" s="1032">
        <f t="shared" si="55"/>
        <v>0</v>
      </c>
      <c r="AJ49" s="1032">
        <f t="shared" si="56"/>
        <v>0</v>
      </c>
      <c r="AL49" s="49">
        <f t="shared" si="52"/>
        <v>0</v>
      </c>
      <c r="AM49" s="49">
        <f>-'[22]Table 5C1D-NOMMA'!AL49</f>
        <v>0</v>
      </c>
      <c r="AN49">
        <f>-'[21]Table 5C1D-NOMMA'!P49</f>
        <v>0</v>
      </c>
      <c r="AO49" s="49">
        <f t="shared" si="53"/>
        <v>0</v>
      </c>
    </row>
    <row r="50" spans="1:41">
      <c r="A50" s="975">
        <v>44</v>
      </c>
      <c r="B50" s="976" t="s">
        <v>145</v>
      </c>
      <c r="C50" s="1171">
        <f>'Table 8 2.1.12 MFP Funded'!Z47</f>
        <v>0</v>
      </c>
      <c r="D50" s="984">
        <f>'Table 3 Levels 1&amp;2'!AL51</f>
        <v>4123.0310925034155</v>
      </c>
      <c r="E50" s="1074">
        <f t="shared" si="33"/>
        <v>0</v>
      </c>
      <c r="F50" s="1074">
        <f>'Table 4 Level 3'!P49</f>
        <v>663.16000000000008</v>
      </c>
      <c r="G50" s="1074">
        <f t="shared" si="34"/>
        <v>0</v>
      </c>
      <c r="H50" s="1037">
        <f t="shared" si="35"/>
        <v>0</v>
      </c>
      <c r="I50" s="1417">
        <f>'[1]Oct midyear NOMMA'!K50</f>
        <v>9572.3821850068307</v>
      </c>
      <c r="J50" s="1417">
        <f>'[1]Feb midyear NOMMA'!K50</f>
        <v>0</v>
      </c>
      <c r="K50" s="1417">
        <f t="shared" si="36"/>
        <v>9572.3821850068307</v>
      </c>
      <c r="L50" s="1436">
        <f t="shared" si="37"/>
        <v>9572.3821850068307</v>
      </c>
      <c r="M50" s="1084">
        <f t="shared" si="38"/>
        <v>-23.930955462517076</v>
      </c>
      <c r="N50" s="1037">
        <f t="shared" si="39"/>
        <v>9548.4512295443128</v>
      </c>
      <c r="O50" s="1037">
        <v>0</v>
      </c>
      <c r="P50" s="1037">
        <f t="shared" si="40"/>
        <v>9548.4512295443128</v>
      </c>
      <c r="Q50" s="1037">
        <f>866+1343+1343+1343+1343+1343+1343+151+151</f>
        <v>9226</v>
      </c>
      <c r="R50" s="1436">
        <f t="shared" si="41"/>
        <v>322.45122954431281</v>
      </c>
      <c r="S50" s="1436">
        <f t="shared" si="42"/>
        <v>161.2256147721564</v>
      </c>
      <c r="T50" s="1029">
        <f>'[14]FY2012-13 Final'!K51</f>
        <v>4133</v>
      </c>
      <c r="U50" s="1031">
        <f t="shared" si="54"/>
        <v>0</v>
      </c>
      <c r="V50" s="1464">
        <f>'[20]Oct midyear NOMMA'!E50</f>
        <v>2</v>
      </c>
      <c r="W50" s="1443">
        <f t="shared" si="43"/>
        <v>8266</v>
      </c>
      <c r="X50" s="1474">
        <f>'[20]Feb midyear NOMMA'!E50</f>
        <v>0</v>
      </c>
      <c r="Y50" s="1470">
        <f t="shared" si="44"/>
        <v>0</v>
      </c>
      <c r="Z50" s="1470">
        <f t="shared" si="45"/>
        <v>8266</v>
      </c>
      <c r="AA50" s="1031">
        <f t="shared" si="46"/>
        <v>8266</v>
      </c>
      <c r="AB50" s="1090">
        <f t="shared" si="47"/>
        <v>-20.664999999999999</v>
      </c>
      <c r="AC50" s="1031">
        <f t="shared" si="48"/>
        <v>8245.3349999999991</v>
      </c>
      <c r="AD50" s="1031">
        <v>0</v>
      </c>
      <c r="AE50" s="1031">
        <f t="shared" si="49"/>
        <v>8245.3349999999991</v>
      </c>
      <c r="AF50" s="1031">
        <f>845+1310+1310+1310+1310+1310+1310-127-127</f>
        <v>8451</v>
      </c>
      <c r="AG50" s="1448">
        <f t="shared" si="50"/>
        <v>-205.66500000000087</v>
      </c>
      <c r="AH50" s="1448">
        <f t="shared" si="51"/>
        <v>-102.83250000000044</v>
      </c>
      <c r="AI50" s="1032">
        <f t="shared" si="55"/>
        <v>17793.786229544312</v>
      </c>
      <c r="AJ50" s="1032">
        <f t="shared" si="56"/>
        <v>58.393114772155968</v>
      </c>
      <c r="AL50" s="49">
        <f t="shared" si="52"/>
        <v>-20.664999999999999</v>
      </c>
      <c r="AM50" s="49">
        <f>-'[22]Table 5C1D-NOMMA'!AL50</f>
        <v>20.545000000000002</v>
      </c>
      <c r="AN50">
        <f>-'[21]Table 5C1D-NOMMA'!P50</f>
        <v>0</v>
      </c>
      <c r="AO50" s="49">
        <f t="shared" si="53"/>
        <v>-0.11999999999999744</v>
      </c>
    </row>
    <row r="51" spans="1:41">
      <c r="A51" s="979">
        <v>45</v>
      </c>
      <c r="B51" s="980" t="s">
        <v>146</v>
      </c>
      <c r="C51" s="1172">
        <f>'Table 8 2.1.12 MFP Funded'!Z48</f>
        <v>1</v>
      </c>
      <c r="D51" s="986">
        <f>'Table 3 Levels 1&amp;2'!AL52</f>
        <v>2428.6757675555082</v>
      </c>
      <c r="E51" s="1075">
        <f t="shared" si="33"/>
        <v>2428.6757675555082</v>
      </c>
      <c r="F51" s="1075">
        <f>'Table 4 Level 3'!P50</f>
        <v>753.96000000000015</v>
      </c>
      <c r="G51" s="1075">
        <f t="shared" si="34"/>
        <v>753.96000000000015</v>
      </c>
      <c r="H51" s="1038">
        <f t="shared" si="35"/>
        <v>3182.6357675555082</v>
      </c>
      <c r="I51" s="1418">
        <f>'[1]Oct midyear NOMMA'!K51</f>
        <v>-3182.6357675555082</v>
      </c>
      <c r="J51" s="1418">
        <f>'[1]Feb midyear NOMMA'!K51</f>
        <v>0</v>
      </c>
      <c r="K51" s="1418">
        <f t="shared" si="36"/>
        <v>-3182.6357675555082</v>
      </c>
      <c r="L51" s="1437">
        <f t="shared" si="37"/>
        <v>0</v>
      </c>
      <c r="M51" s="1085">
        <f t="shared" si="38"/>
        <v>0</v>
      </c>
      <c r="N51" s="1038">
        <f t="shared" si="39"/>
        <v>0</v>
      </c>
      <c r="O51" s="1038">
        <v>0</v>
      </c>
      <c r="P51" s="1038">
        <f t="shared" si="40"/>
        <v>0</v>
      </c>
      <c r="Q51" s="1038">
        <f>263-24-24-24-24-24-24-24-24-24</f>
        <v>47</v>
      </c>
      <c r="R51" s="1437">
        <f t="shared" si="41"/>
        <v>-47</v>
      </c>
      <c r="S51" s="1437">
        <f t="shared" si="42"/>
        <v>-23.5</v>
      </c>
      <c r="T51" s="1034">
        <f>'[14]FY2012-13 Final'!K52</f>
        <v>12446</v>
      </c>
      <c r="U51" s="1035">
        <f t="shared" si="54"/>
        <v>12446</v>
      </c>
      <c r="V51" s="1465">
        <f>'[20]Oct midyear NOMMA'!E51</f>
        <v>-1</v>
      </c>
      <c r="W51" s="1445">
        <f t="shared" si="43"/>
        <v>-12446</v>
      </c>
      <c r="X51" s="1475">
        <f>'[20]Feb midyear NOMMA'!E51</f>
        <v>0</v>
      </c>
      <c r="Y51" s="1471">
        <f t="shared" si="44"/>
        <v>0</v>
      </c>
      <c r="Z51" s="1471">
        <f t="shared" si="45"/>
        <v>-12446</v>
      </c>
      <c r="AA51" s="1035">
        <f t="shared" si="46"/>
        <v>0</v>
      </c>
      <c r="AB51" s="1091">
        <f t="shared" si="47"/>
        <v>0</v>
      </c>
      <c r="AC51" s="1035">
        <f t="shared" si="48"/>
        <v>0</v>
      </c>
      <c r="AD51" s="1035">
        <v>0</v>
      </c>
      <c r="AE51" s="1035">
        <f t="shared" si="49"/>
        <v>0</v>
      </c>
      <c r="AF51" s="1035">
        <f>968-88-88-88-88-88-88-88-88-88</f>
        <v>176</v>
      </c>
      <c r="AG51" s="1450">
        <f t="shared" si="50"/>
        <v>-176</v>
      </c>
      <c r="AH51" s="1450">
        <f t="shared" si="51"/>
        <v>-88</v>
      </c>
      <c r="AI51" s="1036">
        <f t="shared" si="55"/>
        <v>0</v>
      </c>
      <c r="AJ51" s="1036">
        <f t="shared" si="56"/>
        <v>-111.5</v>
      </c>
      <c r="AL51" s="49">
        <f t="shared" si="52"/>
        <v>0</v>
      </c>
      <c r="AM51" s="49">
        <f>-'[22]Table 5C1D-NOMMA'!AL51</f>
        <v>0</v>
      </c>
      <c r="AN51">
        <f>-'[21]Table 5C1D-NOMMA'!P51</f>
        <v>29.125</v>
      </c>
      <c r="AO51" s="49">
        <f t="shared" si="53"/>
        <v>0</v>
      </c>
    </row>
    <row r="52" spans="1:41">
      <c r="A52" s="968">
        <v>46</v>
      </c>
      <c r="B52" s="969" t="s">
        <v>147</v>
      </c>
      <c r="C52" s="1173">
        <f>'Table 8 2.1.12 MFP Funded'!Z49</f>
        <v>0</v>
      </c>
      <c r="D52" s="988">
        <f>'Table 3 Levels 1&amp;2'!AL53</f>
        <v>5783.612845780598</v>
      </c>
      <c r="E52" s="1076">
        <f t="shared" si="33"/>
        <v>0</v>
      </c>
      <c r="F52" s="1076">
        <f>'Table 4 Level 3'!P51</f>
        <v>728.06</v>
      </c>
      <c r="G52" s="1076">
        <f t="shared" si="34"/>
        <v>0</v>
      </c>
      <c r="H52" s="1039">
        <f t="shared" si="35"/>
        <v>0</v>
      </c>
      <c r="I52" s="1419">
        <f>'[1]Oct midyear NOMMA'!K52</f>
        <v>0</v>
      </c>
      <c r="J52" s="1419">
        <f>'[1]Feb midyear NOMMA'!K52</f>
        <v>0</v>
      </c>
      <c r="K52" s="1419">
        <f t="shared" si="36"/>
        <v>0</v>
      </c>
      <c r="L52" s="1211">
        <f t="shared" si="37"/>
        <v>0</v>
      </c>
      <c r="M52" s="1086">
        <f t="shared" si="38"/>
        <v>0</v>
      </c>
      <c r="N52" s="1039">
        <f t="shared" si="39"/>
        <v>0</v>
      </c>
      <c r="O52" s="1039">
        <v>0</v>
      </c>
      <c r="P52" s="1039">
        <f t="shared" si="40"/>
        <v>0</v>
      </c>
      <c r="Q52" s="1039">
        <v>0</v>
      </c>
      <c r="R52" s="1211">
        <f t="shared" si="41"/>
        <v>0</v>
      </c>
      <c r="S52" s="1211">
        <f t="shared" si="42"/>
        <v>0</v>
      </c>
      <c r="T52" s="1029">
        <f>'[14]FY2012-13 Final'!K53</f>
        <v>1976</v>
      </c>
      <c r="U52" s="973">
        <f t="shared" si="54"/>
        <v>0</v>
      </c>
      <c r="V52" s="1466">
        <f>'[20]Oct midyear NOMMA'!E52</f>
        <v>0</v>
      </c>
      <c r="W52" s="1444">
        <f t="shared" si="43"/>
        <v>0</v>
      </c>
      <c r="X52" s="1466">
        <f>'[20]Feb midyear NOMMA'!E52</f>
        <v>0</v>
      </c>
      <c r="Y52" s="1444">
        <f t="shared" si="44"/>
        <v>0</v>
      </c>
      <c r="Z52" s="1444">
        <f t="shared" si="45"/>
        <v>0</v>
      </c>
      <c r="AA52" s="973">
        <f t="shared" si="46"/>
        <v>0</v>
      </c>
      <c r="AB52" s="1089">
        <f t="shared" si="47"/>
        <v>0</v>
      </c>
      <c r="AC52" s="973">
        <f t="shared" si="48"/>
        <v>0</v>
      </c>
      <c r="AD52" s="973">
        <v>0</v>
      </c>
      <c r="AE52" s="973">
        <f t="shared" si="49"/>
        <v>0</v>
      </c>
      <c r="AF52" s="973">
        <v>0</v>
      </c>
      <c r="AG52" s="1214">
        <f t="shared" si="50"/>
        <v>0</v>
      </c>
      <c r="AH52" s="1214">
        <f t="shared" si="51"/>
        <v>0</v>
      </c>
      <c r="AI52" s="974">
        <f t="shared" si="55"/>
        <v>0</v>
      </c>
      <c r="AJ52" s="974">
        <f t="shared" si="56"/>
        <v>0</v>
      </c>
      <c r="AL52" s="49">
        <f t="shared" si="52"/>
        <v>0</v>
      </c>
      <c r="AM52" s="49">
        <f>-'[22]Table 5C1D-NOMMA'!AL52</f>
        <v>0</v>
      </c>
      <c r="AN52">
        <f>-'[21]Table 5C1D-NOMMA'!P52</f>
        <v>0</v>
      </c>
      <c r="AO52" s="49">
        <f t="shared" si="53"/>
        <v>0</v>
      </c>
    </row>
    <row r="53" spans="1:41">
      <c r="A53" s="975">
        <v>47</v>
      </c>
      <c r="B53" s="976" t="s">
        <v>148</v>
      </c>
      <c r="C53" s="1171">
        <f>'Table 8 2.1.12 MFP Funded'!Z50</f>
        <v>0</v>
      </c>
      <c r="D53" s="984">
        <f>'Table 3 Levels 1&amp;2'!AL54</f>
        <v>3209.8138023141523</v>
      </c>
      <c r="E53" s="1074">
        <f t="shared" si="33"/>
        <v>0</v>
      </c>
      <c r="F53" s="1074">
        <f>'Table 4 Level 3'!P52</f>
        <v>910.76</v>
      </c>
      <c r="G53" s="1074">
        <f t="shared" si="34"/>
        <v>0</v>
      </c>
      <c r="H53" s="1037">
        <f t="shared" si="35"/>
        <v>0</v>
      </c>
      <c r="I53" s="1417">
        <f>'[1]Oct midyear NOMMA'!K53</f>
        <v>0</v>
      </c>
      <c r="J53" s="1417">
        <f>'[1]Feb midyear NOMMA'!K53</f>
        <v>0</v>
      </c>
      <c r="K53" s="1417">
        <f t="shared" si="36"/>
        <v>0</v>
      </c>
      <c r="L53" s="1436">
        <f t="shared" si="37"/>
        <v>0</v>
      </c>
      <c r="M53" s="1084">
        <f t="shared" si="38"/>
        <v>0</v>
      </c>
      <c r="N53" s="1037">
        <f t="shared" si="39"/>
        <v>0</v>
      </c>
      <c r="O53" s="1037">
        <v>0</v>
      </c>
      <c r="P53" s="1037">
        <f t="shared" si="40"/>
        <v>0</v>
      </c>
      <c r="Q53" s="1037">
        <v>0</v>
      </c>
      <c r="R53" s="1436">
        <f t="shared" si="41"/>
        <v>0</v>
      </c>
      <c r="S53" s="1436">
        <f t="shared" si="42"/>
        <v>0</v>
      </c>
      <c r="T53" s="1029">
        <f>'[14]FY2012-13 Final'!K54</f>
        <v>10067</v>
      </c>
      <c r="U53" s="1031">
        <f t="shared" si="54"/>
        <v>0</v>
      </c>
      <c r="V53" s="1464">
        <f>'[20]Oct midyear NOMMA'!E53</f>
        <v>0</v>
      </c>
      <c r="W53" s="1443">
        <f t="shared" si="43"/>
        <v>0</v>
      </c>
      <c r="X53" s="1474">
        <f>'[20]Feb midyear NOMMA'!E53</f>
        <v>0</v>
      </c>
      <c r="Y53" s="1470">
        <f t="shared" si="44"/>
        <v>0</v>
      </c>
      <c r="Z53" s="1470">
        <f t="shared" si="45"/>
        <v>0</v>
      </c>
      <c r="AA53" s="1031">
        <f t="shared" si="46"/>
        <v>0</v>
      </c>
      <c r="AB53" s="1090">
        <f t="shared" si="47"/>
        <v>0</v>
      </c>
      <c r="AC53" s="1031">
        <f t="shared" si="48"/>
        <v>0</v>
      </c>
      <c r="AD53" s="1031">
        <v>0</v>
      </c>
      <c r="AE53" s="1031">
        <f t="shared" si="49"/>
        <v>0</v>
      </c>
      <c r="AF53" s="1031">
        <v>0</v>
      </c>
      <c r="AG53" s="1448">
        <f t="shared" si="50"/>
        <v>0</v>
      </c>
      <c r="AH53" s="1448">
        <f t="shared" si="51"/>
        <v>0</v>
      </c>
      <c r="AI53" s="1032">
        <f t="shared" si="55"/>
        <v>0</v>
      </c>
      <c r="AJ53" s="1032">
        <f t="shared" si="56"/>
        <v>0</v>
      </c>
      <c r="AL53" s="49">
        <f t="shared" si="52"/>
        <v>0</v>
      </c>
      <c r="AM53" s="49">
        <f>-'[22]Table 5C1D-NOMMA'!AL53</f>
        <v>0</v>
      </c>
      <c r="AN53">
        <f>-'[21]Table 5C1D-NOMMA'!P53</f>
        <v>0</v>
      </c>
      <c r="AO53" s="49">
        <f t="shared" si="53"/>
        <v>0</v>
      </c>
    </row>
    <row r="54" spans="1:41">
      <c r="A54" s="975">
        <v>48</v>
      </c>
      <c r="B54" s="976" t="s">
        <v>217</v>
      </c>
      <c r="C54" s="1171">
        <f>'Table 8 2.1.12 MFP Funded'!Z51</f>
        <v>0</v>
      </c>
      <c r="D54" s="984">
        <f>'Table 3 Levels 1&amp;2'!AL55</f>
        <v>4278.1956772731837</v>
      </c>
      <c r="E54" s="1074">
        <f t="shared" si="33"/>
        <v>0</v>
      </c>
      <c r="F54" s="1074">
        <f>'Table 4 Level 3'!P53</f>
        <v>871.07</v>
      </c>
      <c r="G54" s="1074">
        <f t="shared" si="34"/>
        <v>0</v>
      </c>
      <c r="H54" s="1037">
        <f t="shared" si="35"/>
        <v>0</v>
      </c>
      <c r="I54" s="1417">
        <f>'[1]Oct midyear NOMMA'!K54</f>
        <v>0</v>
      </c>
      <c r="J54" s="1417">
        <f>'[1]Feb midyear NOMMA'!K54</f>
        <v>0</v>
      </c>
      <c r="K54" s="1417">
        <f t="shared" si="36"/>
        <v>0</v>
      </c>
      <c r="L54" s="1436">
        <f t="shared" si="37"/>
        <v>0</v>
      </c>
      <c r="M54" s="1084">
        <f t="shared" si="38"/>
        <v>0</v>
      </c>
      <c r="N54" s="1037">
        <f t="shared" si="39"/>
        <v>0</v>
      </c>
      <c r="O54" s="1037">
        <v>0</v>
      </c>
      <c r="P54" s="1037">
        <f t="shared" si="40"/>
        <v>0</v>
      </c>
      <c r="Q54" s="1037">
        <v>0</v>
      </c>
      <c r="R54" s="1436">
        <f t="shared" si="41"/>
        <v>0</v>
      </c>
      <c r="S54" s="1436">
        <f t="shared" si="42"/>
        <v>0</v>
      </c>
      <c r="T54" s="1029">
        <f>'[14]FY2012-13 Final'!K55</f>
        <v>5849</v>
      </c>
      <c r="U54" s="1031">
        <f t="shared" si="54"/>
        <v>0</v>
      </c>
      <c r="V54" s="1464">
        <f>'[20]Oct midyear NOMMA'!E54</f>
        <v>0</v>
      </c>
      <c r="W54" s="1443">
        <f t="shared" si="43"/>
        <v>0</v>
      </c>
      <c r="X54" s="1474">
        <f>'[20]Feb midyear NOMMA'!E54</f>
        <v>0</v>
      </c>
      <c r="Y54" s="1470">
        <f t="shared" si="44"/>
        <v>0</v>
      </c>
      <c r="Z54" s="1470">
        <f t="shared" si="45"/>
        <v>0</v>
      </c>
      <c r="AA54" s="1031">
        <f t="shared" si="46"/>
        <v>0</v>
      </c>
      <c r="AB54" s="1090">
        <f t="shared" si="47"/>
        <v>0</v>
      </c>
      <c r="AC54" s="1031">
        <f t="shared" si="48"/>
        <v>0</v>
      </c>
      <c r="AD54" s="1031">
        <v>0</v>
      </c>
      <c r="AE54" s="1031">
        <f t="shared" si="49"/>
        <v>0</v>
      </c>
      <c r="AF54" s="1031">
        <v>0</v>
      </c>
      <c r="AG54" s="1448">
        <f t="shared" si="50"/>
        <v>0</v>
      </c>
      <c r="AH54" s="1448">
        <f t="shared" si="51"/>
        <v>0</v>
      </c>
      <c r="AI54" s="1032">
        <f t="shared" si="55"/>
        <v>0</v>
      </c>
      <c r="AJ54" s="1032">
        <f t="shared" si="56"/>
        <v>0</v>
      </c>
      <c r="AL54" s="49">
        <f t="shared" si="52"/>
        <v>0</v>
      </c>
      <c r="AM54" s="49">
        <f>-'[22]Table 5C1D-NOMMA'!AL54</f>
        <v>0</v>
      </c>
      <c r="AN54">
        <f>-'[21]Table 5C1D-NOMMA'!P54</f>
        <v>0</v>
      </c>
      <c r="AO54" s="49">
        <f t="shared" si="53"/>
        <v>0</v>
      </c>
    </row>
    <row r="55" spans="1:41">
      <c r="A55" s="975">
        <v>49</v>
      </c>
      <c r="B55" s="976" t="s">
        <v>149</v>
      </c>
      <c r="C55" s="1171">
        <f>'Table 8 2.1.12 MFP Funded'!Z52</f>
        <v>0</v>
      </c>
      <c r="D55" s="984">
        <f>'Table 3 Levels 1&amp;2'!AL56</f>
        <v>4819.172186397177</v>
      </c>
      <c r="E55" s="1074">
        <f t="shared" si="33"/>
        <v>0</v>
      </c>
      <c r="F55" s="1074">
        <f>'Table 4 Level 3'!P54</f>
        <v>574.43999999999994</v>
      </c>
      <c r="G55" s="1074">
        <f t="shared" si="34"/>
        <v>0</v>
      </c>
      <c r="H55" s="1037">
        <f t="shared" si="35"/>
        <v>0</v>
      </c>
      <c r="I55" s="1417">
        <f>'[1]Oct midyear NOMMA'!K55</f>
        <v>0</v>
      </c>
      <c r="J55" s="1417">
        <f>'[1]Feb midyear NOMMA'!K55</f>
        <v>0</v>
      </c>
      <c r="K55" s="1417">
        <f t="shared" si="36"/>
        <v>0</v>
      </c>
      <c r="L55" s="1436">
        <f t="shared" si="37"/>
        <v>0</v>
      </c>
      <c r="M55" s="1084">
        <f t="shared" si="38"/>
        <v>0</v>
      </c>
      <c r="N55" s="1037">
        <f t="shared" si="39"/>
        <v>0</v>
      </c>
      <c r="O55" s="1037">
        <v>0</v>
      </c>
      <c r="P55" s="1037">
        <f t="shared" si="40"/>
        <v>0</v>
      </c>
      <c r="Q55" s="1037">
        <v>0</v>
      </c>
      <c r="R55" s="1436">
        <f t="shared" si="41"/>
        <v>0</v>
      </c>
      <c r="S55" s="1436">
        <f t="shared" si="42"/>
        <v>0</v>
      </c>
      <c r="T55" s="1029">
        <f>'[14]FY2012-13 Final'!K56</f>
        <v>2345</v>
      </c>
      <c r="U55" s="1031">
        <f t="shared" si="54"/>
        <v>0</v>
      </c>
      <c r="V55" s="1464">
        <f>'[20]Oct midyear NOMMA'!E55</f>
        <v>0</v>
      </c>
      <c r="W55" s="1443">
        <f t="shared" si="43"/>
        <v>0</v>
      </c>
      <c r="X55" s="1474">
        <f>'[20]Feb midyear NOMMA'!E55</f>
        <v>0</v>
      </c>
      <c r="Y55" s="1470">
        <f t="shared" si="44"/>
        <v>0</v>
      </c>
      <c r="Z55" s="1470">
        <f t="shared" si="45"/>
        <v>0</v>
      </c>
      <c r="AA55" s="1031">
        <f t="shared" si="46"/>
        <v>0</v>
      </c>
      <c r="AB55" s="1090">
        <f t="shared" si="47"/>
        <v>0</v>
      </c>
      <c r="AC55" s="1031">
        <f t="shared" si="48"/>
        <v>0</v>
      </c>
      <c r="AD55" s="1031">
        <v>0</v>
      </c>
      <c r="AE55" s="1031">
        <f t="shared" si="49"/>
        <v>0</v>
      </c>
      <c r="AF55" s="1031">
        <v>0</v>
      </c>
      <c r="AG55" s="1448">
        <f t="shared" si="50"/>
        <v>0</v>
      </c>
      <c r="AH55" s="1448">
        <f t="shared" si="51"/>
        <v>0</v>
      </c>
      <c r="AI55" s="1032">
        <f t="shared" si="55"/>
        <v>0</v>
      </c>
      <c r="AJ55" s="1032">
        <f t="shared" si="56"/>
        <v>0</v>
      </c>
      <c r="AL55" s="49">
        <f t="shared" si="52"/>
        <v>0</v>
      </c>
      <c r="AM55" s="49">
        <f>-'[22]Table 5C1D-NOMMA'!AL55</f>
        <v>0</v>
      </c>
      <c r="AN55">
        <f>-'[21]Table 5C1D-NOMMA'!P55</f>
        <v>0</v>
      </c>
      <c r="AO55" s="49">
        <f t="shared" si="53"/>
        <v>0</v>
      </c>
    </row>
    <row r="56" spans="1:41">
      <c r="A56" s="979">
        <v>50</v>
      </c>
      <c r="B56" s="980" t="s">
        <v>150</v>
      </c>
      <c r="C56" s="1172">
        <f>'Table 8 2.1.12 MFP Funded'!Z53</f>
        <v>0</v>
      </c>
      <c r="D56" s="986">
        <f>'Table 3 Levels 1&amp;2'!AL57</f>
        <v>5078.3381494368732</v>
      </c>
      <c r="E56" s="1075">
        <f t="shared" si="33"/>
        <v>0</v>
      </c>
      <c r="F56" s="1075">
        <f>'Table 4 Level 3'!P55</f>
        <v>634.46</v>
      </c>
      <c r="G56" s="1075">
        <f t="shared" si="34"/>
        <v>0</v>
      </c>
      <c r="H56" s="1038">
        <f t="shared" si="35"/>
        <v>0</v>
      </c>
      <c r="I56" s="1418">
        <f>'[1]Oct midyear NOMMA'!K56</f>
        <v>0</v>
      </c>
      <c r="J56" s="1418">
        <f>'[1]Feb midyear NOMMA'!K56</f>
        <v>0</v>
      </c>
      <c r="K56" s="1418">
        <f t="shared" si="36"/>
        <v>0</v>
      </c>
      <c r="L56" s="1437">
        <f t="shared" si="37"/>
        <v>0</v>
      </c>
      <c r="M56" s="1085">
        <f t="shared" si="38"/>
        <v>0</v>
      </c>
      <c r="N56" s="1038">
        <f t="shared" si="39"/>
        <v>0</v>
      </c>
      <c r="O56" s="1038">
        <v>0</v>
      </c>
      <c r="P56" s="1038">
        <f t="shared" si="40"/>
        <v>0</v>
      </c>
      <c r="Q56" s="1038">
        <v>0</v>
      </c>
      <c r="R56" s="1437">
        <f t="shared" si="41"/>
        <v>0</v>
      </c>
      <c r="S56" s="1437">
        <f t="shared" si="42"/>
        <v>0</v>
      </c>
      <c r="T56" s="1034">
        <f>'[14]FY2012-13 Final'!K57</f>
        <v>2810</v>
      </c>
      <c r="U56" s="1035">
        <f t="shared" si="54"/>
        <v>0</v>
      </c>
      <c r="V56" s="1465">
        <f>'[20]Oct midyear NOMMA'!E56</f>
        <v>0</v>
      </c>
      <c r="W56" s="1445">
        <f t="shared" si="43"/>
        <v>0</v>
      </c>
      <c r="X56" s="1475">
        <f>'[20]Feb midyear NOMMA'!E56</f>
        <v>0</v>
      </c>
      <c r="Y56" s="1471">
        <f t="shared" si="44"/>
        <v>0</v>
      </c>
      <c r="Z56" s="1471">
        <f t="shared" si="45"/>
        <v>0</v>
      </c>
      <c r="AA56" s="1035">
        <f t="shared" si="46"/>
        <v>0</v>
      </c>
      <c r="AB56" s="1091">
        <f t="shared" si="47"/>
        <v>0</v>
      </c>
      <c r="AC56" s="1035">
        <f t="shared" si="48"/>
        <v>0</v>
      </c>
      <c r="AD56" s="1035">
        <v>0</v>
      </c>
      <c r="AE56" s="1035">
        <f t="shared" si="49"/>
        <v>0</v>
      </c>
      <c r="AF56" s="1035">
        <v>0</v>
      </c>
      <c r="AG56" s="1450">
        <f t="shared" si="50"/>
        <v>0</v>
      </c>
      <c r="AH56" s="1450">
        <f t="shared" si="51"/>
        <v>0</v>
      </c>
      <c r="AI56" s="1036">
        <f t="shared" si="55"/>
        <v>0</v>
      </c>
      <c r="AJ56" s="1036">
        <f t="shared" si="56"/>
        <v>0</v>
      </c>
      <c r="AL56" s="49">
        <f t="shared" si="52"/>
        <v>0</v>
      </c>
      <c r="AM56" s="49">
        <f>-'[22]Table 5C1D-NOMMA'!AL56</f>
        <v>0</v>
      </c>
      <c r="AN56">
        <f>-'[21]Table 5C1D-NOMMA'!P56</f>
        <v>0</v>
      </c>
      <c r="AO56" s="49">
        <f t="shared" si="53"/>
        <v>0</v>
      </c>
    </row>
    <row r="57" spans="1:41">
      <c r="A57" s="968">
        <v>51</v>
      </c>
      <c r="B57" s="969" t="s">
        <v>151</v>
      </c>
      <c r="C57" s="1173">
        <f>'Table 8 2.1.12 MFP Funded'!Z54</f>
        <v>0</v>
      </c>
      <c r="D57" s="988">
        <f>'Table 3 Levels 1&amp;2'!AL58</f>
        <v>4327.8748353683095</v>
      </c>
      <c r="E57" s="1076">
        <f t="shared" si="33"/>
        <v>0</v>
      </c>
      <c r="F57" s="1076">
        <f>'Table 4 Level 3'!P56</f>
        <v>706.66</v>
      </c>
      <c r="G57" s="1076">
        <f t="shared" si="34"/>
        <v>0</v>
      </c>
      <c r="H57" s="1039">
        <f t="shared" si="35"/>
        <v>0</v>
      </c>
      <c r="I57" s="1419">
        <f>'[1]Oct midyear NOMMA'!K57</f>
        <v>0</v>
      </c>
      <c r="J57" s="1419">
        <f>'[1]Feb midyear NOMMA'!K57</f>
        <v>0</v>
      </c>
      <c r="K57" s="1419">
        <f t="shared" si="36"/>
        <v>0</v>
      </c>
      <c r="L57" s="1211">
        <f t="shared" si="37"/>
        <v>0</v>
      </c>
      <c r="M57" s="1086">
        <f t="shared" si="38"/>
        <v>0</v>
      </c>
      <c r="N57" s="1039">
        <f t="shared" si="39"/>
        <v>0</v>
      </c>
      <c r="O57" s="1039">
        <v>0</v>
      </c>
      <c r="P57" s="1039">
        <f t="shared" si="40"/>
        <v>0</v>
      </c>
      <c r="Q57" s="1039">
        <v>0</v>
      </c>
      <c r="R57" s="1211">
        <f t="shared" si="41"/>
        <v>0</v>
      </c>
      <c r="S57" s="1211">
        <f t="shared" si="42"/>
        <v>0</v>
      </c>
      <c r="T57" s="1029">
        <f>'[14]FY2012-13 Final'!K58</f>
        <v>4191</v>
      </c>
      <c r="U57" s="973">
        <f t="shared" si="54"/>
        <v>0</v>
      </c>
      <c r="V57" s="1466">
        <f>'[20]Oct midyear NOMMA'!E57</f>
        <v>0</v>
      </c>
      <c r="W57" s="1444">
        <f t="shared" si="43"/>
        <v>0</v>
      </c>
      <c r="X57" s="1466">
        <f>'[20]Feb midyear NOMMA'!E57</f>
        <v>0</v>
      </c>
      <c r="Y57" s="1444">
        <f t="shared" si="44"/>
        <v>0</v>
      </c>
      <c r="Z57" s="1444">
        <f t="shared" si="45"/>
        <v>0</v>
      </c>
      <c r="AA57" s="973">
        <f t="shared" si="46"/>
        <v>0</v>
      </c>
      <c r="AB57" s="1089">
        <f t="shared" si="47"/>
        <v>0</v>
      </c>
      <c r="AC57" s="973">
        <f t="shared" si="48"/>
        <v>0</v>
      </c>
      <c r="AD57" s="973">
        <v>0</v>
      </c>
      <c r="AE57" s="973">
        <f t="shared" si="49"/>
        <v>0</v>
      </c>
      <c r="AF57" s="973">
        <v>0</v>
      </c>
      <c r="AG57" s="1214">
        <f t="shared" si="50"/>
        <v>0</v>
      </c>
      <c r="AH57" s="1214">
        <f t="shared" si="51"/>
        <v>0</v>
      </c>
      <c r="AI57" s="974">
        <f t="shared" si="55"/>
        <v>0</v>
      </c>
      <c r="AJ57" s="974">
        <f t="shared" si="56"/>
        <v>0</v>
      </c>
      <c r="AL57" s="49">
        <f t="shared" si="52"/>
        <v>0</v>
      </c>
      <c r="AM57" s="49">
        <f>-'[22]Table 5C1D-NOMMA'!AL57</f>
        <v>0</v>
      </c>
      <c r="AN57">
        <f>-'[21]Table 5C1D-NOMMA'!P57</f>
        <v>0</v>
      </c>
      <c r="AO57" s="49">
        <f t="shared" si="53"/>
        <v>0</v>
      </c>
    </row>
    <row r="58" spans="1:41">
      <c r="A58" s="975">
        <v>52</v>
      </c>
      <c r="B58" s="976" t="s">
        <v>152</v>
      </c>
      <c r="C58" s="1171">
        <f>'Table 8 2.1.12 MFP Funded'!Z55</f>
        <v>1</v>
      </c>
      <c r="D58" s="984">
        <f>'Table 3 Levels 1&amp;2'!AL59</f>
        <v>4936.6461759855838</v>
      </c>
      <c r="E58" s="1074">
        <f t="shared" si="33"/>
        <v>4936.6461759855838</v>
      </c>
      <c r="F58" s="1074">
        <f>'Table 4 Level 3'!P57</f>
        <v>658.37</v>
      </c>
      <c r="G58" s="1074">
        <f t="shared" si="34"/>
        <v>658.37</v>
      </c>
      <c r="H58" s="1037">
        <f t="shared" si="35"/>
        <v>5595.0161759855837</v>
      </c>
      <c r="I58" s="1417">
        <f>'[1]Oct midyear NOMMA'!K58</f>
        <v>0</v>
      </c>
      <c r="J58" s="1417">
        <f>'[1]Feb midyear NOMMA'!K58</f>
        <v>-2797.5080879927918</v>
      </c>
      <c r="K58" s="1417">
        <f t="shared" si="36"/>
        <v>-2797.5080879927918</v>
      </c>
      <c r="L58" s="1436">
        <f t="shared" si="37"/>
        <v>2797.5080879927918</v>
      </c>
      <c r="M58" s="1084">
        <f t="shared" si="38"/>
        <v>-6.9937702199819798</v>
      </c>
      <c r="N58" s="1037">
        <f t="shared" si="39"/>
        <v>2790.51431777281</v>
      </c>
      <c r="O58" s="1037">
        <v>0</v>
      </c>
      <c r="P58" s="1037">
        <f t="shared" si="40"/>
        <v>2790.51431777281</v>
      </c>
      <c r="Q58" s="1037">
        <f>464*8-232-232</f>
        <v>3248</v>
      </c>
      <c r="R58" s="1436">
        <f t="shared" si="41"/>
        <v>-457.48568222718995</v>
      </c>
      <c r="S58" s="1436">
        <f t="shared" si="42"/>
        <v>-228.74284111359498</v>
      </c>
      <c r="T58" s="1029">
        <f>'[14]FY2012-13 Final'!K59</f>
        <v>4895</v>
      </c>
      <c r="U58" s="1031">
        <f t="shared" si="54"/>
        <v>4895</v>
      </c>
      <c r="V58" s="1464">
        <f>'[20]Oct midyear NOMMA'!E58</f>
        <v>0</v>
      </c>
      <c r="W58" s="1443">
        <f t="shared" si="43"/>
        <v>0</v>
      </c>
      <c r="X58" s="1474">
        <f>'[20]Feb midyear NOMMA'!E58</f>
        <v>-1</v>
      </c>
      <c r="Y58" s="1470">
        <f t="shared" si="44"/>
        <v>-2447.5</v>
      </c>
      <c r="Z58" s="1470">
        <f t="shared" si="45"/>
        <v>-2447.5</v>
      </c>
      <c r="AA58" s="1031">
        <f t="shared" si="46"/>
        <v>2447.5</v>
      </c>
      <c r="AB58" s="1090">
        <f t="shared" si="47"/>
        <v>-6.1187500000000004</v>
      </c>
      <c r="AC58" s="1031">
        <f t="shared" si="48"/>
        <v>2441.3812499999999</v>
      </c>
      <c r="AD58" s="1031">
        <v>0</v>
      </c>
      <c r="AE58" s="1031">
        <f t="shared" si="49"/>
        <v>2441.3812499999999</v>
      </c>
      <c r="AF58" s="1031">
        <f>395*8-181-181</f>
        <v>2798</v>
      </c>
      <c r="AG58" s="1448">
        <f t="shared" si="50"/>
        <v>-356.61875000000009</v>
      </c>
      <c r="AH58" s="1448">
        <f t="shared" si="51"/>
        <v>-178.30937500000005</v>
      </c>
      <c r="AI58" s="1032">
        <f t="shared" si="55"/>
        <v>5231.89556777281</v>
      </c>
      <c r="AJ58" s="1032">
        <f t="shared" si="56"/>
        <v>-407.05221611359502</v>
      </c>
      <c r="AL58" s="49">
        <f t="shared" si="52"/>
        <v>-6.1187500000000004</v>
      </c>
      <c r="AM58" s="49">
        <f>-'[22]Table 5C1D-NOMMA'!AL58</f>
        <v>6.1074999999999999</v>
      </c>
      <c r="AN58">
        <f>-'[21]Table 5C1D-NOMMA'!P58</f>
        <v>11.875</v>
      </c>
      <c r="AO58" s="49">
        <f t="shared" si="53"/>
        <v>-1.1250000000000426E-2</v>
      </c>
    </row>
    <row r="59" spans="1:41">
      <c r="A59" s="975">
        <v>53</v>
      </c>
      <c r="B59" s="976" t="s">
        <v>153</v>
      </c>
      <c r="C59" s="1171">
        <f>'Table 8 2.1.12 MFP Funded'!Z56</f>
        <v>0</v>
      </c>
      <c r="D59" s="984">
        <f>'Table 3 Levels 1&amp;2'!AL60</f>
        <v>4800.3207499962118</v>
      </c>
      <c r="E59" s="1074">
        <f t="shared" si="33"/>
        <v>0</v>
      </c>
      <c r="F59" s="1074">
        <f>'Table 4 Level 3'!P58</f>
        <v>689.74</v>
      </c>
      <c r="G59" s="1074">
        <f t="shared" si="34"/>
        <v>0</v>
      </c>
      <c r="H59" s="1037">
        <f t="shared" si="35"/>
        <v>0</v>
      </c>
      <c r="I59" s="1417">
        <f>'[1]Oct midyear NOMMA'!K59</f>
        <v>0</v>
      </c>
      <c r="J59" s="1417">
        <f>'[1]Feb midyear NOMMA'!K59</f>
        <v>0</v>
      </c>
      <c r="K59" s="1417">
        <f t="shared" si="36"/>
        <v>0</v>
      </c>
      <c r="L59" s="1436">
        <f t="shared" si="37"/>
        <v>0</v>
      </c>
      <c r="M59" s="1084">
        <f t="shared" si="38"/>
        <v>0</v>
      </c>
      <c r="N59" s="1037">
        <f t="shared" si="39"/>
        <v>0</v>
      </c>
      <c r="O59" s="1037">
        <v>0</v>
      </c>
      <c r="P59" s="1037">
        <f t="shared" si="40"/>
        <v>0</v>
      </c>
      <c r="Q59" s="1037">
        <v>0</v>
      </c>
      <c r="R59" s="1436">
        <f t="shared" si="41"/>
        <v>0</v>
      </c>
      <c r="S59" s="1436">
        <f t="shared" si="42"/>
        <v>0</v>
      </c>
      <c r="T59" s="1029">
        <f>'[14]FY2012-13 Final'!K60</f>
        <v>1935</v>
      </c>
      <c r="U59" s="1031">
        <f t="shared" si="54"/>
        <v>0</v>
      </c>
      <c r="V59" s="1464">
        <f>'[20]Oct midyear NOMMA'!E59</f>
        <v>0</v>
      </c>
      <c r="W59" s="1443">
        <f t="shared" si="43"/>
        <v>0</v>
      </c>
      <c r="X59" s="1474">
        <f>'[20]Feb midyear NOMMA'!E59</f>
        <v>0</v>
      </c>
      <c r="Y59" s="1470">
        <f t="shared" si="44"/>
        <v>0</v>
      </c>
      <c r="Z59" s="1470">
        <f t="shared" si="45"/>
        <v>0</v>
      </c>
      <c r="AA59" s="1031">
        <f t="shared" si="46"/>
        <v>0</v>
      </c>
      <c r="AB59" s="1090">
        <f t="shared" si="47"/>
        <v>0</v>
      </c>
      <c r="AC59" s="1031">
        <f t="shared" si="48"/>
        <v>0</v>
      </c>
      <c r="AD59" s="1031">
        <v>0</v>
      </c>
      <c r="AE59" s="1031">
        <f t="shared" si="49"/>
        <v>0</v>
      </c>
      <c r="AF59" s="1031">
        <v>0</v>
      </c>
      <c r="AG59" s="1448">
        <f t="shared" si="50"/>
        <v>0</v>
      </c>
      <c r="AH59" s="1448">
        <f t="shared" si="51"/>
        <v>0</v>
      </c>
      <c r="AI59" s="1032">
        <f t="shared" si="55"/>
        <v>0</v>
      </c>
      <c r="AJ59" s="1032">
        <f t="shared" si="56"/>
        <v>0</v>
      </c>
      <c r="AL59" s="49">
        <f t="shared" si="52"/>
        <v>0</v>
      </c>
      <c r="AM59" s="49">
        <f>-'[22]Table 5C1D-NOMMA'!AL59</f>
        <v>0</v>
      </c>
      <c r="AN59">
        <f>-'[21]Table 5C1D-NOMMA'!P59</f>
        <v>0</v>
      </c>
      <c r="AO59" s="49">
        <f t="shared" si="53"/>
        <v>0</v>
      </c>
    </row>
    <row r="60" spans="1:41">
      <c r="A60" s="975">
        <v>54</v>
      </c>
      <c r="B60" s="976" t="s">
        <v>154</v>
      </c>
      <c r="C60" s="1171">
        <f>'Table 8 2.1.12 MFP Funded'!Z57</f>
        <v>0</v>
      </c>
      <c r="D60" s="984">
        <f>'Table 3 Levels 1&amp;2'!AL61</f>
        <v>6010.7753360515026</v>
      </c>
      <c r="E60" s="1074">
        <f t="shared" si="33"/>
        <v>0</v>
      </c>
      <c r="F60" s="1074">
        <f>'Table 4 Level 3'!P59</f>
        <v>951.45</v>
      </c>
      <c r="G60" s="1074">
        <f t="shared" si="34"/>
        <v>0</v>
      </c>
      <c r="H60" s="1037">
        <f t="shared" si="35"/>
        <v>0</v>
      </c>
      <c r="I60" s="1417">
        <f>'[1]Oct midyear NOMMA'!K60</f>
        <v>0</v>
      </c>
      <c r="J60" s="1417">
        <f>'[1]Feb midyear NOMMA'!K60</f>
        <v>0</v>
      </c>
      <c r="K60" s="1417">
        <f t="shared" si="36"/>
        <v>0</v>
      </c>
      <c r="L60" s="1436">
        <f t="shared" si="37"/>
        <v>0</v>
      </c>
      <c r="M60" s="1084">
        <f t="shared" si="38"/>
        <v>0</v>
      </c>
      <c r="N60" s="1037">
        <f t="shared" si="39"/>
        <v>0</v>
      </c>
      <c r="O60" s="1037">
        <v>0</v>
      </c>
      <c r="P60" s="1037">
        <f t="shared" si="40"/>
        <v>0</v>
      </c>
      <c r="Q60" s="1037">
        <v>0</v>
      </c>
      <c r="R60" s="1436">
        <f t="shared" si="41"/>
        <v>0</v>
      </c>
      <c r="S60" s="1436">
        <f t="shared" si="42"/>
        <v>0</v>
      </c>
      <c r="T60" s="1029">
        <f>'[14]FY2012-13 Final'!K61</f>
        <v>3397</v>
      </c>
      <c r="U60" s="1031">
        <f t="shared" si="54"/>
        <v>0</v>
      </c>
      <c r="V60" s="1464">
        <f>'[20]Oct midyear NOMMA'!E60</f>
        <v>0</v>
      </c>
      <c r="W60" s="1443">
        <f t="shared" si="43"/>
        <v>0</v>
      </c>
      <c r="X60" s="1474">
        <f>'[20]Feb midyear NOMMA'!E60</f>
        <v>0</v>
      </c>
      <c r="Y60" s="1470">
        <f t="shared" si="44"/>
        <v>0</v>
      </c>
      <c r="Z60" s="1470">
        <f t="shared" si="45"/>
        <v>0</v>
      </c>
      <c r="AA60" s="1031">
        <f t="shared" si="46"/>
        <v>0</v>
      </c>
      <c r="AB60" s="1090">
        <f t="shared" si="47"/>
        <v>0</v>
      </c>
      <c r="AC60" s="1031">
        <f t="shared" si="48"/>
        <v>0</v>
      </c>
      <c r="AD60" s="1031">
        <v>0</v>
      </c>
      <c r="AE60" s="1031">
        <f t="shared" si="49"/>
        <v>0</v>
      </c>
      <c r="AF60" s="1031">
        <v>0</v>
      </c>
      <c r="AG60" s="1448">
        <f t="shared" si="50"/>
        <v>0</v>
      </c>
      <c r="AH60" s="1448">
        <f t="shared" si="51"/>
        <v>0</v>
      </c>
      <c r="AI60" s="1032">
        <f t="shared" si="55"/>
        <v>0</v>
      </c>
      <c r="AJ60" s="1032">
        <f t="shared" si="56"/>
        <v>0</v>
      </c>
      <c r="AL60" s="49">
        <f t="shared" si="52"/>
        <v>0</v>
      </c>
      <c r="AM60" s="49">
        <f>-'[22]Table 5C1D-NOMMA'!AL60</f>
        <v>0</v>
      </c>
      <c r="AN60">
        <f>-'[21]Table 5C1D-NOMMA'!P60</f>
        <v>0</v>
      </c>
      <c r="AO60" s="49">
        <f t="shared" si="53"/>
        <v>0</v>
      </c>
    </row>
    <row r="61" spans="1:41">
      <c r="A61" s="979">
        <v>55</v>
      </c>
      <c r="B61" s="980" t="s">
        <v>155</v>
      </c>
      <c r="C61" s="1172">
        <f>'Table 8 2.1.12 MFP Funded'!Z58</f>
        <v>0</v>
      </c>
      <c r="D61" s="986">
        <f>'Table 3 Levels 1&amp;2'!AL62</f>
        <v>4103.7453851303217</v>
      </c>
      <c r="E61" s="1075">
        <f t="shared" si="33"/>
        <v>0</v>
      </c>
      <c r="F61" s="1075">
        <f>'Table 4 Level 3'!P60</f>
        <v>795.14</v>
      </c>
      <c r="G61" s="1075">
        <f t="shared" si="34"/>
        <v>0</v>
      </c>
      <c r="H61" s="1038">
        <f t="shared" si="35"/>
        <v>0</v>
      </c>
      <c r="I61" s="1418">
        <f>'[1]Oct midyear NOMMA'!K61</f>
        <v>0</v>
      </c>
      <c r="J61" s="1418">
        <f>'[1]Feb midyear NOMMA'!K61</f>
        <v>0</v>
      </c>
      <c r="K61" s="1418">
        <f t="shared" si="36"/>
        <v>0</v>
      </c>
      <c r="L61" s="1437">
        <f t="shared" si="37"/>
        <v>0</v>
      </c>
      <c r="M61" s="1085">
        <f t="shared" si="38"/>
        <v>0</v>
      </c>
      <c r="N61" s="1038">
        <f t="shared" si="39"/>
        <v>0</v>
      </c>
      <c r="O61" s="1038">
        <v>0</v>
      </c>
      <c r="P61" s="1038">
        <f t="shared" si="40"/>
        <v>0</v>
      </c>
      <c r="Q61" s="1038">
        <v>0</v>
      </c>
      <c r="R61" s="1437">
        <f t="shared" si="41"/>
        <v>0</v>
      </c>
      <c r="S61" s="1437">
        <f t="shared" si="42"/>
        <v>0</v>
      </c>
      <c r="T61" s="1034">
        <f>'[14]FY2012-13 Final'!K62</f>
        <v>3139</v>
      </c>
      <c r="U61" s="1035">
        <f t="shared" si="54"/>
        <v>0</v>
      </c>
      <c r="V61" s="1465">
        <f>'[20]Oct midyear NOMMA'!E61</f>
        <v>0</v>
      </c>
      <c r="W61" s="1445">
        <f t="shared" si="43"/>
        <v>0</v>
      </c>
      <c r="X61" s="1475">
        <f>'[20]Feb midyear NOMMA'!E61</f>
        <v>0</v>
      </c>
      <c r="Y61" s="1471">
        <f t="shared" si="44"/>
        <v>0</v>
      </c>
      <c r="Z61" s="1471">
        <f t="shared" si="45"/>
        <v>0</v>
      </c>
      <c r="AA61" s="1035">
        <f t="shared" si="46"/>
        <v>0</v>
      </c>
      <c r="AB61" s="1091">
        <f t="shared" si="47"/>
        <v>0</v>
      </c>
      <c r="AC61" s="1035">
        <f t="shared" si="48"/>
        <v>0</v>
      </c>
      <c r="AD61" s="1035">
        <v>0</v>
      </c>
      <c r="AE61" s="1035">
        <f t="shared" si="49"/>
        <v>0</v>
      </c>
      <c r="AF61" s="1035">
        <v>0</v>
      </c>
      <c r="AG61" s="1450">
        <f t="shared" si="50"/>
        <v>0</v>
      </c>
      <c r="AH61" s="1450">
        <f t="shared" si="51"/>
        <v>0</v>
      </c>
      <c r="AI61" s="1036">
        <f t="shared" si="55"/>
        <v>0</v>
      </c>
      <c r="AJ61" s="1036">
        <f t="shared" si="56"/>
        <v>0</v>
      </c>
      <c r="AL61" s="49">
        <f t="shared" si="52"/>
        <v>0</v>
      </c>
      <c r="AM61" s="49">
        <f>-'[22]Table 5C1D-NOMMA'!AL61</f>
        <v>0</v>
      </c>
      <c r="AN61">
        <f>-'[21]Table 5C1D-NOMMA'!P61</f>
        <v>0</v>
      </c>
      <c r="AO61" s="49">
        <f t="shared" si="53"/>
        <v>0</v>
      </c>
    </row>
    <row r="62" spans="1:41">
      <c r="A62" s="968">
        <v>56</v>
      </c>
      <c r="B62" s="969" t="s">
        <v>156</v>
      </c>
      <c r="C62" s="1173">
        <f>'Table 8 2.1.12 MFP Funded'!Z59</f>
        <v>0</v>
      </c>
      <c r="D62" s="988">
        <f>'Table 3 Levels 1&amp;2'!AL63</f>
        <v>5076.2407002640311</v>
      </c>
      <c r="E62" s="1076">
        <f t="shared" si="33"/>
        <v>0</v>
      </c>
      <c r="F62" s="1076">
        <f>'Table 4 Level 3'!P61</f>
        <v>614.66000000000008</v>
      </c>
      <c r="G62" s="1076">
        <f t="shared" si="34"/>
        <v>0</v>
      </c>
      <c r="H62" s="1039">
        <f t="shared" si="35"/>
        <v>0</v>
      </c>
      <c r="I62" s="1419">
        <f>'[1]Oct midyear NOMMA'!K62</f>
        <v>0</v>
      </c>
      <c r="J62" s="1419">
        <f>'[1]Feb midyear NOMMA'!K62</f>
        <v>0</v>
      </c>
      <c r="K62" s="1419">
        <f t="shared" si="36"/>
        <v>0</v>
      </c>
      <c r="L62" s="1211">
        <f t="shared" si="37"/>
        <v>0</v>
      </c>
      <c r="M62" s="1086">
        <f t="shared" si="38"/>
        <v>0</v>
      </c>
      <c r="N62" s="1039">
        <f t="shared" si="39"/>
        <v>0</v>
      </c>
      <c r="O62" s="1039">
        <v>0</v>
      </c>
      <c r="P62" s="1039">
        <f t="shared" si="40"/>
        <v>0</v>
      </c>
      <c r="Q62" s="1039">
        <v>0</v>
      </c>
      <c r="R62" s="1211">
        <f t="shared" si="41"/>
        <v>0</v>
      </c>
      <c r="S62" s="1211">
        <f t="shared" si="42"/>
        <v>0</v>
      </c>
      <c r="T62" s="1029">
        <f>'[14]FY2012-13 Final'!K63</f>
        <v>2781</v>
      </c>
      <c r="U62" s="973">
        <f t="shared" si="54"/>
        <v>0</v>
      </c>
      <c r="V62" s="1466">
        <f>'[20]Oct midyear NOMMA'!E62</f>
        <v>0</v>
      </c>
      <c r="W62" s="1444">
        <f t="shared" si="43"/>
        <v>0</v>
      </c>
      <c r="X62" s="1466">
        <f>'[20]Feb midyear NOMMA'!E62</f>
        <v>0</v>
      </c>
      <c r="Y62" s="1444">
        <f t="shared" si="44"/>
        <v>0</v>
      </c>
      <c r="Z62" s="1444">
        <f t="shared" si="45"/>
        <v>0</v>
      </c>
      <c r="AA62" s="973">
        <f t="shared" si="46"/>
        <v>0</v>
      </c>
      <c r="AB62" s="1089">
        <f t="shared" si="47"/>
        <v>0</v>
      </c>
      <c r="AC62" s="973">
        <f t="shared" si="48"/>
        <v>0</v>
      </c>
      <c r="AD62" s="973">
        <v>0</v>
      </c>
      <c r="AE62" s="973">
        <f t="shared" si="49"/>
        <v>0</v>
      </c>
      <c r="AF62" s="973">
        <v>0</v>
      </c>
      <c r="AG62" s="1214">
        <f t="shared" si="50"/>
        <v>0</v>
      </c>
      <c r="AH62" s="1214">
        <f t="shared" si="51"/>
        <v>0</v>
      </c>
      <c r="AI62" s="974">
        <f t="shared" si="55"/>
        <v>0</v>
      </c>
      <c r="AJ62" s="974">
        <f t="shared" si="56"/>
        <v>0</v>
      </c>
      <c r="AL62" s="49">
        <f t="shared" si="52"/>
        <v>0</v>
      </c>
      <c r="AM62" s="49">
        <f>-'[22]Table 5C1D-NOMMA'!AL62</f>
        <v>0</v>
      </c>
      <c r="AN62">
        <f>-'[21]Table 5C1D-NOMMA'!P62</f>
        <v>0</v>
      </c>
      <c r="AO62" s="49">
        <f t="shared" si="53"/>
        <v>0</v>
      </c>
    </row>
    <row r="63" spans="1:41">
      <c r="A63" s="975">
        <v>57</v>
      </c>
      <c r="B63" s="976" t="s">
        <v>157</v>
      </c>
      <c r="C63" s="1171">
        <f>'Table 8 2.1.12 MFP Funded'!Z60</f>
        <v>0</v>
      </c>
      <c r="D63" s="984">
        <f>'Table 3 Levels 1&amp;2'!AL64</f>
        <v>4409.0708210621269</v>
      </c>
      <c r="E63" s="1074">
        <f t="shared" si="33"/>
        <v>0</v>
      </c>
      <c r="F63" s="1074">
        <f>'Table 4 Level 3'!P62</f>
        <v>764.51</v>
      </c>
      <c r="G63" s="1074">
        <f t="shared" si="34"/>
        <v>0</v>
      </c>
      <c r="H63" s="1037">
        <f t="shared" si="35"/>
        <v>0</v>
      </c>
      <c r="I63" s="1417">
        <f>'[1]Oct midyear NOMMA'!K63</f>
        <v>0</v>
      </c>
      <c r="J63" s="1417">
        <f>'[1]Feb midyear NOMMA'!K63</f>
        <v>0</v>
      </c>
      <c r="K63" s="1417">
        <f t="shared" si="36"/>
        <v>0</v>
      </c>
      <c r="L63" s="1436">
        <f t="shared" si="37"/>
        <v>0</v>
      </c>
      <c r="M63" s="1084">
        <f t="shared" si="38"/>
        <v>0</v>
      </c>
      <c r="N63" s="1037">
        <f t="shared" si="39"/>
        <v>0</v>
      </c>
      <c r="O63" s="1037">
        <v>0</v>
      </c>
      <c r="P63" s="1037">
        <f t="shared" si="40"/>
        <v>0</v>
      </c>
      <c r="Q63" s="1037">
        <v>0</v>
      </c>
      <c r="R63" s="1436">
        <f t="shared" si="41"/>
        <v>0</v>
      </c>
      <c r="S63" s="1436">
        <f t="shared" si="42"/>
        <v>0</v>
      </c>
      <c r="T63" s="1029">
        <f>'[14]FY2012-13 Final'!K64</f>
        <v>2991</v>
      </c>
      <c r="U63" s="1031">
        <f t="shared" si="54"/>
        <v>0</v>
      </c>
      <c r="V63" s="1464">
        <f>'[20]Oct midyear NOMMA'!E63</f>
        <v>0</v>
      </c>
      <c r="W63" s="1443">
        <f t="shared" si="43"/>
        <v>0</v>
      </c>
      <c r="X63" s="1474">
        <f>'[20]Feb midyear NOMMA'!E63</f>
        <v>0</v>
      </c>
      <c r="Y63" s="1470">
        <f t="shared" si="44"/>
        <v>0</v>
      </c>
      <c r="Z63" s="1470">
        <f t="shared" si="45"/>
        <v>0</v>
      </c>
      <c r="AA63" s="1031">
        <f t="shared" si="46"/>
        <v>0</v>
      </c>
      <c r="AB63" s="1090">
        <f t="shared" si="47"/>
        <v>0</v>
      </c>
      <c r="AC63" s="1031">
        <f t="shared" si="48"/>
        <v>0</v>
      </c>
      <c r="AD63" s="1031">
        <v>0</v>
      </c>
      <c r="AE63" s="1031">
        <f t="shared" si="49"/>
        <v>0</v>
      </c>
      <c r="AF63" s="1031">
        <v>0</v>
      </c>
      <c r="AG63" s="1448">
        <f t="shared" si="50"/>
        <v>0</v>
      </c>
      <c r="AH63" s="1448">
        <f t="shared" si="51"/>
        <v>0</v>
      </c>
      <c r="AI63" s="1032">
        <f t="shared" si="55"/>
        <v>0</v>
      </c>
      <c r="AJ63" s="1032">
        <f t="shared" si="56"/>
        <v>0</v>
      </c>
      <c r="AL63" s="49">
        <f t="shared" si="52"/>
        <v>0</v>
      </c>
      <c r="AM63" s="49">
        <f>-'[22]Table 5C1D-NOMMA'!AL63</f>
        <v>0</v>
      </c>
      <c r="AN63">
        <f>-'[21]Table 5C1D-NOMMA'!P63</f>
        <v>0</v>
      </c>
      <c r="AO63" s="49">
        <f t="shared" si="53"/>
        <v>0</v>
      </c>
    </row>
    <row r="64" spans="1:41">
      <c r="A64" s="975">
        <v>58</v>
      </c>
      <c r="B64" s="976" t="s">
        <v>158</v>
      </c>
      <c r="C64" s="1171">
        <f>'Table 8 2.1.12 MFP Funded'!Z61</f>
        <v>0</v>
      </c>
      <c r="D64" s="984">
        <f>'Table 3 Levels 1&amp;2'!AL65</f>
        <v>5341.4512666086594</v>
      </c>
      <c r="E64" s="1074">
        <f t="shared" si="33"/>
        <v>0</v>
      </c>
      <c r="F64" s="1074">
        <f>'Table 4 Level 3'!P63</f>
        <v>697.04</v>
      </c>
      <c r="G64" s="1074">
        <f t="shared" si="34"/>
        <v>0</v>
      </c>
      <c r="H64" s="1037">
        <f t="shared" si="35"/>
        <v>0</v>
      </c>
      <c r="I64" s="1417">
        <f>'[1]Oct midyear NOMMA'!K64</f>
        <v>0</v>
      </c>
      <c r="J64" s="1417">
        <f>'[1]Feb midyear NOMMA'!K64</f>
        <v>0</v>
      </c>
      <c r="K64" s="1417">
        <f t="shared" si="36"/>
        <v>0</v>
      </c>
      <c r="L64" s="1436">
        <f t="shared" si="37"/>
        <v>0</v>
      </c>
      <c r="M64" s="1084">
        <f t="shared" si="38"/>
        <v>0</v>
      </c>
      <c r="N64" s="1037">
        <f t="shared" si="39"/>
        <v>0</v>
      </c>
      <c r="O64" s="1037">
        <v>0</v>
      </c>
      <c r="P64" s="1037">
        <f t="shared" si="40"/>
        <v>0</v>
      </c>
      <c r="Q64" s="1037">
        <v>0</v>
      </c>
      <c r="R64" s="1436">
        <f t="shared" si="41"/>
        <v>0</v>
      </c>
      <c r="S64" s="1436">
        <f t="shared" si="42"/>
        <v>0</v>
      </c>
      <c r="T64" s="1029">
        <f>'[14]FY2012-13 Final'!K65</f>
        <v>2057</v>
      </c>
      <c r="U64" s="1031">
        <f t="shared" si="54"/>
        <v>0</v>
      </c>
      <c r="V64" s="1464">
        <f>'[20]Oct midyear NOMMA'!E64</f>
        <v>0</v>
      </c>
      <c r="W64" s="1443">
        <f t="shared" si="43"/>
        <v>0</v>
      </c>
      <c r="X64" s="1474">
        <f>'[20]Feb midyear NOMMA'!E64</f>
        <v>0</v>
      </c>
      <c r="Y64" s="1470">
        <f t="shared" si="44"/>
        <v>0</v>
      </c>
      <c r="Z64" s="1470">
        <f t="shared" si="45"/>
        <v>0</v>
      </c>
      <c r="AA64" s="1031">
        <f t="shared" si="46"/>
        <v>0</v>
      </c>
      <c r="AB64" s="1090">
        <f t="shared" si="47"/>
        <v>0</v>
      </c>
      <c r="AC64" s="1031">
        <f t="shared" si="48"/>
        <v>0</v>
      </c>
      <c r="AD64" s="1031">
        <v>0</v>
      </c>
      <c r="AE64" s="1031">
        <f t="shared" si="49"/>
        <v>0</v>
      </c>
      <c r="AF64" s="1031">
        <v>0</v>
      </c>
      <c r="AG64" s="1448">
        <f t="shared" si="50"/>
        <v>0</v>
      </c>
      <c r="AH64" s="1448">
        <f t="shared" si="51"/>
        <v>0</v>
      </c>
      <c r="AI64" s="1032">
        <f t="shared" si="55"/>
        <v>0</v>
      </c>
      <c r="AJ64" s="1032">
        <f t="shared" si="56"/>
        <v>0</v>
      </c>
      <c r="AL64" s="49">
        <f t="shared" si="52"/>
        <v>0</v>
      </c>
      <c r="AM64" s="49">
        <f>-'[22]Table 5C1D-NOMMA'!AL64</f>
        <v>0</v>
      </c>
      <c r="AN64">
        <f>-'[21]Table 5C1D-NOMMA'!P64</f>
        <v>0</v>
      </c>
      <c r="AO64" s="49">
        <f t="shared" si="53"/>
        <v>0</v>
      </c>
    </row>
    <row r="65" spans="1:41">
      <c r="A65" s="975">
        <v>59</v>
      </c>
      <c r="B65" s="976" t="s">
        <v>159</v>
      </c>
      <c r="C65" s="1171">
        <f>'Table 8 2.1.12 MFP Funded'!Z62</f>
        <v>0</v>
      </c>
      <c r="D65" s="984">
        <f>'Table 3 Levels 1&amp;2'!AL66</f>
        <v>6342.1695127641487</v>
      </c>
      <c r="E65" s="1074">
        <f t="shared" si="33"/>
        <v>0</v>
      </c>
      <c r="F65" s="1074">
        <f>'Table 4 Level 3'!P64</f>
        <v>689.52</v>
      </c>
      <c r="G65" s="1074">
        <f t="shared" si="34"/>
        <v>0</v>
      </c>
      <c r="H65" s="1037">
        <f t="shared" si="35"/>
        <v>0</v>
      </c>
      <c r="I65" s="1417">
        <f>'[1]Oct midyear NOMMA'!K65</f>
        <v>0</v>
      </c>
      <c r="J65" s="1417">
        <f>'[1]Feb midyear NOMMA'!K65</f>
        <v>0</v>
      </c>
      <c r="K65" s="1417">
        <f t="shared" si="36"/>
        <v>0</v>
      </c>
      <c r="L65" s="1436">
        <f t="shared" si="37"/>
        <v>0</v>
      </c>
      <c r="M65" s="1084">
        <f t="shared" si="38"/>
        <v>0</v>
      </c>
      <c r="N65" s="1037">
        <f t="shared" si="39"/>
        <v>0</v>
      </c>
      <c r="O65" s="1037">
        <v>0</v>
      </c>
      <c r="P65" s="1037">
        <f t="shared" si="40"/>
        <v>0</v>
      </c>
      <c r="Q65" s="1037">
        <v>0</v>
      </c>
      <c r="R65" s="1436">
        <f t="shared" si="41"/>
        <v>0</v>
      </c>
      <c r="S65" s="1436">
        <f t="shared" si="42"/>
        <v>0</v>
      </c>
      <c r="T65" s="1029">
        <f>'[14]FY2012-13 Final'!K66</f>
        <v>1530</v>
      </c>
      <c r="U65" s="1031">
        <f t="shared" si="54"/>
        <v>0</v>
      </c>
      <c r="V65" s="1464">
        <f>'[20]Oct midyear NOMMA'!E65</f>
        <v>0</v>
      </c>
      <c r="W65" s="1443">
        <f t="shared" si="43"/>
        <v>0</v>
      </c>
      <c r="X65" s="1474">
        <f>'[20]Feb midyear NOMMA'!E65</f>
        <v>0</v>
      </c>
      <c r="Y65" s="1470">
        <f t="shared" si="44"/>
        <v>0</v>
      </c>
      <c r="Z65" s="1470">
        <f t="shared" si="45"/>
        <v>0</v>
      </c>
      <c r="AA65" s="1031">
        <f t="shared" si="46"/>
        <v>0</v>
      </c>
      <c r="AB65" s="1090">
        <f t="shared" si="47"/>
        <v>0</v>
      </c>
      <c r="AC65" s="1031">
        <f t="shared" si="48"/>
        <v>0</v>
      </c>
      <c r="AD65" s="1031">
        <v>0</v>
      </c>
      <c r="AE65" s="1031">
        <f t="shared" si="49"/>
        <v>0</v>
      </c>
      <c r="AF65" s="1031">
        <v>0</v>
      </c>
      <c r="AG65" s="1448">
        <f t="shared" si="50"/>
        <v>0</v>
      </c>
      <c r="AH65" s="1448">
        <f t="shared" si="51"/>
        <v>0</v>
      </c>
      <c r="AI65" s="1032">
        <f t="shared" si="55"/>
        <v>0</v>
      </c>
      <c r="AJ65" s="1032">
        <f t="shared" si="56"/>
        <v>0</v>
      </c>
      <c r="AL65" s="49">
        <f t="shared" si="52"/>
        <v>0</v>
      </c>
      <c r="AM65" s="49">
        <f>-'[22]Table 5C1D-NOMMA'!AL65</f>
        <v>0</v>
      </c>
      <c r="AN65">
        <f>-'[21]Table 5C1D-NOMMA'!P65</f>
        <v>0</v>
      </c>
      <c r="AO65" s="49">
        <f t="shared" si="53"/>
        <v>0</v>
      </c>
    </row>
    <row r="66" spans="1:41">
      <c r="A66" s="979">
        <v>60</v>
      </c>
      <c r="B66" s="980" t="s">
        <v>160</v>
      </c>
      <c r="C66" s="1172">
        <f>'Table 8 2.1.12 MFP Funded'!Z63</f>
        <v>0</v>
      </c>
      <c r="D66" s="986">
        <f>'Table 3 Levels 1&amp;2'!AL67</f>
        <v>4836.7830262372299</v>
      </c>
      <c r="E66" s="1075">
        <f t="shared" si="33"/>
        <v>0</v>
      </c>
      <c r="F66" s="1075">
        <f>'Table 4 Level 3'!P65</f>
        <v>594.04</v>
      </c>
      <c r="G66" s="1075">
        <f t="shared" si="34"/>
        <v>0</v>
      </c>
      <c r="H66" s="1038">
        <f t="shared" si="35"/>
        <v>0</v>
      </c>
      <c r="I66" s="1418">
        <f>'[1]Oct midyear NOMMA'!K66</f>
        <v>0</v>
      </c>
      <c r="J66" s="1418">
        <f>'[1]Feb midyear NOMMA'!K66</f>
        <v>0</v>
      </c>
      <c r="K66" s="1418">
        <f t="shared" si="36"/>
        <v>0</v>
      </c>
      <c r="L66" s="1437">
        <f t="shared" si="37"/>
        <v>0</v>
      </c>
      <c r="M66" s="1085">
        <f t="shared" si="38"/>
        <v>0</v>
      </c>
      <c r="N66" s="1038">
        <f t="shared" si="39"/>
        <v>0</v>
      </c>
      <c r="O66" s="1038">
        <v>0</v>
      </c>
      <c r="P66" s="1038">
        <f t="shared" si="40"/>
        <v>0</v>
      </c>
      <c r="Q66" s="1038">
        <v>0</v>
      </c>
      <c r="R66" s="1437">
        <f t="shared" si="41"/>
        <v>0</v>
      </c>
      <c r="S66" s="1437">
        <f t="shared" si="42"/>
        <v>0</v>
      </c>
      <c r="T66" s="1034">
        <f>'[14]FY2012-13 Final'!K67</f>
        <v>3925</v>
      </c>
      <c r="U66" s="1035">
        <f t="shared" si="54"/>
        <v>0</v>
      </c>
      <c r="V66" s="1465">
        <f>'[20]Oct midyear NOMMA'!E66</f>
        <v>0</v>
      </c>
      <c r="W66" s="1445">
        <f t="shared" si="43"/>
        <v>0</v>
      </c>
      <c r="X66" s="1475">
        <f>'[20]Feb midyear NOMMA'!E66</f>
        <v>0</v>
      </c>
      <c r="Y66" s="1471">
        <f t="shared" si="44"/>
        <v>0</v>
      </c>
      <c r="Z66" s="1471">
        <f t="shared" si="45"/>
        <v>0</v>
      </c>
      <c r="AA66" s="1035">
        <f t="shared" si="46"/>
        <v>0</v>
      </c>
      <c r="AB66" s="1091">
        <f t="shared" si="47"/>
        <v>0</v>
      </c>
      <c r="AC66" s="1035">
        <f t="shared" si="48"/>
        <v>0</v>
      </c>
      <c r="AD66" s="1035">
        <v>0</v>
      </c>
      <c r="AE66" s="1035">
        <f t="shared" si="49"/>
        <v>0</v>
      </c>
      <c r="AF66" s="1035">
        <v>0</v>
      </c>
      <c r="AG66" s="1450">
        <f t="shared" si="50"/>
        <v>0</v>
      </c>
      <c r="AH66" s="1450">
        <f t="shared" si="51"/>
        <v>0</v>
      </c>
      <c r="AI66" s="1036">
        <f t="shared" si="55"/>
        <v>0</v>
      </c>
      <c r="AJ66" s="1036">
        <f t="shared" si="56"/>
        <v>0</v>
      </c>
      <c r="AL66" s="49">
        <f t="shared" si="52"/>
        <v>0</v>
      </c>
      <c r="AM66" s="49">
        <f>-'[22]Table 5C1D-NOMMA'!AL66</f>
        <v>0</v>
      </c>
      <c r="AN66">
        <f>-'[21]Table 5C1D-NOMMA'!P66</f>
        <v>0</v>
      </c>
      <c r="AO66" s="49">
        <f t="shared" si="53"/>
        <v>0</v>
      </c>
    </row>
    <row r="67" spans="1:41">
      <c r="A67" s="968">
        <v>61</v>
      </c>
      <c r="B67" s="969" t="s">
        <v>161</v>
      </c>
      <c r="C67" s="1173">
        <f>'Table 8 2.1.12 MFP Funded'!Z64</f>
        <v>0</v>
      </c>
      <c r="D67" s="988">
        <f>'Table 3 Levels 1&amp;2'!AL68</f>
        <v>3068.5254213785697</v>
      </c>
      <c r="E67" s="1076">
        <f t="shared" si="33"/>
        <v>0</v>
      </c>
      <c r="F67" s="1076">
        <f>'Table 4 Level 3'!P66</f>
        <v>833.70999999999992</v>
      </c>
      <c r="G67" s="1076">
        <f t="shared" si="34"/>
        <v>0</v>
      </c>
      <c r="H67" s="1039">
        <f t="shared" si="35"/>
        <v>0</v>
      </c>
      <c r="I67" s="1419">
        <f>'[1]Oct midyear NOMMA'!K67</f>
        <v>0</v>
      </c>
      <c r="J67" s="1419">
        <f>'[1]Feb midyear NOMMA'!K67</f>
        <v>0</v>
      </c>
      <c r="K67" s="1419">
        <f t="shared" si="36"/>
        <v>0</v>
      </c>
      <c r="L67" s="1211">
        <f t="shared" si="37"/>
        <v>0</v>
      </c>
      <c r="M67" s="1086">
        <f t="shared" si="38"/>
        <v>0</v>
      </c>
      <c r="N67" s="1039">
        <f t="shared" si="39"/>
        <v>0</v>
      </c>
      <c r="O67" s="1039">
        <v>0</v>
      </c>
      <c r="P67" s="1039">
        <f t="shared" si="40"/>
        <v>0</v>
      </c>
      <c r="Q67" s="1039">
        <v>0</v>
      </c>
      <c r="R67" s="1211">
        <f t="shared" si="41"/>
        <v>0</v>
      </c>
      <c r="S67" s="1211">
        <f t="shared" si="42"/>
        <v>0</v>
      </c>
      <c r="T67" s="1029">
        <f>'[14]FY2012-13 Final'!K68</f>
        <v>6698</v>
      </c>
      <c r="U67" s="973">
        <f t="shared" si="54"/>
        <v>0</v>
      </c>
      <c r="V67" s="1466">
        <f>'[20]Oct midyear NOMMA'!E67</f>
        <v>0</v>
      </c>
      <c r="W67" s="1444">
        <f t="shared" si="43"/>
        <v>0</v>
      </c>
      <c r="X67" s="1466">
        <f>'[20]Feb midyear NOMMA'!E67</f>
        <v>0</v>
      </c>
      <c r="Y67" s="1444">
        <f t="shared" si="44"/>
        <v>0</v>
      </c>
      <c r="Z67" s="1444">
        <f t="shared" si="45"/>
        <v>0</v>
      </c>
      <c r="AA67" s="973">
        <f t="shared" si="46"/>
        <v>0</v>
      </c>
      <c r="AB67" s="1089">
        <f t="shared" si="47"/>
        <v>0</v>
      </c>
      <c r="AC67" s="973">
        <f t="shared" si="48"/>
        <v>0</v>
      </c>
      <c r="AD67" s="973">
        <v>0</v>
      </c>
      <c r="AE67" s="973">
        <f t="shared" si="49"/>
        <v>0</v>
      </c>
      <c r="AF67" s="973">
        <v>0</v>
      </c>
      <c r="AG67" s="1214">
        <f t="shared" si="50"/>
        <v>0</v>
      </c>
      <c r="AH67" s="1214">
        <f t="shared" si="51"/>
        <v>0</v>
      </c>
      <c r="AI67" s="974">
        <f t="shared" si="55"/>
        <v>0</v>
      </c>
      <c r="AJ67" s="974">
        <f t="shared" si="56"/>
        <v>0</v>
      </c>
      <c r="AL67" s="49">
        <f t="shared" si="52"/>
        <v>0</v>
      </c>
      <c r="AM67" s="49">
        <f>-'[22]Table 5C1D-NOMMA'!AL67</f>
        <v>0</v>
      </c>
      <c r="AN67">
        <f>-'[21]Table 5C1D-NOMMA'!P67</f>
        <v>0</v>
      </c>
      <c r="AO67" s="49">
        <f t="shared" si="53"/>
        <v>0</v>
      </c>
    </row>
    <row r="68" spans="1:41">
      <c r="A68" s="975">
        <v>62</v>
      </c>
      <c r="B68" s="976" t="s">
        <v>162</v>
      </c>
      <c r="C68" s="1171">
        <f>'Table 8 2.1.12 MFP Funded'!Z65</f>
        <v>0</v>
      </c>
      <c r="D68" s="984">
        <f>'Table 3 Levels 1&amp;2'!AL69</f>
        <v>5577.0282124990472</v>
      </c>
      <c r="E68" s="1074">
        <f t="shared" si="33"/>
        <v>0</v>
      </c>
      <c r="F68" s="1074">
        <f>'Table 4 Level 3'!P67</f>
        <v>516.08000000000004</v>
      </c>
      <c r="G68" s="1074">
        <f t="shared" si="34"/>
        <v>0</v>
      </c>
      <c r="H68" s="1037">
        <f t="shared" si="35"/>
        <v>0</v>
      </c>
      <c r="I68" s="1417">
        <f>'[1]Oct midyear NOMMA'!K68</f>
        <v>0</v>
      </c>
      <c r="J68" s="1417">
        <f>'[1]Feb midyear NOMMA'!K68</f>
        <v>0</v>
      </c>
      <c r="K68" s="1417">
        <f t="shared" si="36"/>
        <v>0</v>
      </c>
      <c r="L68" s="1436">
        <f t="shared" si="37"/>
        <v>0</v>
      </c>
      <c r="M68" s="1084">
        <f t="shared" si="38"/>
        <v>0</v>
      </c>
      <c r="N68" s="1037">
        <f t="shared" si="39"/>
        <v>0</v>
      </c>
      <c r="O68" s="1037">
        <v>0</v>
      </c>
      <c r="P68" s="1037">
        <f t="shared" si="40"/>
        <v>0</v>
      </c>
      <c r="Q68" s="1037">
        <v>0</v>
      </c>
      <c r="R68" s="1436">
        <f t="shared" si="41"/>
        <v>0</v>
      </c>
      <c r="S68" s="1436">
        <f t="shared" si="42"/>
        <v>0</v>
      </c>
      <c r="T68" s="1029">
        <f>'[14]FY2012-13 Final'!K69</f>
        <v>1785</v>
      </c>
      <c r="U68" s="1031">
        <f t="shared" si="54"/>
        <v>0</v>
      </c>
      <c r="V68" s="1464">
        <f>'[20]Oct midyear NOMMA'!E68</f>
        <v>0</v>
      </c>
      <c r="W68" s="1443">
        <f t="shared" si="43"/>
        <v>0</v>
      </c>
      <c r="X68" s="1474">
        <f>'[20]Feb midyear NOMMA'!E68</f>
        <v>0</v>
      </c>
      <c r="Y68" s="1470">
        <f t="shared" si="44"/>
        <v>0</v>
      </c>
      <c r="Z68" s="1470">
        <f t="shared" si="45"/>
        <v>0</v>
      </c>
      <c r="AA68" s="1031">
        <f t="shared" si="46"/>
        <v>0</v>
      </c>
      <c r="AB68" s="1090">
        <f t="shared" si="47"/>
        <v>0</v>
      </c>
      <c r="AC68" s="1031">
        <f t="shared" si="48"/>
        <v>0</v>
      </c>
      <c r="AD68" s="1031">
        <v>0</v>
      </c>
      <c r="AE68" s="1031">
        <f t="shared" si="49"/>
        <v>0</v>
      </c>
      <c r="AF68" s="1031">
        <v>0</v>
      </c>
      <c r="AG68" s="1448">
        <f t="shared" si="50"/>
        <v>0</v>
      </c>
      <c r="AH68" s="1448">
        <f t="shared" si="51"/>
        <v>0</v>
      </c>
      <c r="AI68" s="1032">
        <f t="shared" si="55"/>
        <v>0</v>
      </c>
      <c r="AJ68" s="1032">
        <f t="shared" si="56"/>
        <v>0</v>
      </c>
      <c r="AL68" s="49">
        <f t="shared" si="52"/>
        <v>0</v>
      </c>
      <c r="AM68" s="49">
        <f>-'[22]Table 5C1D-NOMMA'!AL68</f>
        <v>0</v>
      </c>
      <c r="AN68">
        <f>-'[21]Table 5C1D-NOMMA'!P68</f>
        <v>0</v>
      </c>
      <c r="AO68" s="49">
        <f t="shared" si="53"/>
        <v>0</v>
      </c>
    </row>
    <row r="69" spans="1:41">
      <c r="A69" s="975">
        <v>63</v>
      </c>
      <c r="B69" s="976" t="s">
        <v>163</v>
      </c>
      <c r="C69" s="1171">
        <f>'Table 8 2.1.12 MFP Funded'!Z66</f>
        <v>0</v>
      </c>
      <c r="D69" s="984">
        <f>'Table 3 Levels 1&amp;2'!AL70</f>
        <v>4427.207711317601</v>
      </c>
      <c r="E69" s="1074">
        <f t="shared" si="33"/>
        <v>0</v>
      </c>
      <c r="F69" s="1074">
        <f>'Table 4 Level 3'!P68</f>
        <v>756.79</v>
      </c>
      <c r="G69" s="1074">
        <f t="shared" si="34"/>
        <v>0</v>
      </c>
      <c r="H69" s="1037">
        <f t="shared" si="35"/>
        <v>0</v>
      </c>
      <c r="I69" s="1417">
        <f>'[1]Oct midyear NOMMA'!K69</f>
        <v>0</v>
      </c>
      <c r="J69" s="1417">
        <f>'[1]Feb midyear NOMMA'!K69</f>
        <v>0</v>
      </c>
      <c r="K69" s="1417">
        <f t="shared" si="36"/>
        <v>0</v>
      </c>
      <c r="L69" s="1436">
        <f t="shared" si="37"/>
        <v>0</v>
      </c>
      <c r="M69" s="1084">
        <f t="shared" si="38"/>
        <v>0</v>
      </c>
      <c r="N69" s="1037">
        <f t="shared" si="39"/>
        <v>0</v>
      </c>
      <c r="O69" s="1037">
        <v>0</v>
      </c>
      <c r="P69" s="1037">
        <f t="shared" si="40"/>
        <v>0</v>
      </c>
      <c r="Q69" s="1037">
        <v>0</v>
      </c>
      <c r="R69" s="1436">
        <f t="shared" si="41"/>
        <v>0</v>
      </c>
      <c r="S69" s="1436">
        <f t="shared" si="42"/>
        <v>0</v>
      </c>
      <c r="T69" s="1029">
        <f>'[14]FY2012-13 Final'!K70</f>
        <v>7190</v>
      </c>
      <c r="U69" s="1031">
        <f t="shared" si="54"/>
        <v>0</v>
      </c>
      <c r="V69" s="1464">
        <f>'[20]Oct midyear NOMMA'!E69</f>
        <v>0</v>
      </c>
      <c r="W69" s="1443">
        <f t="shared" si="43"/>
        <v>0</v>
      </c>
      <c r="X69" s="1474">
        <f>'[20]Feb midyear NOMMA'!E69</f>
        <v>0</v>
      </c>
      <c r="Y69" s="1470">
        <f t="shared" si="44"/>
        <v>0</v>
      </c>
      <c r="Z69" s="1470">
        <f t="shared" si="45"/>
        <v>0</v>
      </c>
      <c r="AA69" s="1031">
        <f t="shared" si="46"/>
        <v>0</v>
      </c>
      <c r="AB69" s="1090">
        <f t="shared" si="47"/>
        <v>0</v>
      </c>
      <c r="AC69" s="1031">
        <f t="shared" si="48"/>
        <v>0</v>
      </c>
      <c r="AD69" s="1031">
        <v>0</v>
      </c>
      <c r="AE69" s="1031">
        <f t="shared" si="49"/>
        <v>0</v>
      </c>
      <c r="AF69" s="1031">
        <v>0</v>
      </c>
      <c r="AG69" s="1448">
        <f t="shared" si="50"/>
        <v>0</v>
      </c>
      <c r="AH69" s="1448">
        <f t="shared" si="51"/>
        <v>0</v>
      </c>
      <c r="AI69" s="1032">
        <f t="shared" si="55"/>
        <v>0</v>
      </c>
      <c r="AJ69" s="1032">
        <f t="shared" si="56"/>
        <v>0</v>
      </c>
      <c r="AL69" s="49">
        <f t="shared" si="52"/>
        <v>0</v>
      </c>
      <c r="AM69" s="49">
        <f>-'[22]Table 5C1D-NOMMA'!AL69</f>
        <v>0</v>
      </c>
      <c r="AN69">
        <f>-'[21]Table 5C1D-NOMMA'!P69</f>
        <v>0</v>
      </c>
      <c r="AO69" s="49">
        <f t="shared" si="53"/>
        <v>0</v>
      </c>
    </row>
    <row r="70" spans="1:41">
      <c r="A70" s="975">
        <v>64</v>
      </c>
      <c r="B70" s="976" t="s">
        <v>164</v>
      </c>
      <c r="C70" s="1171">
        <f>'Table 8 2.1.12 MFP Funded'!Z67</f>
        <v>0</v>
      </c>
      <c r="D70" s="984">
        <f>'Table 3 Levels 1&amp;2'!AL71</f>
        <v>5888.4725850181812</v>
      </c>
      <c r="E70" s="1074">
        <f t="shared" si="33"/>
        <v>0</v>
      </c>
      <c r="F70" s="1074">
        <f>'Table 4 Level 3'!P69</f>
        <v>592.66</v>
      </c>
      <c r="G70" s="1074">
        <f t="shared" si="34"/>
        <v>0</v>
      </c>
      <c r="H70" s="1037">
        <f t="shared" si="35"/>
        <v>0</v>
      </c>
      <c r="I70" s="1417">
        <f>'[1]Oct midyear NOMMA'!K70</f>
        <v>0</v>
      </c>
      <c r="J70" s="1417">
        <f>'[1]Feb midyear NOMMA'!K70</f>
        <v>0</v>
      </c>
      <c r="K70" s="1417">
        <f t="shared" si="36"/>
        <v>0</v>
      </c>
      <c r="L70" s="1436">
        <f t="shared" si="37"/>
        <v>0</v>
      </c>
      <c r="M70" s="1084">
        <f t="shared" si="38"/>
        <v>0</v>
      </c>
      <c r="N70" s="1037">
        <f t="shared" si="39"/>
        <v>0</v>
      </c>
      <c r="O70" s="1037">
        <v>0</v>
      </c>
      <c r="P70" s="1037">
        <f t="shared" si="40"/>
        <v>0</v>
      </c>
      <c r="Q70" s="1037">
        <v>0</v>
      </c>
      <c r="R70" s="1436">
        <f t="shared" si="41"/>
        <v>0</v>
      </c>
      <c r="S70" s="1436">
        <f t="shared" si="42"/>
        <v>0</v>
      </c>
      <c r="T70" s="1029">
        <f>'[14]FY2012-13 Final'!K71</f>
        <v>2702</v>
      </c>
      <c r="U70" s="1031">
        <f t="shared" si="54"/>
        <v>0</v>
      </c>
      <c r="V70" s="1464">
        <f>'[20]Oct midyear NOMMA'!E70</f>
        <v>0</v>
      </c>
      <c r="W70" s="1443">
        <f t="shared" si="43"/>
        <v>0</v>
      </c>
      <c r="X70" s="1474">
        <f>'[20]Feb midyear NOMMA'!E70</f>
        <v>0</v>
      </c>
      <c r="Y70" s="1470">
        <f t="shared" si="44"/>
        <v>0</v>
      </c>
      <c r="Z70" s="1470">
        <f t="shared" si="45"/>
        <v>0</v>
      </c>
      <c r="AA70" s="1031">
        <f t="shared" si="46"/>
        <v>0</v>
      </c>
      <c r="AB70" s="1090">
        <f t="shared" si="47"/>
        <v>0</v>
      </c>
      <c r="AC70" s="1031">
        <f t="shared" si="48"/>
        <v>0</v>
      </c>
      <c r="AD70" s="1031">
        <v>0</v>
      </c>
      <c r="AE70" s="1031">
        <f t="shared" si="49"/>
        <v>0</v>
      </c>
      <c r="AF70" s="1031">
        <v>0</v>
      </c>
      <c r="AG70" s="1448">
        <f t="shared" si="50"/>
        <v>0</v>
      </c>
      <c r="AH70" s="1448">
        <f t="shared" si="51"/>
        <v>0</v>
      </c>
      <c r="AI70" s="1032">
        <f t="shared" si="55"/>
        <v>0</v>
      </c>
      <c r="AJ70" s="1032">
        <f t="shared" si="56"/>
        <v>0</v>
      </c>
      <c r="AL70" s="49">
        <f t="shared" si="52"/>
        <v>0</v>
      </c>
      <c r="AM70" s="49">
        <f>-'[22]Table 5C1D-NOMMA'!AL70</f>
        <v>0</v>
      </c>
      <c r="AN70">
        <f>-'[21]Table 5C1D-NOMMA'!P70</f>
        <v>0</v>
      </c>
      <c r="AO70" s="49">
        <f t="shared" si="53"/>
        <v>0</v>
      </c>
    </row>
    <row r="71" spans="1:41">
      <c r="A71" s="979">
        <v>65</v>
      </c>
      <c r="B71" s="980" t="s">
        <v>165</v>
      </c>
      <c r="C71" s="1172">
        <f>'Table 8 2.1.12 MFP Funded'!Z68</f>
        <v>0</v>
      </c>
      <c r="D71" s="986">
        <f>'Table 3 Levels 1&amp;2'!AL72</f>
        <v>4583.9609010774066</v>
      </c>
      <c r="E71" s="1075">
        <f t="shared" si="33"/>
        <v>0</v>
      </c>
      <c r="F71" s="1075">
        <f>'Table 4 Level 3'!P70</f>
        <v>829.12</v>
      </c>
      <c r="G71" s="1075">
        <f t="shared" si="34"/>
        <v>0</v>
      </c>
      <c r="H71" s="1038">
        <f t="shared" si="35"/>
        <v>0</v>
      </c>
      <c r="I71" s="1418">
        <f>'[1]Oct midyear NOMMA'!K71</f>
        <v>0</v>
      </c>
      <c r="J71" s="1418">
        <f>'[1]Feb midyear NOMMA'!K71</f>
        <v>0</v>
      </c>
      <c r="K71" s="1418">
        <f t="shared" si="36"/>
        <v>0</v>
      </c>
      <c r="L71" s="1437">
        <f t="shared" si="37"/>
        <v>0</v>
      </c>
      <c r="M71" s="1085">
        <f t="shared" si="38"/>
        <v>0</v>
      </c>
      <c r="N71" s="1038">
        <f t="shared" si="39"/>
        <v>0</v>
      </c>
      <c r="O71" s="1038">
        <v>0</v>
      </c>
      <c r="P71" s="1038">
        <f t="shared" si="40"/>
        <v>0</v>
      </c>
      <c r="Q71" s="1038">
        <v>0</v>
      </c>
      <c r="R71" s="1437">
        <f t="shared" si="41"/>
        <v>0</v>
      </c>
      <c r="S71" s="1437">
        <f t="shared" si="42"/>
        <v>0</v>
      </c>
      <c r="T71" s="1034">
        <f>'[14]FY2012-13 Final'!K72</f>
        <v>4936</v>
      </c>
      <c r="U71" s="1035">
        <f t="shared" ref="U71:U75" si="57">C71*T71</f>
        <v>0</v>
      </c>
      <c r="V71" s="1465">
        <f>'[20]Oct midyear NOMMA'!E71</f>
        <v>0</v>
      </c>
      <c r="W71" s="1445">
        <f t="shared" si="43"/>
        <v>0</v>
      </c>
      <c r="X71" s="1475">
        <f>'[20]Feb midyear NOMMA'!E71</f>
        <v>0</v>
      </c>
      <c r="Y71" s="1471">
        <f t="shared" si="44"/>
        <v>0</v>
      </c>
      <c r="Z71" s="1471">
        <f t="shared" si="45"/>
        <v>0</v>
      </c>
      <c r="AA71" s="1035">
        <f t="shared" si="46"/>
        <v>0</v>
      </c>
      <c r="AB71" s="1091">
        <f t="shared" si="47"/>
        <v>0</v>
      </c>
      <c r="AC71" s="1035">
        <f t="shared" si="48"/>
        <v>0</v>
      </c>
      <c r="AD71" s="1035">
        <v>0</v>
      </c>
      <c r="AE71" s="1035">
        <f t="shared" si="49"/>
        <v>0</v>
      </c>
      <c r="AF71" s="1035">
        <v>0</v>
      </c>
      <c r="AG71" s="1450">
        <f t="shared" si="50"/>
        <v>0</v>
      </c>
      <c r="AH71" s="1450">
        <f t="shared" si="51"/>
        <v>0</v>
      </c>
      <c r="AI71" s="1036">
        <f t="shared" si="55"/>
        <v>0</v>
      </c>
      <c r="AJ71" s="1036">
        <f t="shared" si="56"/>
        <v>0</v>
      </c>
      <c r="AL71" s="49">
        <f t="shared" si="52"/>
        <v>0</v>
      </c>
      <c r="AM71" s="49">
        <f>-'[22]Table 5C1D-NOMMA'!AL71</f>
        <v>0</v>
      </c>
      <c r="AN71">
        <f>-'[21]Table 5C1D-NOMMA'!P71</f>
        <v>0</v>
      </c>
      <c r="AO71" s="49">
        <f t="shared" si="53"/>
        <v>0</v>
      </c>
    </row>
    <row r="72" spans="1:41">
      <c r="A72" s="968">
        <v>66</v>
      </c>
      <c r="B72" s="969" t="s">
        <v>166</v>
      </c>
      <c r="C72" s="1173">
        <f>'Table 8 2.1.12 MFP Funded'!Z69</f>
        <v>0</v>
      </c>
      <c r="D72" s="988">
        <f>'Table 3 Levels 1&amp;2'!AL73</f>
        <v>6262.4784859426345</v>
      </c>
      <c r="E72" s="1076">
        <f t="shared" ref="E72:E75" si="58">C72*D72</f>
        <v>0</v>
      </c>
      <c r="F72" s="1076">
        <f>'Table 4 Level 3'!P71</f>
        <v>730.06</v>
      </c>
      <c r="G72" s="1076">
        <f t="shared" ref="G72:G75" si="59">C72*F72</f>
        <v>0</v>
      </c>
      <c r="H72" s="1039">
        <f t="shared" ref="H72:H75" si="60">E72+G72</f>
        <v>0</v>
      </c>
      <c r="I72" s="1419">
        <f>'[1]Oct midyear NOMMA'!K72</f>
        <v>0</v>
      </c>
      <c r="J72" s="1419">
        <f>'[1]Feb midyear NOMMA'!K72</f>
        <v>0</v>
      </c>
      <c r="K72" s="1419">
        <f t="shared" ref="K72:K76" si="61">I72+J72</f>
        <v>0</v>
      </c>
      <c r="L72" s="1211">
        <f t="shared" ref="L72:L76" si="62">H72+K72</f>
        <v>0</v>
      </c>
      <c r="M72" s="1086">
        <f t="shared" ref="M72:M76" si="63">-(0.25%*L72)</f>
        <v>0</v>
      </c>
      <c r="N72" s="1039">
        <f t="shared" ref="N72:N76" si="64">SUM(L72:M72)</f>
        <v>0</v>
      </c>
      <c r="O72" s="1039">
        <v>0</v>
      </c>
      <c r="P72" s="1039">
        <f t="shared" ref="P72:P75" si="65">SUM(N72:O72)</f>
        <v>0</v>
      </c>
      <c r="Q72" s="1039">
        <v>0</v>
      </c>
      <c r="R72" s="1211">
        <f t="shared" ref="R72:R75" si="66">P72-Q72</f>
        <v>0</v>
      </c>
      <c r="S72" s="1211">
        <f t="shared" ref="S72:S75" si="67">R72/2</f>
        <v>0</v>
      </c>
      <c r="T72" s="1029">
        <f>'[14]FY2012-13 Final'!K73</f>
        <v>3528</v>
      </c>
      <c r="U72" s="973">
        <f t="shared" si="57"/>
        <v>0</v>
      </c>
      <c r="V72" s="1466">
        <f>'[20]Oct midyear NOMMA'!E72</f>
        <v>0</v>
      </c>
      <c r="W72" s="1444">
        <f t="shared" ref="W72:W75" si="68">V72*T72</f>
        <v>0</v>
      </c>
      <c r="X72" s="1466">
        <f>'[20]Feb midyear NOMMA'!E72</f>
        <v>0</v>
      </c>
      <c r="Y72" s="1444">
        <f t="shared" ref="Y72:Y75" si="69">X72*(T72*0.5)</f>
        <v>0</v>
      </c>
      <c r="Z72" s="1444">
        <f t="shared" ref="Z72:Z75" si="70">W72+Y72</f>
        <v>0</v>
      </c>
      <c r="AA72" s="973">
        <f t="shared" ref="AA72:AA75" si="71">U72+Z72</f>
        <v>0</v>
      </c>
      <c r="AB72" s="1089">
        <f t="shared" ref="AB72:AB75" si="72">-(0.25%*AA72)</f>
        <v>0</v>
      </c>
      <c r="AC72" s="973">
        <f t="shared" ref="AC72:AC75" si="73">SUM(AA72:AB72)</f>
        <v>0</v>
      </c>
      <c r="AD72" s="973">
        <v>0</v>
      </c>
      <c r="AE72" s="973">
        <f t="shared" ref="AE72:AE75" si="74">SUM(AC72:AD72)</f>
        <v>0</v>
      </c>
      <c r="AF72" s="973">
        <v>0</v>
      </c>
      <c r="AG72" s="1214">
        <f t="shared" ref="AG72:AG75" si="75">AE72-AF72</f>
        <v>0</v>
      </c>
      <c r="AH72" s="1214">
        <f t="shared" ref="AH72:AH75" si="76">AG72/2</f>
        <v>0</v>
      </c>
      <c r="AI72" s="974">
        <f t="shared" si="55"/>
        <v>0</v>
      </c>
      <c r="AJ72" s="974">
        <f t="shared" si="56"/>
        <v>0</v>
      </c>
      <c r="AL72" s="49">
        <f t="shared" ref="AL72:AL75" si="77">AB72</f>
        <v>0</v>
      </c>
      <c r="AM72" s="49">
        <f>-'[22]Table 5C1D-NOMMA'!AL72</f>
        <v>0</v>
      </c>
      <c r="AN72">
        <f>-'[21]Table 5C1D-NOMMA'!P72</f>
        <v>0</v>
      </c>
      <c r="AO72" s="49">
        <f t="shared" ref="AO72:AO75" si="78">SUM(AL72:AM72)</f>
        <v>0</v>
      </c>
    </row>
    <row r="73" spans="1:41">
      <c r="A73" s="975">
        <v>67</v>
      </c>
      <c r="B73" s="976" t="s">
        <v>33</v>
      </c>
      <c r="C73" s="1171">
        <f>'Table 8 2.1.12 MFP Funded'!Z70</f>
        <v>0</v>
      </c>
      <c r="D73" s="984">
        <f>'Table 3 Levels 1&amp;2'!AL74</f>
        <v>5059.3528695821524</v>
      </c>
      <c r="E73" s="1074">
        <f t="shared" si="58"/>
        <v>0</v>
      </c>
      <c r="F73" s="1074">
        <f>'Table 4 Level 3'!P72</f>
        <v>715.61</v>
      </c>
      <c r="G73" s="1074">
        <f t="shared" si="59"/>
        <v>0</v>
      </c>
      <c r="H73" s="1037">
        <f t="shared" si="60"/>
        <v>0</v>
      </c>
      <c r="I73" s="1417">
        <f>'[1]Oct midyear NOMMA'!K73</f>
        <v>0</v>
      </c>
      <c r="J73" s="1417">
        <f>'[1]Feb midyear NOMMA'!K73</f>
        <v>0</v>
      </c>
      <c r="K73" s="1417">
        <f t="shared" si="61"/>
        <v>0</v>
      </c>
      <c r="L73" s="1436">
        <f t="shared" si="62"/>
        <v>0</v>
      </c>
      <c r="M73" s="1084">
        <f t="shared" si="63"/>
        <v>0</v>
      </c>
      <c r="N73" s="1037">
        <f t="shared" si="64"/>
        <v>0</v>
      </c>
      <c r="O73" s="1037">
        <v>0</v>
      </c>
      <c r="P73" s="1037">
        <f t="shared" si="65"/>
        <v>0</v>
      </c>
      <c r="Q73" s="1037">
        <v>0</v>
      </c>
      <c r="R73" s="1436">
        <f t="shared" si="66"/>
        <v>0</v>
      </c>
      <c r="S73" s="1436">
        <f t="shared" si="67"/>
        <v>0</v>
      </c>
      <c r="T73" s="1029">
        <f>'[14]FY2012-13 Final'!K74</f>
        <v>5055</v>
      </c>
      <c r="U73" s="1031">
        <f t="shared" si="57"/>
        <v>0</v>
      </c>
      <c r="V73" s="1464">
        <f>'[20]Oct midyear NOMMA'!E73</f>
        <v>0</v>
      </c>
      <c r="W73" s="1443">
        <f t="shared" si="68"/>
        <v>0</v>
      </c>
      <c r="X73" s="1474">
        <f>'[20]Feb midyear NOMMA'!E73</f>
        <v>0</v>
      </c>
      <c r="Y73" s="1470">
        <f t="shared" si="69"/>
        <v>0</v>
      </c>
      <c r="Z73" s="1470">
        <f t="shared" si="70"/>
        <v>0</v>
      </c>
      <c r="AA73" s="1031">
        <f t="shared" si="71"/>
        <v>0</v>
      </c>
      <c r="AB73" s="1090">
        <f t="shared" si="72"/>
        <v>0</v>
      </c>
      <c r="AC73" s="1031">
        <f t="shared" si="73"/>
        <v>0</v>
      </c>
      <c r="AD73" s="1031">
        <v>0</v>
      </c>
      <c r="AE73" s="1031">
        <f t="shared" si="74"/>
        <v>0</v>
      </c>
      <c r="AF73" s="1031">
        <v>0</v>
      </c>
      <c r="AG73" s="1448">
        <f t="shared" si="75"/>
        <v>0</v>
      </c>
      <c r="AH73" s="1448">
        <f t="shared" si="76"/>
        <v>0</v>
      </c>
      <c r="AI73" s="1032">
        <f t="shared" si="55"/>
        <v>0</v>
      </c>
      <c r="AJ73" s="1032">
        <f t="shared" si="56"/>
        <v>0</v>
      </c>
      <c r="AL73" s="49">
        <f t="shared" si="77"/>
        <v>0</v>
      </c>
      <c r="AM73" s="49">
        <f>-'[22]Table 5C1D-NOMMA'!AL73</f>
        <v>0</v>
      </c>
      <c r="AN73">
        <f>-'[21]Table 5C1D-NOMMA'!P73</f>
        <v>0</v>
      </c>
      <c r="AO73" s="49">
        <f>SUM(AL73:AM73)</f>
        <v>0</v>
      </c>
    </row>
    <row r="74" spans="1:41">
      <c r="A74" s="975">
        <v>68</v>
      </c>
      <c r="B74" s="976" t="s">
        <v>31</v>
      </c>
      <c r="C74" s="1171">
        <f>'Table 8 2.1.12 MFP Funded'!Z71</f>
        <v>0</v>
      </c>
      <c r="D74" s="984">
        <f>'Table 3 Levels 1&amp;2'!AL75</f>
        <v>5863.2815891318614</v>
      </c>
      <c r="E74" s="1074">
        <f t="shared" si="58"/>
        <v>0</v>
      </c>
      <c r="F74" s="1074">
        <f>'Table 4 Level 3'!P73</f>
        <v>798.7</v>
      </c>
      <c r="G74" s="1074">
        <f t="shared" si="59"/>
        <v>0</v>
      </c>
      <c r="H74" s="1037">
        <f t="shared" si="60"/>
        <v>0</v>
      </c>
      <c r="I74" s="1417">
        <f>'[1]Oct midyear NOMMA'!K74</f>
        <v>0</v>
      </c>
      <c r="J74" s="1417">
        <f>'[1]Feb midyear NOMMA'!K74</f>
        <v>0</v>
      </c>
      <c r="K74" s="1417">
        <f t="shared" si="61"/>
        <v>0</v>
      </c>
      <c r="L74" s="1436">
        <f t="shared" si="62"/>
        <v>0</v>
      </c>
      <c r="M74" s="1084">
        <f t="shared" si="63"/>
        <v>0</v>
      </c>
      <c r="N74" s="1037">
        <f t="shared" si="64"/>
        <v>0</v>
      </c>
      <c r="O74" s="1037">
        <v>0</v>
      </c>
      <c r="P74" s="1037">
        <f t="shared" si="65"/>
        <v>0</v>
      </c>
      <c r="Q74" s="1037">
        <v>0</v>
      </c>
      <c r="R74" s="1436">
        <f t="shared" si="66"/>
        <v>0</v>
      </c>
      <c r="S74" s="1436">
        <f t="shared" si="67"/>
        <v>0</v>
      </c>
      <c r="T74" s="1029">
        <f>'[14]FY2012-13 Final'!K75</f>
        <v>2809</v>
      </c>
      <c r="U74" s="1031">
        <f t="shared" si="57"/>
        <v>0</v>
      </c>
      <c r="V74" s="1464">
        <f>'[20]Oct midyear NOMMA'!E74</f>
        <v>0</v>
      </c>
      <c r="W74" s="1443">
        <f t="shared" si="68"/>
        <v>0</v>
      </c>
      <c r="X74" s="1474">
        <f>'[20]Feb midyear NOMMA'!E74</f>
        <v>0</v>
      </c>
      <c r="Y74" s="1470">
        <f t="shared" si="69"/>
        <v>0</v>
      </c>
      <c r="Z74" s="1470">
        <f t="shared" si="70"/>
        <v>0</v>
      </c>
      <c r="AA74" s="1031">
        <f t="shared" si="71"/>
        <v>0</v>
      </c>
      <c r="AB74" s="1090">
        <f t="shared" si="72"/>
        <v>0</v>
      </c>
      <c r="AC74" s="1031">
        <f t="shared" si="73"/>
        <v>0</v>
      </c>
      <c r="AD74" s="1031">
        <v>0</v>
      </c>
      <c r="AE74" s="1031">
        <f t="shared" si="74"/>
        <v>0</v>
      </c>
      <c r="AF74" s="1031">
        <v>0</v>
      </c>
      <c r="AG74" s="1448">
        <f t="shared" si="75"/>
        <v>0</v>
      </c>
      <c r="AH74" s="1448">
        <f t="shared" si="76"/>
        <v>0</v>
      </c>
      <c r="AI74" s="1032">
        <f t="shared" si="55"/>
        <v>0</v>
      </c>
      <c r="AJ74" s="1032">
        <f t="shared" si="56"/>
        <v>0</v>
      </c>
      <c r="AL74" s="49">
        <f t="shared" si="77"/>
        <v>0</v>
      </c>
      <c r="AM74" s="49">
        <f>-'[22]Table 5C1D-NOMMA'!AL74</f>
        <v>0</v>
      </c>
      <c r="AN74">
        <f>-'[21]Table 5C1D-NOMMA'!P74</f>
        <v>0</v>
      </c>
      <c r="AO74" s="49">
        <f t="shared" si="78"/>
        <v>0</v>
      </c>
    </row>
    <row r="75" spans="1:41">
      <c r="A75" s="989">
        <v>69</v>
      </c>
      <c r="B75" s="990" t="s">
        <v>229</v>
      </c>
      <c r="C75" s="1174">
        <f>'Table 8 2.1.12 MFP Funded'!Z72</f>
        <v>0</v>
      </c>
      <c r="D75" s="992">
        <f>'Table 3 Levels 1&amp;2'!AL76</f>
        <v>5520.7940729790862</v>
      </c>
      <c r="E75" s="1077">
        <f t="shared" si="58"/>
        <v>0</v>
      </c>
      <c r="F75" s="1077">
        <f>'Table 4 Level 3'!P74</f>
        <v>705.67</v>
      </c>
      <c r="G75" s="1077">
        <f t="shared" si="59"/>
        <v>0</v>
      </c>
      <c r="H75" s="1040">
        <f t="shared" si="60"/>
        <v>0</v>
      </c>
      <c r="I75" s="1420">
        <f>'[1]Oct midyear NOMMA'!K75</f>
        <v>0</v>
      </c>
      <c r="J75" s="1420">
        <f>'[1]Feb midyear NOMMA'!K75</f>
        <v>0</v>
      </c>
      <c r="K75" s="1420">
        <f t="shared" si="61"/>
        <v>0</v>
      </c>
      <c r="L75" s="1438">
        <f t="shared" si="62"/>
        <v>0</v>
      </c>
      <c r="M75" s="1087">
        <f t="shared" si="63"/>
        <v>0</v>
      </c>
      <c r="N75" s="1040">
        <f t="shared" si="64"/>
        <v>0</v>
      </c>
      <c r="O75" s="1040">
        <v>0</v>
      </c>
      <c r="P75" s="1040">
        <f t="shared" si="65"/>
        <v>0</v>
      </c>
      <c r="Q75" s="1040">
        <v>0</v>
      </c>
      <c r="R75" s="1438">
        <f t="shared" si="66"/>
        <v>0</v>
      </c>
      <c r="S75" s="1438">
        <f t="shared" si="67"/>
        <v>0</v>
      </c>
      <c r="T75" s="1029">
        <f>'[14]FY2012-13 Final'!K76</f>
        <v>3329</v>
      </c>
      <c r="U75" s="1041">
        <f t="shared" si="57"/>
        <v>0</v>
      </c>
      <c r="V75" s="1467">
        <f>'[20]Oct midyear NOMMA'!E75</f>
        <v>0</v>
      </c>
      <c r="W75" s="1446">
        <f t="shared" si="68"/>
        <v>0</v>
      </c>
      <c r="X75" s="1476">
        <f>'[20]Feb midyear NOMMA'!E75</f>
        <v>0</v>
      </c>
      <c r="Y75" s="1472">
        <f t="shared" si="69"/>
        <v>0</v>
      </c>
      <c r="Z75" s="1472">
        <f t="shared" si="70"/>
        <v>0</v>
      </c>
      <c r="AA75" s="1041">
        <f t="shared" si="71"/>
        <v>0</v>
      </c>
      <c r="AB75" s="1092">
        <f t="shared" si="72"/>
        <v>0</v>
      </c>
      <c r="AC75" s="1041">
        <f t="shared" si="73"/>
        <v>0</v>
      </c>
      <c r="AD75" s="1041">
        <v>0</v>
      </c>
      <c r="AE75" s="1041">
        <f t="shared" si="74"/>
        <v>0</v>
      </c>
      <c r="AF75" s="1041">
        <v>0</v>
      </c>
      <c r="AG75" s="1041">
        <f t="shared" si="75"/>
        <v>0</v>
      </c>
      <c r="AH75" s="1041">
        <f t="shared" si="76"/>
        <v>0</v>
      </c>
      <c r="AI75" s="1042">
        <f t="shared" si="55"/>
        <v>0</v>
      </c>
      <c r="AJ75" s="1042">
        <f t="shared" si="56"/>
        <v>0</v>
      </c>
      <c r="AL75" s="49">
        <f t="shared" si="77"/>
        <v>0</v>
      </c>
      <c r="AM75" s="49">
        <f>-'[22]Table 5C1D-NOMMA'!AL75</f>
        <v>0</v>
      </c>
      <c r="AN75">
        <f>-'[21]Table 5C1D-NOMMA'!P75</f>
        <v>0</v>
      </c>
      <c r="AO75" s="49">
        <f t="shared" si="78"/>
        <v>0</v>
      </c>
    </row>
    <row r="76" spans="1:41" ht="13.5" thickBot="1">
      <c r="A76" s="993"/>
      <c r="B76" s="994" t="s">
        <v>167</v>
      </c>
      <c r="C76" s="995">
        <f>SUM(C7:C75)</f>
        <v>103</v>
      </c>
      <c r="D76" s="996">
        <f>'Table 3 Levels 1&amp;2'!AL77</f>
        <v>4336.5032257801222</v>
      </c>
      <c r="E76" s="1078">
        <f>SUM(E7:E75)</f>
        <v>335633.15861994098</v>
      </c>
      <c r="F76" s="1078">
        <f>'Table 4 Level 3'!P75</f>
        <v>703.90028204588873</v>
      </c>
      <c r="G76" s="1078">
        <f t="shared" ref="G76:R76" si="79">SUM(G7:G75)</f>
        <v>81176.195205479467</v>
      </c>
      <c r="H76" s="997">
        <f t="shared" si="79"/>
        <v>416809.35382542049</v>
      </c>
      <c r="I76" s="1421">
        <f t="shared" si="79"/>
        <v>471209.48434263509</v>
      </c>
      <c r="J76" s="1421">
        <f t="shared" ref="J76" si="80">SUM(J7:J75)</f>
        <v>9326.7575609691066</v>
      </c>
      <c r="K76" s="1421">
        <f t="shared" si="61"/>
        <v>480536.24190360418</v>
      </c>
      <c r="L76" s="1212">
        <f t="shared" si="62"/>
        <v>897345.59572902462</v>
      </c>
      <c r="M76" s="1088">
        <f t="shared" si="63"/>
        <v>-2243.3639893225618</v>
      </c>
      <c r="N76" s="997">
        <f t="shared" si="64"/>
        <v>895102.23173970205</v>
      </c>
      <c r="O76" s="1212">
        <f t="shared" si="79"/>
        <v>-7974.3558019593474</v>
      </c>
      <c r="P76" s="997">
        <f t="shared" si="79"/>
        <v>887127.87593774288</v>
      </c>
      <c r="Q76" s="997">
        <f t="shared" si="79"/>
        <v>725346</v>
      </c>
      <c r="R76" s="997">
        <f t="shared" si="79"/>
        <v>161781.87593774288</v>
      </c>
      <c r="S76" s="997">
        <f>SUM(S7:S75)</f>
        <v>80890.93796887144</v>
      </c>
      <c r="T76" s="1043"/>
      <c r="U76" s="998">
        <f t="shared" ref="U76:AJ76" si="81">SUM(U7:U75)</f>
        <v>554857</v>
      </c>
      <c r="V76" s="1357">
        <f>SUM(V7:V75)</f>
        <v>116</v>
      </c>
      <c r="W76" s="1352">
        <f t="shared" ref="W76:AA76" si="82">SUM(W7:W75)</f>
        <v>595340</v>
      </c>
      <c r="X76" s="1484">
        <f>SUM(X7:X75)</f>
        <v>5</v>
      </c>
      <c r="Y76" s="1484">
        <f t="shared" ref="Y76:Z76" si="83">SUM(Y7:Y75)</f>
        <v>12840.5</v>
      </c>
      <c r="Z76" s="1484">
        <f t="shared" si="83"/>
        <v>608180.5</v>
      </c>
      <c r="AA76" s="1352">
        <f t="shared" si="82"/>
        <v>1163037.5</v>
      </c>
      <c r="AB76" s="1093">
        <f t="shared" si="81"/>
        <v>-2907.59375</v>
      </c>
      <c r="AC76" s="998">
        <f t="shared" si="81"/>
        <v>1160129.9062500002</v>
      </c>
      <c r="AD76" s="1215">
        <f t="shared" si="81"/>
        <v>-9296</v>
      </c>
      <c r="AE76" s="998">
        <f t="shared" si="81"/>
        <v>1150833.9062500002</v>
      </c>
      <c r="AF76" s="998">
        <f t="shared" si="81"/>
        <v>902762</v>
      </c>
      <c r="AG76" s="998">
        <f t="shared" si="81"/>
        <v>248071.90624999994</v>
      </c>
      <c r="AH76" s="998">
        <f t="shared" si="81"/>
        <v>124035.95312499997</v>
      </c>
      <c r="AI76" s="999">
        <f t="shared" si="81"/>
        <v>2037961.7821877429</v>
      </c>
      <c r="AJ76" s="999">
        <f t="shared" si="81"/>
        <v>204926.89109387141</v>
      </c>
      <c r="AL76" s="49">
        <f>SUM(AL7:AL75)</f>
        <v>-2907.59375</v>
      </c>
      <c r="AM76" s="49">
        <f>SUM(AM7:AM75)</f>
        <v>2781.89</v>
      </c>
      <c r="AN76" s="49">
        <f t="shared" ref="AN76:AO76" si="84">SUM(AN7:AN75)</f>
        <v>1356.8575000000001</v>
      </c>
      <c r="AO76" s="49">
        <f t="shared" si="84"/>
        <v>-125.70375000000014</v>
      </c>
    </row>
    <row r="77" spans="1:41" ht="13.5" hidden="1" thickTop="1">
      <c r="D77">
        <f>'Table 3 Levels 1&amp;2'!AL77</f>
        <v>4336.5032257801222</v>
      </c>
      <c r="I77" s="8"/>
      <c r="J77" s="8"/>
      <c r="K77" s="8"/>
      <c r="L77" s="1424"/>
      <c r="AL77" s="1542"/>
      <c r="AM77" s="1542"/>
      <c r="AN77" s="1542"/>
      <c r="AO77" s="1542"/>
    </row>
    <row r="78" spans="1:41" hidden="1">
      <c r="M78" s="804" t="s">
        <v>1416</v>
      </c>
      <c r="N78" s="49">
        <f>M76</f>
        <v>-2243.3639893225618</v>
      </c>
    </row>
    <row r="79" spans="1:41" hidden="1">
      <c r="M79" s="804" t="s">
        <v>1274</v>
      </c>
      <c r="N79" s="49">
        <f>-'[22]Table 5C1D-NOMMA'!$N$78</f>
        <v>2258.300251577949</v>
      </c>
    </row>
    <row r="80" spans="1:41" hidden="1">
      <c r="M80" s="804" t="s">
        <v>1275</v>
      </c>
      <c r="N80" s="49">
        <f>-'[21]Table 5C1D-NOMMA'!$I$76</f>
        <v>1048.8756660026102</v>
      </c>
    </row>
    <row r="81" spans="13:14" hidden="1">
      <c r="M81" s="804" t="s">
        <v>1276</v>
      </c>
      <c r="N81" s="49">
        <f>SUM(N78:N79)</f>
        <v>14.936262255387192</v>
      </c>
    </row>
    <row r="82" spans="13:14" hidden="1"/>
    <row r="83" spans="13:14" ht="13.5" thickTop="1"/>
  </sheetData>
  <mergeCells count="34">
    <mergeCell ref="A2:B4"/>
    <mergeCell ref="C2:S2"/>
    <mergeCell ref="T2:AH2"/>
    <mergeCell ref="L3:L4"/>
    <mergeCell ref="V3:V4"/>
    <mergeCell ref="W3:W4"/>
    <mergeCell ref="AA3:AA4"/>
    <mergeCell ref="Q3:Q4"/>
    <mergeCell ref="R3:R4"/>
    <mergeCell ref="Y3:Y4"/>
    <mergeCell ref="Z3:Z4"/>
    <mergeCell ref="X3:X4"/>
    <mergeCell ref="AF3:AF4"/>
    <mergeCell ref="AG3:AG4"/>
    <mergeCell ref="P3:P4"/>
    <mergeCell ref="T3:T4"/>
    <mergeCell ref="AI2:AI4"/>
    <mergeCell ref="AJ2:AJ4"/>
    <mergeCell ref="AC3:AC4"/>
    <mergeCell ref="AD3:AD4"/>
    <mergeCell ref="AE3:AE4"/>
    <mergeCell ref="AH3:AH4"/>
    <mergeCell ref="C3:C4"/>
    <mergeCell ref="D3:D4"/>
    <mergeCell ref="E3:E4"/>
    <mergeCell ref="F3:F4"/>
    <mergeCell ref="G3:G4"/>
    <mergeCell ref="H3:H4"/>
    <mergeCell ref="N3:N4"/>
    <mergeCell ref="O3:O4"/>
    <mergeCell ref="I3:I4"/>
    <mergeCell ref="S3:S4"/>
    <mergeCell ref="K3:K4"/>
    <mergeCell ref="J3:J4"/>
  </mergeCells>
  <pageMargins left="0.36" right="0.35" top="0.75" bottom="0.75" header="0.3" footer="0.3"/>
  <pageSetup paperSize="5" scale="60" firstPageNumber="56" orientation="portrait" useFirstPageNumber="1" r:id="rId1"/>
  <headerFooter>
    <oddHeader>&amp;L&amp;"Arial,Bold"&amp;20Table 5C1-D: FY2012-13 MFP Budget Letter
New Orleans Military/Maritime Academy (May 2013)</oddHeader>
    <oddFooter>&amp;R&amp;P</oddFooter>
  </headerFooter>
  <colBreaks count="2" manualBreakCount="2">
    <brk id="12" min="1" max="75" man="1"/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3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0.140625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6.28515625" customWidth="1"/>
    <col min="15" max="15" width="13.42578125" bestFit="1" customWidth="1"/>
    <col min="16" max="18" width="14" customWidth="1"/>
    <col min="19" max="19" width="9" bestFit="1" customWidth="1"/>
    <col min="20" max="20" width="10.85546875" customWidth="1"/>
    <col min="21" max="21" width="12.7109375" customWidth="1"/>
    <col min="22" max="22" width="15.42578125" bestFit="1" customWidth="1"/>
    <col min="23" max="23" width="10.140625" bestFit="1" customWidth="1"/>
    <col min="24" max="28" width="13.42578125" customWidth="1"/>
    <col min="29" max="29" width="12" bestFit="1" customWidth="1"/>
    <col min="30" max="30" width="10.85546875" bestFit="1" customWidth="1"/>
    <col min="31" max="31" width="12" bestFit="1" customWidth="1"/>
    <col min="32" max="32" width="13.42578125" bestFit="1" customWidth="1"/>
    <col min="33" max="35" width="13.140625" customWidth="1"/>
    <col min="36" max="36" width="12" customWidth="1"/>
    <col min="37" max="37" width="11" customWidth="1"/>
    <col min="38" max="38" width="12.140625" customWidth="1"/>
    <col min="39" max="39" width="3.42578125" customWidth="1"/>
    <col min="40" max="43" width="0" hidden="1" customWidth="1"/>
    <col min="46" max="46" width="10.5703125" bestFit="1" customWidth="1"/>
  </cols>
  <sheetData>
    <row r="1" spans="1:43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35"/>
      <c r="U1" s="35"/>
    </row>
    <row r="2" spans="1:43" ht="45" customHeight="1">
      <c r="A2" s="2021" t="s">
        <v>1008</v>
      </c>
      <c r="B2" s="2022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700"/>
      <c r="U2" s="1700"/>
      <c r="V2" s="1926" t="s">
        <v>701</v>
      </c>
      <c r="W2" s="1927"/>
      <c r="X2" s="1927"/>
      <c r="Y2" s="1927"/>
      <c r="Z2" s="2032"/>
      <c r="AA2" s="2032"/>
      <c r="AB2" s="2032"/>
      <c r="AC2" s="1927"/>
      <c r="AD2" s="1927"/>
      <c r="AE2" s="1927"/>
      <c r="AF2" s="1927"/>
      <c r="AG2" s="1927"/>
      <c r="AH2" s="1927"/>
      <c r="AI2" s="1927"/>
      <c r="AJ2" s="1928"/>
      <c r="AK2" s="1914" t="s">
        <v>1124</v>
      </c>
      <c r="AL2" s="1914" t="s">
        <v>1106</v>
      </c>
    </row>
    <row r="3" spans="1:43" ht="114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2052" t="s">
        <v>1418</v>
      </c>
      <c r="U3" s="1911" t="s">
        <v>1419</v>
      </c>
      <c r="V3" s="1917" t="s">
        <v>1265</v>
      </c>
      <c r="W3" s="1338" t="s">
        <v>1121</v>
      </c>
      <c r="X3" s="2030" t="s">
        <v>1218</v>
      </c>
      <c r="Y3" s="2030" t="s">
        <v>1196</v>
      </c>
      <c r="Z3" s="2030" t="s">
        <v>1219</v>
      </c>
      <c r="AA3" s="2030" t="s">
        <v>1220</v>
      </c>
      <c r="AB3" s="2030" t="s">
        <v>1194</v>
      </c>
      <c r="AC3" s="1917" t="s">
        <v>1269</v>
      </c>
      <c r="AD3" s="1409" t="s">
        <v>724</v>
      </c>
      <c r="AE3" s="1917" t="s">
        <v>725</v>
      </c>
      <c r="AF3" s="1917" t="s">
        <v>990</v>
      </c>
      <c r="AG3" s="1917" t="s">
        <v>1122</v>
      </c>
      <c r="AH3" s="2033" t="s">
        <v>1330</v>
      </c>
      <c r="AI3" s="2033" t="s">
        <v>1403</v>
      </c>
      <c r="AJ3" s="2033" t="s">
        <v>1217</v>
      </c>
      <c r="AK3" s="1915"/>
      <c r="AL3" s="1915"/>
    </row>
    <row r="4" spans="1:43" ht="48.75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2053"/>
      <c r="U4" s="1912"/>
      <c r="V4" s="1918"/>
      <c r="W4" s="1200"/>
      <c r="X4" s="2031"/>
      <c r="Y4" s="2031"/>
      <c r="Z4" s="2031"/>
      <c r="AA4" s="2031"/>
      <c r="AB4" s="2031"/>
      <c r="AC4" s="1918"/>
      <c r="AD4" s="1080">
        <v>2.5000000000000001E-3</v>
      </c>
      <c r="AE4" s="1918"/>
      <c r="AF4" s="1918"/>
      <c r="AG4" s="1918"/>
      <c r="AH4" s="1918"/>
      <c r="AI4" s="1918"/>
      <c r="AJ4" s="1918"/>
      <c r="AK4" s="1916"/>
      <c r="AL4" s="1916"/>
      <c r="AN4" s="1578" t="s">
        <v>1414</v>
      </c>
      <c r="AO4" s="1578" t="s">
        <v>1259</v>
      </c>
      <c r="AP4" s="1578" t="s">
        <v>1259</v>
      </c>
      <c r="AQ4" s="1580" t="s">
        <v>1261</v>
      </c>
    </row>
    <row r="5" spans="1:43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  <c r="AK5" s="966">
        <f t="shared" ref="AK5" si="30">AJ5+1</f>
        <v>35</v>
      </c>
      <c r="AL5" s="966">
        <f t="shared" ref="AL5" si="31">AK5+1</f>
        <v>36</v>
      </c>
    </row>
    <row r="6" spans="1:43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704"/>
      <c r="U6" s="1704"/>
      <c r="V6" s="1022"/>
      <c r="W6" s="1022"/>
      <c r="X6" s="1022"/>
      <c r="Y6" s="1022"/>
      <c r="Z6" s="1401"/>
      <c r="AA6" s="1401"/>
      <c r="AB6" s="1401"/>
      <c r="AC6" s="1022"/>
      <c r="AD6" s="1022"/>
      <c r="AE6" s="1022"/>
      <c r="AF6" s="1022"/>
      <c r="AG6" s="1022"/>
      <c r="AH6" s="1022"/>
      <c r="AI6" s="1022"/>
      <c r="AJ6" s="1022"/>
      <c r="AK6" s="1022"/>
      <c r="AL6" s="1022"/>
    </row>
    <row r="7" spans="1:43">
      <c r="A7" s="968">
        <v>1</v>
      </c>
      <c r="B7" s="969" t="s">
        <v>102</v>
      </c>
      <c r="C7" s="970">
        <f>'Table 8 2.1.12 MFP Funded'!Y4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LFNO'!K7</f>
        <v>0</v>
      </c>
      <c r="J7" s="1414">
        <f>'[1]Feb midyear LFNO 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972"/>
      <c r="U7" s="972">
        <f>P7+T7</f>
        <v>0</v>
      </c>
      <c r="V7" s="1029">
        <f>'[14]FY2012-13 Final'!K8</f>
        <v>2115</v>
      </c>
      <c r="W7" s="973">
        <f t="shared" ref="W7:W38" si="32">C7*V7</f>
        <v>0</v>
      </c>
      <c r="X7" s="1354">
        <f>'[20]Oct midyear LFNO'!E7</f>
        <v>0</v>
      </c>
      <c r="Y7" s="1444">
        <f>X7*V7</f>
        <v>0</v>
      </c>
      <c r="Z7" s="1466">
        <f>'[20]Feb midyear LFNO '!E7</f>
        <v>0</v>
      </c>
      <c r="AA7" s="1444">
        <f>Z7*(V7*0.5)</f>
        <v>0</v>
      </c>
      <c r="AB7" s="1444">
        <f>Y7+AA7</f>
        <v>0</v>
      </c>
      <c r="AC7" s="973">
        <f>W7+AB7</f>
        <v>0</v>
      </c>
      <c r="AD7" s="1089">
        <f>-(0.25%*AC7)</f>
        <v>0</v>
      </c>
      <c r="AE7" s="973">
        <f>SUM(AC7:AD7)</f>
        <v>0</v>
      </c>
      <c r="AF7" s="973">
        <v>0</v>
      </c>
      <c r="AG7" s="973">
        <f>SUM(AE7:AF7)</f>
        <v>0</v>
      </c>
      <c r="AH7" s="973">
        <v>0</v>
      </c>
      <c r="AI7" s="973">
        <f>AG7-AH7</f>
        <v>0</v>
      </c>
      <c r="AJ7" s="973">
        <f>AI7/2</f>
        <v>0</v>
      </c>
      <c r="AK7" s="974">
        <f>U7+AG7</f>
        <v>0</v>
      </c>
      <c r="AL7" s="974">
        <f t="shared" ref="AL7:AL38" si="33">S7+AJ7</f>
        <v>0</v>
      </c>
      <c r="AN7" s="1542">
        <f>AD7</f>
        <v>0</v>
      </c>
      <c r="AO7" s="1542">
        <f>-'[22]Table 5C1E-LFNO'!AL7</f>
        <v>0</v>
      </c>
      <c r="AP7" s="49">
        <f>-'[21]Table 5C1E-LFNO'!P7</f>
        <v>0</v>
      </c>
      <c r="AQ7" s="1542">
        <f>SUM(AN7:AO7)</f>
        <v>0</v>
      </c>
    </row>
    <row r="8" spans="1:43">
      <c r="A8" s="975">
        <v>2</v>
      </c>
      <c r="B8" s="976" t="s">
        <v>103</v>
      </c>
      <c r="C8" s="1168">
        <f>'Table 8 2.1.12 MFP Funded'!Y5</f>
        <v>0</v>
      </c>
      <c r="D8" s="978">
        <f>'Table 3 Levels 1&amp;2'!AL9</f>
        <v>6149.545926426621</v>
      </c>
      <c r="E8" s="1072">
        <f t="shared" ref="E8:E71" si="34">C8*D8</f>
        <v>0</v>
      </c>
      <c r="F8" s="1072">
        <f>'Table 4 Level 3'!P7</f>
        <v>842.32</v>
      </c>
      <c r="G8" s="1072">
        <f t="shared" ref="G8:G71" si="35">C8*F8</f>
        <v>0</v>
      </c>
      <c r="H8" s="1030">
        <f t="shared" ref="H8:H71" si="36">E8+G8</f>
        <v>0</v>
      </c>
      <c r="I8" s="1415">
        <f>'[1]Oct midyear LFNO'!K8</f>
        <v>0</v>
      </c>
      <c r="J8" s="1415">
        <f>'[1]Feb midyear LFNO '!K8</f>
        <v>0</v>
      </c>
      <c r="K8" s="1415">
        <f t="shared" ref="K8:K71" si="37">I8+J8</f>
        <v>0</v>
      </c>
      <c r="L8" s="1434">
        <f t="shared" ref="L8:L71" si="38">H8+K8</f>
        <v>0</v>
      </c>
      <c r="M8" s="1082">
        <f t="shared" ref="M8:M71" si="39">-(0.25%*L8)</f>
        <v>0</v>
      </c>
      <c r="N8" s="1030">
        <f t="shared" ref="N8:N71" si="40">SUM(L8:M8)</f>
        <v>0</v>
      </c>
      <c r="O8" s="1030">
        <v>0</v>
      </c>
      <c r="P8" s="1030">
        <f t="shared" ref="P8:P71" si="41">SUM(N8:O8)</f>
        <v>0</v>
      </c>
      <c r="Q8" s="1030">
        <v>0</v>
      </c>
      <c r="R8" s="1434">
        <f t="shared" ref="R8:R71" si="42">P8-Q8</f>
        <v>0</v>
      </c>
      <c r="S8" s="1434">
        <f t="shared" ref="S8:S71" si="43">R8/2</f>
        <v>0</v>
      </c>
      <c r="T8" s="1434"/>
      <c r="U8" s="1434">
        <f t="shared" ref="U8:U71" si="44">P8+T8</f>
        <v>0</v>
      </c>
      <c r="V8" s="1029">
        <f>'[14]FY2012-13 Final'!K9</f>
        <v>2584</v>
      </c>
      <c r="W8" s="1031">
        <f t="shared" si="32"/>
        <v>0</v>
      </c>
      <c r="X8" s="1464">
        <f>'[20]Oct midyear LFNO'!E8</f>
        <v>0</v>
      </c>
      <c r="Y8" s="1443">
        <f t="shared" ref="Y8:Y71" si="45">X8*V8</f>
        <v>0</v>
      </c>
      <c r="Z8" s="1474">
        <f>'[20]Feb midyear LFNO '!E8</f>
        <v>0</v>
      </c>
      <c r="AA8" s="1470">
        <f t="shared" ref="AA8:AA71" si="46">Z8*(V8*0.5)</f>
        <v>0</v>
      </c>
      <c r="AB8" s="1470">
        <f t="shared" ref="AB8:AB71" si="47">Y8+AA8</f>
        <v>0</v>
      </c>
      <c r="AC8" s="1031">
        <f t="shared" ref="AC8:AC71" si="48">W8+AB8</f>
        <v>0</v>
      </c>
      <c r="AD8" s="1090">
        <f t="shared" ref="AD8:AD71" si="49">-(0.25%*AC8)</f>
        <v>0</v>
      </c>
      <c r="AE8" s="1031">
        <f t="shared" ref="AE8:AE71" si="50">SUM(AC8:AD8)</f>
        <v>0</v>
      </c>
      <c r="AF8" s="1031">
        <v>0</v>
      </c>
      <c r="AG8" s="1031">
        <f t="shared" ref="AG8:AG71" si="51">SUM(AE8:AF8)</f>
        <v>0</v>
      </c>
      <c r="AH8" s="1031">
        <v>0</v>
      </c>
      <c r="AI8" s="1031">
        <f t="shared" ref="AI8:AI71" si="52">AG8-AH8</f>
        <v>0</v>
      </c>
      <c r="AJ8" s="1031">
        <f t="shared" ref="AJ8:AJ71" si="53">AI8/2</f>
        <v>0</v>
      </c>
      <c r="AK8" s="1032">
        <f t="shared" ref="AK8:AK71" si="54">U8+AG8</f>
        <v>0</v>
      </c>
      <c r="AL8" s="1032">
        <f t="shared" si="33"/>
        <v>0</v>
      </c>
      <c r="AN8" s="49">
        <f t="shared" ref="AN8:AN71" si="55">AD8</f>
        <v>0</v>
      </c>
      <c r="AO8" s="49">
        <f>-'[22]Table 5C1E-LFNO'!AL8</f>
        <v>0</v>
      </c>
      <c r="AP8">
        <f>-'[21]Table 5C1E-LFNO'!P8</f>
        <v>0</v>
      </c>
      <c r="AQ8" s="49">
        <f t="shared" ref="AQ8:AQ71" si="56">SUM(AN8:AO8)</f>
        <v>0</v>
      </c>
    </row>
    <row r="9" spans="1:43">
      <c r="A9" s="975">
        <v>3</v>
      </c>
      <c r="B9" s="976" t="s">
        <v>104</v>
      </c>
      <c r="C9" s="1168">
        <f>'Table 8 2.1.12 MFP Funded'!Y6</f>
        <v>0</v>
      </c>
      <c r="D9" s="978">
        <f>'Table 3 Levels 1&amp;2'!AL10</f>
        <v>4340.9401078757892</v>
      </c>
      <c r="E9" s="1072">
        <f t="shared" si="34"/>
        <v>0</v>
      </c>
      <c r="F9" s="1072">
        <f>'Table 4 Level 3'!P8</f>
        <v>596.84</v>
      </c>
      <c r="G9" s="1072">
        <f t="shared" si="35"/>
        <v>0</v>
      </c>
      <c r="H9" s="1030">
        <f t="shared" si="36"/>
        <v>0</v>
      </c>
      <c r="I9" s="1415">
        <f>'[1]Oct midyear LFNO'!K9</f>
        <v>0</v>
      </c>
      <c r="J9" s="1415">
        <f>'[1]Feb midyear LFNO '!K9</f>
        <v>0</v>
      </c>
      <c r="K9" s="1415">
        <f t="shared" si="37"/>
        <v>0</v>
      </c>
      <c r="L9" s="1434">
        <f t="shared" si="38"/>
        <v>0</v>
      </c>
      <c r="M9" s="1082">
        <f t="shared" si="39"/>
        <v>0</v>
      </c>
      <c r="N9" s="1030">
        <f t="shared" si="40"/>
        <v>0</v>
      </c>
      <c r="O9" s="1030">
        <v>0</v>
      </c>
      <c r="P9" s="1030">
        <f t="shared" si="41"/>
        <v>0</v>
      </c>
      <c r="Q9" s="1030">
        <v>0</v>
      </c>
      <c r="R9" s="1434">
        <f t="shared" si="42"/>
        <v>0</v>
      </c>
      <c r="S9" s="1434">
        <f t="shared" si="43"/>
        <v>0</v>
      </c>
      <c r="T9" s="1434"/>
      <c r="U9" s="1434">
        <f t="shared" si="44"/>
        <v>0</v>
      </c>
      <c r="V9" s="1029">
        <f>'[14]FY2012-13 Final'!K10</f>
        <v>4977</v>
      </c>
      <c r="W9" s="1031">
        <f t="shared" si="32"/>
        <v>0</v>
      </c>
      <c r="X9" s="1464">
        <f>'[20]Oct midyear LFNO'!E9</f>
        <v>0</v>
      </c>
      <c r="Y9" s="1443">
        <f t="shared" si="45"/>
        <v>0</v>
      </c>
      <c r="Z9" s="1474">
        <f>'[20]Feb midyear LFNO '!E9</f>
        <v>0</v>
      </c>
      <c r="AA9" s="1470">
        <f t="shared" si="46"/>
        <v>0</v>
      </c>
      <c r="AB9" s="1470">
        <f t="shared" si="47"/>
        <v>0</v>
      </c>
      <c r="AC9" s="1031">
        <f t="shared" si="48"/>
        <v>0</v>
      </c>
      <c r="AD9" s="1090">
        <f t="shared" si="49"/>
        <v>0</v>
      </c>
      <c r="AE9" s="1031">
        <f t="shared" si="50"/>
        <v>0</v>
      </c>
      <c r="AF9" s="1031">
        <v>0</v>
      </c>
      <c r="AG9" s="1031">
        <f t="shared" si="51"/>
        <v>0</v>
      </c>
      <c r="AH9" s="1031">
        <v>0</v>
      </c>
      <c r="AI9" s="1031">
        <f t="shared" si="52"/>
        <v>0</v>
      </c>
      <c r="AJ9" s="1031">
        <f t="shared" si="53"/>
        <v>0</v>
      </c>
      <c r="AK9" s="1032">
        <f t="shared" si="54"/>
        <v>0</v>
      </c>
      <c r="AL9" s="1032">
        <f t="shared" si="33"/>
        <v>0</v>
      </c>
      <c r="AN9" s="49">
        <f t="shared" si="55"/>
        <v>0</v>
      </c>
      <c r="AO9" s="49">
        <f>-'[22]Table 5C1E-LFNO'!AL9</f>
        <v>0</v>
      </c>
      <c r="AP9">
        <f>-'[21]Table 5C1E-LFNO'!P9</f>
        <v>0</v>
      </c>
      <c r="AQ9" s="49">
        <f t="shared" si="56"/>
        <v>0</v>
      </c>
    </row>
    <row r="10" spans="1:43">
      <c r="A10" s="975">
        <v>4</v>
      </c>
      <c r="B10" s="976" t="s">
        <v>105</v>
      </c>
      <c r="C10" s="1168">
        <f>'Table 8 2.1.12 MFP Funded'!Y7</f>
        <v>0</v>
      </c>
      <c r="D10" s="978">
        <f>'Table 3 Levels 1&amp;2'!AL11</f>
        <v>6077.3708498182023</v>
      </c>
      <c r="E10" s="1072">
        <f t="shared" si="34"/>
        <v>0</v>
      </c>
      <c r="F10" s="1072">
        <f>'Table 4 Level 3'!P9</f>
        <v>585.76</v>
      </c>
      <c r="G10" s="1072">
        <f t="shared" si="35"/>
        <v>0</v>
      </c>
      <c r="H10" s="1030">
        <f t="shared" si="36"/>
        <v>0</v>
      </c>
      <c r="I10" s="1415">
        <f>'[1]Oct midyear LFNO'!K10</f>
        <v>0</v>
      </c>
      <c r="J10" s="1415">
        <f>'[1]Feb midyear LFNO '!K10</f>
        <v>0</v>
      </c>
      <c r="K10" s="1415">
        <f t="shared" si="37"/>
        <v>0</v>
      </c>
      <c r="L10" s="1434">
        <f t="shared" si="38"/>
        <v>0</v>
      </c>
      <c r="M10" s="1082">
        <f t="shared" si="39"/>
        <v>0</v>
      </c>
      <c r="N10" s="1030">
        <f t="shared" si="40"/>
        <v>0</v>
      </c>
      <c r="O10" s="1030">
        <v>0</v>
      </c>
      <c r="P10" s="1030">
        <f t="shared" si="41"/>
        <v>0</v>
      </c>
      <c r="Q10" s="1030">
        <v>0</v>
      </c>
      <c r="R10" s="1434">
        <f t="shared" si="42"/>
        <v>0</v>
      </c>
      <c r="S10" s="1434">
        <f t="shared" si="43"/>
        <v>0</v>
      </c>
      <c r="T10" s="1434"/>
      <c r="U10" s="1434">
        <f t="shared" si="44"/>
        <v>0</v>
      </c>
      <c r="V10" s="1029">
        <f>'[14]FY2012-13 Final'!K11</f>
        <v>3455</v>
      </c>
      <c r="W10" s="1031">
        <f t="shared" si="32"/>
        <v>0</v>
      </c>
      <c r="X10" s="1464">
        <f>'[20]Oct midyear LFNO'!E10</f>
        <v>0</v>
      </c>
      <c r="Y10" s="1443">
        <f t="shared" si="45"/>
        <v>0</v>
      </c>
      <c r="Z10" s="1474">
        <f>'[20]Feb midyear LFNO '!E10</f>
        <v>0</v>
      </c>
      <c r="AA10" s="1470">
        <f t="shared" si="46"/>
        <v>0</v>
      </c>
      <c r="AB10" s="1470">
        <f t="shared" si="47"/>
        <v>0</v>
      </c>
      <c r="AC10" s="1031">
        <f t="shared" si="48"/>
        <v>0</v>
      </c>
      <c r="AD10" s="1090">
        <f t="shared" si="49"/>
        <v>0</v>
      </c>
      <c r="AE10" s="1031">
        <f t="shared" si="50"/>
        <v>0</v>
      </c>
      <c r="AF10" s="1031">
        <v>0</v>
      </c>
      <c r="AG10" s="1031">
        <f t="shared" si="51"/>
        <v>0</v>
      </c>
      <c r="AH10" s="1031">
        <v>0</v>
      </c>
      <c r="AI10" s="1031">
        <f t="shared" si="52"/>
        <v>0</v>
      </c>
      <c r="AJ10" s="1031">
        <f t="shared" si="53"/>
        <v>0</v>
      </c>
      <c r="AK10" s="1032">
        <f t="shared" si="54"/>
        <v>0</v>
      </c>
      <c r="AL10" s="1032">
        <f t="shared" si="33"/>
        <v>0</v>
      </c>
      <c r="AN10" s="49">
        <f t="shared" si="55"/>
        <v>0</v>
      </c>
      <c r="AO10" s="49">
        <f>-'[22]Table 5C1E-LFNO'!AL10</f>
        <v>0</v>
      </c>
      <c r="AP10">
        <f>-'[21]Table 5C1E-LFNO'!P10</f>
        <v>0</v>
      </c>
      <c r="AQ10" s="49">
        <f t="shared" si="56"/>
        <v>0</v>
      </c>
    </row>
    <row r="11" spans="1:43">
      <c r="A11" s="979">
        <v>5</v>
      </c>
      <c r="B11" s="980" t="s">
        <v>106</v>
      </c>
      <c r="C11" s="1169">
        <f>'Table 8 2.1.12 MFP Funded'!Y8</f>
        <v>0</v>
      </c>
      <c r="D11" s="982">
        <f>'Table 3 Levels 1&amp;2'!AL12</f>
        <v>4878.1095033692254</v>
      </c>
      <c r="E11" s="1073">
        <f t="shared" si="34"/>
        <v>0</v>
      </c>
      <c r="F11" s="1073">
        <f>'Table 4 Level 3'!P10</f>
        <v>555.91</v>
      </c>
      <c r="G11" s="1073">
        <f t="shared" si="35"/>
        <v>0</v>
      </c>
      <c r="H11" s="1033">
        <f t="shared" si="36"/>
        <v>0</v>
      </c>
      <c r="I11" s="1416">
        <f>'[1]Oct midyear LFNO'!K11</f>
        <v>0</v>
      </c>
      <c r="J11" s="1416">
        <f>'[1]Feb midyear LFNO '!K11</f>
        <v>0</v>
      </c>
      <c r="K11" s="1416">
        <f t="shared" si="37"/>
        <v>0</v>
      </c>
      <c r="L11" s="1435">
        <f t="shared" si="38"/>
        <v>0</v>
      </c>
      <c r="M11" s="1083">
        <f t="shared" si="39"/>
        <v>0</v>
      </c>
      <c r="N11" s="1033">
        <f t="shared" si="40"/>
        <v>0</v>
      </c>
      <c r="O11" s="1033">
        <v>0</v>
      </c>
      <c r="P11" s="1033">
        <f t="shared" si="41"/>
        <v>0</v>
      </c>
      <c r="Q11" s="1033">
        <v>0</v>
      </c>
      <c r="R11" s="1435">
        <f t="shared" si="42"/>
        <v>0</v>
      </c>
      <c r="S11" s="1435">
        <f t="shared" si="43"/>
        <v>0</v>
      </c>
      <c r="T11" s="1435"/>
      <c r="U11" s="1435">
        <f t="shared" si="44"/>
        <v>0</v>
      </c>
      <c r="V11" s="1034">
        <f>'[14]FY2012-13 Final'!K12</f>
        <v>1515</v>
      </c>
      <c r="W11" s="1035">
        <f t="shared" si="32"/>
        <v>0</v>
      </c>
      <c r="X11" s="1465">
        <f>'[20]Oct midyear LFNO'!E11</f>
        <v>0</v>
      </c>
      <c r="Y11" s="1445">
        <f t="shared" si="45"/>
        <v>0</v>
      </c>
      <c r="Z11" s="1475">
        <f>'[20]Feb midyear LFNO '!E11</f>
        <v>0</v>
      </c>
      <c r="AA11" s="1471">
        <f t="shared" si="46"/>
        <v>0</v>
      </c>
      <c r="AB11" s="1471">
        <f t="shared" si="47"/>
        <v>0</v>
      </c>
      <c r="AC11" s="1035">
        <f t="shared" si="48"/>
        <v>0</v>
      </c>
      <c r="AD11" s="1091">
        <f t="shared" si="49"/>
        <v>0</v>
      </c>
      <c r="AE11" s="1035">
        <f t="shared" si="50"/>
        <v>0</v>
      </c>
      <c r="AF11" s="1035">
        <v>0</v>
      </c>
      <c r="AG11" s="1035">
        <f t="shared" si="51"/>
        <v>0</v>
      </c>
      <c r="AH11" s="1035">
        <v>0</v>
      </c>
      <c r="AI11" s="1035">
        <f t="shared" si="52"/>
        <v>0</v>
      </c>
      <c r="AJ11" s="1035">
        <f t="shared" si="53"/>
        <v>0</v>
      </c>
      <c r="AK11" s="1036">
        <f t="shared" si="54"/>
        <v>0</v>
      </c>
      <c r="AL11" s="1036">
        <f t="shared" si="33"/>
        <v>0</v>
      </c>
      <c r="AN11" s="49">
        <f t="shared" si="55"/>
        <v>0</v>
      </c>
      <c r="AO11" s="49">
        <f>-'[22]Table 5C1E-LFNO'!AL11</f>
        <v>0</v>
      </c>
      <c r="AP11">
        <f>-'[21]Table 5C1E-LFNO'!P11</f>
        <v>0</v>
      </c>
      <c r="AQ11" s="49">
        <f t="shared" si="56"/>
        <v>0</v>
      </c>
    </row>
    <row r="12" spans="1:43">
      <c r="A12" s="968">
        <v>6</v>
      </c>
      <c r="B12" s="969" t="s">
        <v>107</v>
      </c>
      <c r="C12" s="1170">
        <f>'Table 8 2.1.12 MFP Funded'!Y9</f>
        <v>0</v>
      </c>
      <c r="D12" s="971">
        <f>'Table 3 Levels 1&amp;2'!AL13</f>
        <v>5550.1901239384006</v>
      </c>
      <c r="E12" s="1071">
        <f t="shared" si="34"/>
        <v>0</v>
      </c>
      <c r="F12" s="1071">
        <f>'Table 4 Level 3'!P11</f>
        <v>545.4799999999999</v>
      </c>
      <c r="G12" s="1071">
        <f t="shared" si="35"/>
        <v>0</v>
      </c>
      <c r="H12" s="972">
        <f t="shared" si="36"/>
        <v>0</v>
      </c>
      <c r="I12" s="1414">
        <f>'[1]Oct midyear LFNO'!K12</f>
        <v>0</v>
      </c>
      <c r="J12" s="1414">
        <f>'[1]Feb midyear LFNO '!K12</f>
        <v>0</v>
      </c>
      <c r="K12" s="1414">
        <f t="shared" si="37"/>
        <v>0</v>
      </c>
      <c r="L12" s="1213">
        <f t="shared" si="38"/>
        <v>0</v>
      </c>
      <c r="M12" s="1081">
        <f t="shared" si="39"/>
        <v>0</v>
      </c>
      <c r="N12" s="972">
        <f t="shared" si="40"/>
        <v>0</v>
      </c>
      <c r="O12" s="972">
        <v>0</v>
      </c>
      <c r="P12" s="972">
        <f t="shared" si="41"/>
        <v>0</v>
      </c>
      <c r="Q12" s="972">
        <v>0</v>
      </c>
      <c r="R12" s="1213">
        <f t="shared" si="42"/>
        <v>0</v>
      </c>
      <c r="S12" s="1213">
        <f t="shared" si="43"/>
        <v>0</v>
      </c>
      <c r="T12" s="1213"/>
      <c r="U12" s="1213">
        <f t="shared" si="44"/>
        <v>0</v>
      </c>
      <c r="V12" s="1029">
        <f>'[14]FY2012-13 Final'!K13</f>
        <v>3579</v>
      </c>
      <c r="W12" s="973">
        <f t="shared" si="32"/>
        <v>0</v>
      </c>
      <c r="X12" s="1466">
        <f>'[20]Oct midyear LFNO'!E12</f>
        <v>0</v>
      </c>
      <c r="Y12" s="1444">
        <f t="shared" si="45"/>
        <v>0</v>
      </c>
      <c r="Z12" s="1466">
        <f>'[20]Feb midyear LFNO '!E12</f>
        <v>0</v>
      </c>
      <c r="AA12" s="1444">
        <f t="shared" si="46"/>
        <v>0</v>
      </c>
      <c r="AB12" s="1444">
        <f t="shared" si="47"/>
        <v>0</v>
      </c>
      <c r="AC12" s="973">
        <f t="shared" si="48"/>
        <v>0</v>
      </c>
      <c r="AD12" s="1089">
        <f t="shared" si="49"/>
        <v>0</v>
      </c>
      <c r="AE12" s="973">
        <f t="shared" si="50"/>
        <v>0</v>
      </c>
      <c r="AF12" s="973">
        <v>0</v>
      </c>
      <c r="AG12" s="973">
        <f t="shared" si="51"/>
        <v>0</v>
      </c>
      <c r="AH12" s="973">
        <v>0</v>
      </c>
      <c r="AI12" s="973">
        <f t="shared" si="52"/>
        <v>0</v>
      </c>
      <c r="AJ12" s="973">
        <f t="shared" si="53"/>
        <v>0</v>
      </c>
      <c r="AK12" s="974">
        <f t="shared" si="54"/>
        <v>0</v>
      </c>
      <c r="AL12" s="974">
        <f t="shared" si="33"/>
        <v>0</v>
      </c>
      <c r="AN12" s="49">
        <f t="shared" si="55"/>
        <v>0</v>
      </c>
      <c r="AO12" s="49">
        <f>-'[22]Table 5C1E-LFNO'!AL12</f>
        <v>0</v>
      </c>
      <c r="AP12">
        <f>-'[21]Table 5C1E-LFNO'!P12</f>
        <v>0</v>
      </c>
      <c r="AQ12" s="49">
        <f t="shared" si="56"/>
        <v>0</v>
      </c>
    </row>
    <row r="13" spans="1:43">
      <c r="A13" s="975">
        <v>7</v>
      </c>
      <c r="B13" s="976" t="s">
        <v>108</v>
      </c>
      <c r="C13" s="1168">
        <f>'Table 8 2.1.12 MFP Funded'!Y10</f>
        <v>0</v>
      </c>
      <c r="D13" s="978">
        <f>'Table 3 Levels 1&amp;2'!AL14</f>
        <v>1550.5347159603245</v>
      </c>
      <c r="E13" s="1072">
        <f t="shared" si="34"/>
        <v>0</v>
      </c>
      <c r="F13" s="1072">
        <f>'Table 4 Level 3'!P12</f>
        <v>756.91999999999985</v>
      </c>
      <c r="G13" s="1072">
        <f t="shared" si="35"/>
        <v>0</v>
      </c>
      <c r="H13" s="1030">
        <f t="shared" si="36"/>
        <v>0</v>
      </c>
      <c r="I13" s="1415">
        <f>'[1]Oct midyear LFNO'!K13</f>
        <v>0</v>
      </c>
      <c r="J13" s="1415">
        <f>'[1]Feb midyear LFNO '!K13</f>
        <v>0</v>
      </c>
      <c r="K13" s="1415">
        <f t="shared" si="37"/>
        <v>0</v>
      </c>
      <c r="L13" s="1434">
        <f t="shared" si="38"/>
        <v>0</v>
      </c>
      <c r="M13" s="1082">
        <f t="shared" si="39"/>
        <v>0</v>
      </c>
      <c r="N13" s="1030">
        <f t="shared" si="40"/>
        <v>0</v>
      </c>
      <c r="O13" s="1030">
        <v>0</v>
      </c>
      <c r="P13" s="1030">
        <f t="shared" si="41"/>
        <v>0</v>
      </c>
      <c r="Q13" s="1030">
        <v>0</v>
      </c>
      <c r="R13" s="1434">
        <f t="shared" si="42"/>
        <v>0</v>
      </c>
      <c r="S13" s="1434">
        <f t="shared" si="43"/>
        <v>0</v>
      </c>
      <c r="T13" s="1434"/>
      <c r="U13" s="1434">
        <f t="shared" si="44"/>
        <v>0</v>
      </c>
      <c r="V13" s="1029">
        <f>'[14]FY2012-13 Final'!K14</f>
        <v>12483</v>
      </c>
      <c r="W13" s="1031">
        <f t="shared" si="32"/>
        <v>0</v>
      </c>
      <c r="X13" s="1464">
        <f>'[20]Oct midyear LFNO'!E13</f>
        <v>0</v>
      </c>
      <c r="Y13" s="1443">
        <f t="shared" si="45"/>
        <v>0</v>
      </c>
      <c r="Z13" s="1474">
        <f>'[20]Feb midyear LFNO '!E13</f>
        <v>0</v>
      </c>
      <c r="AA13" s="1470">
        <f t="shared" si="46"/>
        <v>0</v>
      </c>
      <c r="AB13" s="1470">
        <f t="shared" si="47"/>
        <v>0</v>
      </c>
      <c r="AC13" s="1031">
        <f t="shared" si="48"/>
        <v>0</v>
      </c>
      <c r="AD13" s="1090">
        <f t="shared" si="49"/>
        <v>0</v>
      </c>
      <c r="AE13" s="1031">
        <f t="shared" si="50"/>
        <v>0</v>
      </c>
      <c r="AF13" s="1031">
        <v>0</v>
      </c>
      <c r="AG13" s="1031">
        <f t="shared" si="51"/>
        <v>0</v>
      </c>
      <c r="AH13" s="1031">
        <v>0</v>
      </c>
      <c r="AI13" s="1031">
        <f t="shared" si="52"/>
        <v>0</v>
      </c>
      <c r="AJ13" s="1031">
        <f t="shared" si="53"/>
        <v>0</v>
      </c>
      <c r="AK13" s="1032">
        <f t="shared" si="54"/>
        <v>0</v>
      </c>
      <c r="AL13" s="1032">
        <f t="shared" si="33"/>
        <v>0</v>
      </c>
      <c r="AN13" s="49">
        <f t="shared" si="55"/>
        <v>0</v>
      </c>
      <c r="AO13" s="49">
        <f>-'[22]Table 5C1E-LFNO'!AL13</f>
        <v>0</v>
      </c>
      <c r="AP13">
        <f>-'[21]Table 5C1E-LFNO'!P13</f>
        <v>0</v>
      </c>
      <c r="AQ13" s="49">
        <f t="shared" si="56"/>
        <v>0</v>
      </c>
    </row>
    <row r="14" spans="1:43">
      <c r="A14" s="975">
        <v>8</v>
      </c>
      <c r="B14" s="976" t="s">
        <v>109</v>
      </c>
      <c r="C14" s="1168">
        <f>'Table 8 2.1.12 MFP Funded'!Y11</f>
        <v>0</v>
      </c>
      <c r="D14" s="978">
        <f>'Table 3 Levels 1&amp;2'!AL15</f>
        <v>4054.7459475361657</v>
      </c>
      <c r="E14" s="1072">
        <f t="shared" si="34"/>
        <v>0</v>
      </c>
      <c r="F14" s="1072">
        <f>'Table 4 Level 3'!P13</f>
        <v>725.76</v>
      </c>
      <c r="G14" s="1072">
        <f t="shared" si="35"/>
        <v>0</v>
      </c>
      <c r="H14" s="1030">
        <f t="shared" si="36"/>
        <v>0</v>
      </c>
      <c r="I14" s="1415">
        <f>'[1]Oct midyear LFNO'!K14</f>
        <v>0</v>
      </c>
      <c r="J14" s="1415">
        <f>'[1]Feb midyear LFNO '!K14</f>
        <v>0</v>
      </c>
      <c r="K14" s="1415">
        <f t="shared" si="37"/>
        <v>0</v>
      </c>
      <c r="L14" s="1434">
        <f t="shared" si="38"/>
        <v>0</v>
      </c>
      <c r="M14" s="1082">
        <f t="shared" si="39"/>
        <v>0</v>
      </c>
      <c r="N14" s="1030">
        <f t="shared" si="40"/>
        <v>0</v>
      </c>
      <c r="O14" s="1030">
        <v>0</v>
      </c>
      <c r="P14" s="1030">
        <f t="shared" si="41"/>
        <v>0</v>
      </c>
      <c r="Q14" s="1030">
        <v>0</v>
      </c>
      <c r="R14" s="1434">
        <f t="shared" si="42"/>
        <v>0</v>
      </c>
      <c r="S14" s="1434">
        <f t="shared" si="43"/>
        <v>0</v>
      </c>
      <c r="T14" s="1434"/>
      <c r="U14" s="1434">
        <f t="shared" si="44"/>
        <v>0</v>
      </c>
      <c r="V14" s="1029">
        <f>'[14]FY2012-13 Final'!K15</f>
        <v>4187</v>
      </c>
      <c r="W14" s="1031">
        <f t="shared" si="32"/>
        <v>0</v>
      </c>
      <c r="X14" s="1464">
        <f>'[20]Oct midyear LFNO'!E14</f>
        <v>0</v>
      </c>
      <c r="Y14" s="1443">
        <f t="shared" si="45"/>
        <v>0</v>
      </c>
      <c r="Z14" s="1474">
        <f>'[20]Feb midyear LFNO '!E14</f>
        <v>0</v>
      </c>
      <c r="AA14" s="1470">
        <f t="shared" si="46"/>
        <v>0</v>
      </c>
      <c r="AB14" s="1470">
        <f t="shared" si="47"/>
        <v>0</v>
      </c>
      <c r="AC14" s="1031">
        <f t="shared" si="48"/>
        <v>0</v>
      </c>
      <c r="AD14" s="1090">
        <f t="shared" si="49"/>
        <v>0</v>
      </c>
      <c r="AE14" s="1031">
        <f t="shared" si="50"/>
        <v>0</v>
      </c>
      <c r="AF14" s="1031">
        <v>0</v>
      </c>
      <c r="AG14" s="1031">
        <f t="shared" si="51"/>
        <v>0</v>
      </c>
      <c r="AH14" s="1031">
        <v>0</v>
      </c>
      <c r="AI14" s="1031">
        <f t="shared" si="52"/>
        <v>0</v>
      </c>
      <c r="AJ14" s="1031">
        <f t="shared" si="53"/>
        <v>0</v>
      </c>
      <c r="AK14" s="1032">
        <f t="shared" si="54"/>
        <v>0</v>
      </c>
      <c r="AL14" s="1032">
        <f t="shared" si="33"/>
        <v>0</v>
      </c>
      <c r="AN14" s="49">
        <f t="shared" si="55"/>
        <v>0</v>
      </c>
      <c r="AO14" s="49">
        <f>-'[22]Table 5C1E-LFNO'!AL14</f>
        <v>0</v>
      </c>
      <c r="AP14">
        <f>-'[21]Table 5C1E-LFNO'!P14</f>
        <v>0</v>
      </c>
      <c r="AQ14" s="49">
        <f t="shared" si="56"/>
        <v>0</v>
      </c>
    </row>
    <row r="15" spans="1:43">
      <c r="A15" s="975">
        <v>9</v>
      </c>
      <c r="B15" s="976" t="s">
        <v>110</v>
      </c>
      <c r="C15" s="1168">
        <f>'Table 8 2.1.12 MFP Funded'!Y12</f>
        <v>0</v>
      </c>
      <c r="D15" s="978">
        <f>'Table 3 Levels 1&amp;2'!AL16</f>
        <v>4287.1210280148016</v>
      </c>
      <c r="E15" s="1072">
        <f t="shared" si="34"/>
        <v>0</v>
      </c>
      <c r="F15" s="1072">
        <f>'Table 4 Level 3'!P14</f>
        <v>744.76</v>
      </c>
      <c r="G15" s="1072">
        <f t="shared" si="35"/>
        <v>0</v>
      </c>
      <c r="H15" s="1030">
        <f t="shared" si="36"/>
        <v>0</v>
      </c>
      <c r="I15" s="1415">
        <f>'[1]Oct midyear LFNO'!K15</f>
        <v>0</v>
      </c>
      <c r="J15" s="1415">
        <f>'[1]Feb midyear LFNO '!K15</f>
        <v>0</v>
      </c>
      <c r="K15" s="1415">
        <f t="shared" si="37"/>
        <v>0</v>
      </c>
      <c r="L15" s="1434">
        <f t="shared" si="38"/>
        <v>0</v>
      </c>
      <c r="M15" s="1082">
        <f t="shared" si="39"/>
        <v>0</v>
      </c>
      <c r="N15" s="1030">
        <f t="shared" si="40"/>
        <v>0</v>
      </c>
      <c r="O15" s="1030">
        <v>0</v>
      </c>
      <c r="P15" s="1030">
        <f t="shared" si="41"/>
        <v>0</v>
      </c>
      <c r="Q15" s="1030">
        <v>0</v>
      </c>
      <c r="R15" s="1434">
        <f t="shared" si="42"/>
        <v>0</v>
      </c>
      <c r="S15" s="1434">
        <f t="shared" si="43"/>
        <v>0</v>
      </c>
      <c r="T15" s="1434"/>
      <c r="U15" s="1434">
        <f t="shared" si="44"/>
        <v>0</v>
      </c>
      <c r="V15" s="1029">
        <f>'[14]FY2012-13 Final'!K16</f>
        <v>4649</v>
      </c>
      <c r="W15" s="1031">
        <f t="shared" si="32"/>
        <v>0</v>
      </c>
      <c r="X15" s="1464">
        <f>'[20]Oct midyear LFNO'!E15</f>
        <v>0</v>
      </c>
      <c r="Y15" s="1443">
        <f t="shared" si="45"/>
        <v>0</v>
      </c>
      <c r="Z15" s="1474">
        <f>'[20]Feb midyear LFNO '!E15</f>
        <v>0</v>
      </c>
      <c r="AA15" s="1470">
        <f t="shared" si="46"/>
        <v>0</v>
      </c>
      <c r="AB15" s="1470">
        <f t="shared" si="47"/>
        <v>0</v>
      </c>
      <c r="AC15" s="1031">
        <f t="shared" si="48"/>
        <v>0</v>
      </c>
      <c r="AD15" s="1090">
        <f t="shared" si="49"/>
        <v>0</v>
      </c>
      <c r="AE15" s="1031">
        <f t="shared" si="50"/>
        <v>0</v>
      </c>
      <c r="AF15" s="1031">
        <v>0</v>
      </c>
      <c r="AG15" s="1031">
        <f t="shared" si="51"/>
        <v>0</v>
      </c>
      <c r="AH15" s="1031">
        <v>0</v>
      </c>
      <c r="AI15" s="1031">
        <f t="shared" si="52"/>
        <v>0</v>
      </c>
      <c r="AJ15" s="1031">
        <f t="shared" si="53"/>
        <v>0</v>
      </c>
      <c r="AK15" s="1032">
        <f t="shared" si="54"/>
        <v>0</v>
      </c>
      <c r="AL15" s="1032">
        <f t="shared" si="33"/>
        <v>0</v>
      </c>
      <c r="AN15" s="49">
        <f t="shared" si="55"/>
        <v>0</v>
      </c>
      <c r="AO15" s="49">
        <f>-'[22]Table 5C1E-LFNO'!AL15</f>
        <v>0</v>
      </c>
      <c r="AP15">
        <f>-'[21]Table 5C1E-LFNO'!P15</f>
        <v>0</v>
      </c>
      <c r="AQ15" s="49">
        <f t="shared" si="56"/>
        <v>0</v>
      </c>
    </row>
    <row r="16" spans="1:43">
      <c r="A16" s="979">
        <v>10</v>
      </c>
      <c r="B16" s="980" t="s">
        <v>111</v>
      </c>
      <c r="C16" s="1169">
        <f>'Table 8 2.1.12 MFP Funded'!Y13</f>
        <v>0</v>
      </c>
      <c r="D16" s="982">
        <f>'Table 3 Levels 1&amp;2'!AL17</f>
        <v>4320.1782742925079</v>
      </c>
      <c r="E16" s="1073">
        <f t="shared" si="34"/>
        <v>0</v>
      </c>
      <c r="F16" s="1073">
        <f>'Table 4 Level 3'!P15</f>
        <v>608.04000000000008</v>
      </c>
      <c r="G16" s="1073">
        <f t="shared" si="35"/>
        <v>0</v>
      </c>
      <c r="H16" s="1033">
        <f t="shared" si="36"/>
        <v>0</v>
      </c>
      <c r="I16" s="1416">
        <f>'[1]Oct midyear LFNO'!K16</f>
        <v>0</v>
      </c>
      <c r="J16" s="1416">
        <f>'[1]Feb midyear LFNO '!K16</f>
        <v>0</v>
      </c>
      <c r="K16" s="1416">
        <f t="shared" si="37"/>
        <v>0</v>
      </c>
      <c r="L16" s="1435">
        <f t="shared" si="38"/>
        <v>0</v>
      </c>
      <c r="M16" s="1083">
        <f t="shared" si="39"/>
        <v>0</v>
      </c>
      <c r="N16" s="1033">
        <f t="shared" si="40"/>
        <v>0</v>
      </c>
      <c r="O16" s="1033">
        <v>0</v>
      </c>
      <c r="P16" s="1033">
        <f t="shared" si="41"/>
        <v>0</v>
      </c>
      <c r="Q16" s="1033">
        <v>0</v>
      </c>
      <c r="R16" s="1435">
        <f t="shared" si="42"/>
        <v>0</v>
      </c>
      <c r="S16" s="1435">
        <f t="shared" si="43"/>
        <v>0</v>
      </c>
      <c r="T16" s="1435"/>
      <c r="U16" s="1435">
        <f t="shared" si="44"/>
        <v>0</v>
      </c>
      <c r="V16" s="1034">
        <f>'[14]FY2012-13 Final'!K17</f>
        <v>4395</v>
      </c>
      <c r="W16" s="1035">
        <f t="shared" si="32"/>
        <v>0</v>
      </c>
      <c r="X16" s="1465">
        <f>'[20]Oct midyear LFNO'!E16</f>
        <v>0</v>
      </c>
      <c r="Y16" s="1445">
        <f t="shared" si="45"/>
        <v>0</v>
      </c>
      <c r="Z16" s="1475">
        <f>'[20]Feb midyear LFNO '!E16</f>
        <v>0</v>
      </c>
      <c r="AA16" s="1471">
        <f t="shared" si="46"/>
        <v>0</v>
      </c>
      <c r="AB16" s="1471">
        <f t="shared" si="47"/>
        <v>0</v>
      </c>
      <c r="AC16" s="1035">
        <f t="shared" si="48"/>
        <v>0</v>
      </c>
      <c r="AD16" s="1091">
        <f t="shared" si="49"/>
        <v>0</v>
      </c>
      <c r="AE16" s="1035">
        <f t="shared" si="50"/>
        <v>0</v>
      </c>
      <c r="AF16" s="1035">
        <v>0</v>
      </c>
      <c r="AG16" s="1035">
        <f t="shared" si="51"/>
        <v>0</v>
      </c>
      <c r="AH16" s="1035">
        <v>0</v>
      </c>
      <c r="AI16" s="1035">
        <f t="shared" si="52"/>
        <v>0</v>
      </c>
      <c r="AJ16" s="1035">
        <f t="shared" si="53"/>
        <v>0</v>
      </c>
      <c r="AK16" s="1036">
        <f t="shared" si="54"/>
        <v>0</v>
      </c>
      <c r="AL16" s="1036">
        <f t="shared" si="33"/>
        <v>0</v>
      </c>
      <c r="AN16" s="49">
        <f t="shared" si="55"/>
        <v>0</v>
      </c>
      <c r="AO16" s="49">
        <f>-'[22]Table 5C1E-LFNO'!AL16</f>
        <v>0</v>
      </c>
      <c r="AP16">
        <f>-'[21]Table 5C1E-LFNO'!P16</f>
        <v>0</v>
      </c>
      <c r="AQ16" s="49">
        <f t="shared" si="56"/>
        <v>0</v>
      </c>
    </row>
    <row r="17" spans="1:43">
      <c r="A17" s="968">
        <v>11</v>
      </c>
      <c r="B17" s="969" t="s">
        <v>112</v>
      </c>
      <c r="C17" s="1170">
        <f>'Table 8 2.1.12 MFP Funded'!Y14</f>
        <v>0</v>
      </c>
      <c r="D17" s="971">
        <f>'Table 3 Levels 1&amp;2'!AL18</f>
        <v>6754.8947842641273</v>
      </c>
      <c r="E17" s="1071">
        <f t="shared" si="34"/>
        <v>0</v>
      </c>
      <c r="F17" s="1071">
        <f>'Table 4 Level 3'!P16</f>
        <v>706.55</v>
      </c>
      <c r="G17" s="1071">
        <f t="shared" si="35"/>
        <v>0</v>
      </c>
      <c r="H17" s="972">
        <f t="shared" si="36"/>
        <v>0</v>
      </c>
      <c r="I17" s="1414">
        <f>'[1]Oct midyear LFNO'!K17</f>
        <v>0</v>
      </c>
      <c r="J17" s="1414">
        <f>'[1]Feb midyear LFNO '!K17</f>
        <v>0</v>
      </c>
      <c r="K17" s="1414">
        <f t="shared" si="37"/>
        <v>0</v>
      </c>
      <c r="L17" s="1213">
        <f t="shared" si="38"/>
        <v>0</v>
      </c>
      <c r="M17" s="1081">
        <f t="shared" si="39"/>
        <v>0</v>
      </c>
      <c r="N17" s="972">
        <f t="shared" si="40"/>
        <v>0</v>
      </c>
      <c r="O17" s="972">
        <v>0</v>
      </c>
      <c r="P17" s="972">
        <f t="shared" si="41"/>
        <v>0</v>
      </c>
      <c r="Q17" s="972">
        <v>0</v>
      </c>
      <c r="R17" s="1213">
        <f t="shared" si="42"/>
        <v>0</v>
      </c>
      <c r="S17" s="1213">
        <f t="shared" si="43"/>
        <v>0</v>
      </c>
      <c r="T17" s="1213"/>
      <c r="U17" s="1213">
        <f t="shared" si="44"/>
        <v>0</v>
      </c>
      <c r="V17" s="1029">
        <f>'[14]FY2012-13 Final'!K18</f>
        <v>3450</v>
      </c>
      <c r="W17" s="973">
        <f t="shared" si="32"/>
        <v>0</v>
      </c>
      <c r="X17" s="1466">
        <f>'[20]Oct midyear LFNO'!E17</f>
        <v>0</v>
      </c>
      <c r="Y17" s="1444">
        <f t="shared" si="45"/>
        <v>0</v>
      </c>
      <c r="Z17" s="1466">
        <f>'[20]Feb midyear LFNO '!E17</f>
        <v>0</v>
      </c>
      <c r="AA17" s="1444">
        <f t="shared" si="46"/>
        <v>0</v>
      </c>
      <c r="AB17" s="1444">
        <f t="shared" si="47"/>
        <v>0</v>
      </c>
      <c r="AC17" s="973">
        <f t="shared" si="48"/>
        <v>0</v>
      </c>
      <c r="AD17" s="1089">
        <f t="shared" si="49"/>
        <v>0</v>
      </c>
      <c r="AE17" s="973">
        <f t="shared" si="50"/>
        <v>0</v>
      </c>
      <c r="AF17" s="973">
        <v>0</v>
      </c>
      <c r="AG17" s="973">
        <f t="shared" si="51"/>
        <v>0</v>
      </c>
      <c r="AH17" s="973">
        <v>0</v>
      </c>
      <c r="AI17" s="973">
        <f t="shared" si="52"/>
        <v>0</v>
      </c>
      <c r="AJ17" s="973">
        <f t="shared" si="53"/>
        <v>0</v>
      </c>
      <c r="AK17" s="974">
        <f t="shared" si="54"/>
        <v>0</v>
      </c>
      <c r="AL17" s="974">
        <f t="shared" si="33"/>
        <v>0</v>
      </c>
      <c r="AN17" s="49">
        <f t="shared" si="55"/>
        <v>0</v>
      </c>
      <c r="AO17" s="49">
        <f>-'[22]Table 5C1E-LFNO'!AL17</f>
        <v>0</v>
      </c>
      <c r="AP17">
        <f>-'[21]Table 5C1E-LFNO'!P17</f>
        <v>0</v>
      </c>
      <c r="AQ17" s="49">
        <f t="shared" si="56"/>
        <v>0</v>
      </c>
    </row>
    <row r="18" spans="1:43">
      <c r="A18" s="975">
        <v>12</v>
      </c>
      <c r="B18" s="976" t="s">
        <v>113</v>
      </c>
      <c r="C18" s="1168">
        <f>'Table 8 2.1.12 MFP Funded'!Y15</f>
        <v>0</v>
      </c>
      <c r="D18" s="978">
        <f>'Table 3 Levels 1&amp;2'!AL19</f>
        <v>1807.9873469387755</v>
      </c>
      <c r="E18" s="1072">
        <f t="shared" si="34"/>
        <v>0</v>
      </c>
      <c r="F18" s="1072">
        <f>'Table 4 Level 3'!P17</f>
        <v>1063.31</v>
      </c>
      <c r="G18" s="1072">
        <f t="shared" si="35"/>
        <v>0</v>
      </c>
      <c r="H18" s="1030">
        <f t="shared" si="36"/>
        <v>0</v>
      </c>
      <c r="I18" s="1415">
        <f>'[1]Oct midyear LFNO'!K18</f>
        <v>0</v>
      </c>
      <c r="J18" s="1415">
        <f>'[1]Feb midyear LFNO '!K18</f>
        <v>0</v>
      </c>
      <c r="K18" s="1415">
        <f t="shared" si="37"/>
        <v>0</v>
      </c>
      <c r="L18" s="1434">
        <f t="shared" si="38"/>
        <v>0</v>
      </c>
      <c r="M18" s="1082">
        <f t="shared" si="39"/>
        <v>0</v>
      </c>
      <c r="N18" s="1030">
        <f t="shared" si="40"/>
        <v>0</v>
      </c>
      <c r="O18" s="1030">
        <v>0</v>
      </c>
      <c r="P18" s="1030">
        <f t="shared" si="41"/>
        <v>0</v>
      </c>
      <c r="Q18" s="1030">
        <v>0</v>
      </c>
      <c r="R18" s="1434">
        <f t="shared" si="42"/>
        <v>0</v>
      </c>
      <c r="S18" s="1434">
        <f t="shared" si="43"/>
        <v>0</v>
      </c>
      <c r="T18" s="1434"/>
      <c r="U18" s="1434">
        <f t="shared" si="44"/>
        <v>0</v>
      </c>
      <c r="V18" s="1029">
        <f>'[14]FY2012-13 Final'!K19</f>
        <v>12561</v>
      </c>
      <c r="W18" s="1031">
        <f t="shared" si="32"/>
        <v>0</v>
      </c>
      <c r="X18" s="1464">
        <f>'[20]Oct midyear LFNO'!E18</f>
        <v>0</v>
      </c>
      <c r="Y18" s="1443">
        <f t="shared" si="45"/>
        <v>0</v>
      </c>
      <c r="Z18" s="1474">
        <f>'[20]Feb midyear LFNO '!E18</f>
        <v>0</v>
      </c>
      <c r="AA18" s="1470">
        <f t="shared" si="46"/>
        <v>0</v>
      </c>
      <c r="AB18" s="1470">
        <f t="shared" si="47"/>
        <v>0</v>
      </c>
      <c r="AC18" s="1031">
        <f t="shared" si="48"/>
        <v>0</v>
      </c>
      <c r="AD18" s="1090">
        <f t="shared" si="49"/>
        <v>0</v>
      </c>
      <c r="AE18" s="1031">
        <f t="shared" si="50"/>
        <v>0</v>
      </c>
      <c r="AF18" s="1031">
        <v>0</v>
      </c>
      <c r="AG18" s="1031">
        <f t="shared" si="51"/>
        <v>0</v>
      </c>
      <c r="AH18" s="1031">
        <v>0</v>
      </c>
      <c r="AI18" s="1031">
        <f t="shared" si="52"/>
        <v>0</v>
      </c>
      <c r="AJ18" s="1031">
        <f t="shared" si="53"/>
        <v>0</v>
      </c>
      <c r="AK18" s="1032">
        <f t="shared" si="54"/>
        <v>0</v>
      </c>
      <c r="AL18" s="1032">
        <f t="shared" si="33"/>
        <v>0</v>
      </c>
      <c r="AN18" s="49">
        <f t="shared" si="55"/>
        <v>0</v>
      </c>
      <c r="AO18" s="49">
        <f>-'[22]Table 5C1E-LFNO'!AL18</f>
        <v>0</v>
      </c>
      <c r="AP18">
        <f>-'[21]Table 5C1E-LFNO'!P18</f>
        <v>0</v>
      </c>
      <c r="AQ18" s="49">
        <f t="shared" si="56"/>
        <v>0</v>
      </c>
    </row>
    <row r="19" spans="1:43">
      <c r="A19" s="975">
        <v>13</v>
      </c>
      <c r="B19" s="976" t="s">
        <v>114</v>
      </c>
      <c r="C19" s="1168">
        <f>'Table 8 2.1.12 MFP Funded'!Y16</f>
        <v>0</v>
      </c>
      <c r="D19" s="978">
        <f>'Table 3 Levels 1&amp;2'!AL20</f>
        <v>6143.511131744569</v>
      </c>
      <c r="E19" s="1072">
        <f t="shared" si="34"/>
        <v>0</v>
      </c>
      <c r="F19" s="1072">
        <f>'Table 4 Level 3'!P18</f>
        <v>749.43000000000006</v>
      </c>
      <c r="G19" s="1072">
        <f t="shared" si="35"/>
        <v>0</v>
      </c>
      <c r="H19" s="1030">
        <f t="shared" si="36"/>
        <v>0</v>
      </c>
      <c r="I19" s="1415">
        <f>'[1]Oct midyear LFNO'!K19</f>
        <v>0</v>
      </c>
      <c r="J19" s="1415">
        <f>'[1]Feb midyear LFNO '!K19</f>
        <v>0</v>
      </c>
      <c r="K19" s="1415">
        <f t="shared" si="37"/>
        <v>0</v>
      </c>
      <c r="L19" s="1434">
        <f t="shared" si="38"/>
        <v>0</v>
      </c>
      <c r="M19" s="1082">
        <f t="shared" si="39"/>
        <v>0</v>
      </c>
      <c r="N19" s="1030">
        <f t="shared" si="40"/>
        <v>0</v>
      </c>
      <c r="O19" s="1030">
        <v>0</v>
      </c>
      <c r="P19" s="1030">
        <f t="shared" si="41"/>
        <v>0</v>
      </c>
      <c r="Q19" s="1030">
        <v>0</v>
      </c>
      <c r="R19" s="1434">
        <f t="shared" si="42"/>
        <v>0</v>
      </c>
      <c r="S19" s="1434">
        <f t="shared" si="43"/>
        <v>0</v>
      </c>
      <c r="T19" s="1434"/>
      <c r="U19" s="1434">
        <f t="shared" si="44"/>
        <v>0</v>
      </c>
      <c r="V19" s="1029">
        <f>'[14]FY2012-13 Final'!K20</f>
        <v>2538</v>
      </c>
      <c r="W19" s="1031">
        <f t="shared" si="32"/>
        <v>0</v>
      </c>
      <c r="X19" s="1464">
        <f>'[20]Oct midyear LFNO'!E19</f>
        <v>0</v>
      </c>
      <c r="Y19" s="1443">
        <f t="shared" si="45"/>
        <v>0</v>
      </c>
      <c r="Z19" s="1474">
        <f>'[20]Feb midyear LFNO '!E19</f>
        <v>0</v>
      </c>
      <c r="AA19" s="1470">
        <f t="shared" si="46"/>
        <v>0</v>
      </c>
      <c r="AB19" s="1470">
        <f t="shared" si="47"/>
        <v>0</v>
      </c>
      <c r="AC19" s="1031">
        <f t="shared" si="48"/>
        <v>0</v>
      </c>
      <c r="AD19" s="1090">
        <f t="shared" si="49"/>
        <v>0</v>
      </c>
      <c r="AE19" s="1031">
        <f t="shared" si="50"/>
        <v>0</v>
      </c>
      <c r="AF19" s="1031">
        <v>0</v>
      </c>
      <c r="AG19" s="1031">
        <f t="shared" si="51"/>
        <v>0</v>
      </c>
      <c r="AH19" s="1031">
        <v>0</v>
      </c>
      <c r="AI19" s="1448">
        <f t="shared" si="52"/>
        <v>0</v>
      </c>
      <c r="AJ19" s="1448">
        <f t="shared" si="53"/>
        <v>0</v>
      </c>
      <c r="AK19" s="1032">
        <f t="shared" si="54"/>
        <v>0</v>
      </c>
      <c r="AL19" s="1032">
        <f t="shared" si="33"/>
        <v>0</v>
      </c>
      <c r="AN19" s="49">
        <f t="shared" si="55"/>
        <v>0</v>
      </c>
      <c r="AO19" s="49">
        <f>-'[22]Table 5C1E-LFNO'!AL19</f>
        <v>0</v>
      </c>
      <c r="AP19">
        <f>-'[21]Table 5C1E-LFNO'!P19</f>
        <v>0</v>
      </c>
      <c r="AQ19" s="49">
        <f t="shared" si="56"/>
        <v>0</v>
      </c>
    </row>
    <row r="20" spans="1:43">
      <c r="A20" s="975">
        <v>14</v>
      </c>
      <c r="B20" s="976" t="s">
        <v>115</v>
      </c>
      <c r="C20" s="1168">
        <f>'Table 8 2.1.12 MFP Funded'!Y17</f>
        <v>0</v>
      </c>
      <c r="D20" s="978">
        <f>'Table 3 Levels 1&amp;2'!AL21</f>
        <v>5304.5609177528095</v>
      </c>
      <c r="E20" s="1072">
        <f t="shared" si="34"/>
        <v>0</v>
      </c>
      <c r="F20" s="1072">
        <f>'Table 4 Level 3'!P19</f>
        <v>809.9799999999999</v>
      </c>
      <c r="G20" s="1072">
        <f t="shared" si="35"/>
        <v>0</v>
      </c>
      <c r="H20" s="1030">
        <f t="shared" si="36"/>
        <v>0</v>
      </c>
      <c r="I20" s="1415">
        <f>'[1]Oct midyear LFNO'!K20</f>
        <v>0</v>
      </c>
      <c r="J20" s="1415">
        <f>'[1]Feb midyear LFNO '!K20</f>
        <v>0</v>
      </c>
      <c r="K20" s="1415">
        <f t="shared" si="37"/>
        <v>0</v>
      </c>
      <c r="L20" s="1434">
        <f t="shared" si="38"/>
        <v>0</v>
      </c>
      <c r="M20" s="1082">
        <f t="shared" si="39"/>
        <v>0</v>
      </c>
      <c r="N20" s="1030">
        <f t="shared" si="40"/>
        <v>0</v>
      </c>
      <c r="O20" s="1030">
        <v>0</v>
      </c>
      <c r="P20" s="1030">
        <f t="shared" si="41"/>
        <v>0</v>
      </c>
      <c r="Q20" s="1030">
        <v>0</v>
      </c>
      <c r="R20" s="1434">
        <f t="shared" si="42"/>
        <v>0</v>
      </c>
      <c r="S20" s="1434">
        <f t="shared" si="43"/>
        <v>0</v>
      </c>
      <c r="T20" s="1434"/>
      <c r="U20" s="1434">
        <f t="shared" si="44"/>
        <v>0</v>
      </c>
      <c r="V20" s="1029">
        <f>'[14]FY2012-13 Final'!K21</f>
        <v>3890</v>
      </c>
      <c r="W20" s="1031">
        <f t="shared" si="32"/>
        <v>0</v>
      </c>
      <c r="X20" s="1464">
        <f>'[20]Oct midyear LFNO'!E20</f>
        <v>0</v>
      </c>
      <c r="Y20" s="1443">
        <f t="shared" si="45"/>
        <v>0</v>
      </c>
      <c r="Z20" s="1474">
        <f>'[20]Feb midyear LFNO '!E20</f>
        <v>0</v>
      </c>
      <c r="AA20" s="1470">
        <f t="shared" si="46"/>
        <v>0</v>
      </c>
      <c r="AB20" s="1470">
        <f t="shared" si="47"/>
        <v>0</v>
      </c>
      <c r="AC20" s="1031">
        <f t="shared" si="48"/>
        <v>0</v>
      </c>
      <c r="AD20" s="1090">
        <f t="shared" si="49"/>
        <v>0</v>
      </c>
      <c r="AE20" s="1031">
        <f t="shared" si="50"/>
        <v>0</v>
      </c>
      <c r="AF20" s="1031">
        <v>0</v>
      </c>
      <c r="AG20" s="1031">
        <f t="shared" si="51"/>
        <v>0</v>
      </c>
      <c r="AH20" s="1031">
        <v>0</v>
      </c>
      <c r="AI20" s="1448">
        <f t="shared" si="52"/>
        <v>0</v>
      </c>
      <c r="AJ20" s="1448">
        <f t="shared" si="53"/>
        <v>0</v>
      </c>
      <c r="AK20" s="1032">
        <f t="shared" si="54"/>
        <v>0</v>
      </c>
      <c r="AL20" s="1032">
        <f t="shared" si="33"/>
        <v>0</v>
      </c>
      <c r="AN20" s="49">
        <f t="shared" si="55"/>
        <v>0</v>
      </c>
      <c r="AO20" s="49">
        <f>-'[22]Table 5C1E-LFNO'!AL20</f>
        <v>0</v>
      </c>
      <c r="AP20">
        <f>-'[21]Table 5C1E-LFNO'!P20</f>
        <v>0</v>
      </c>
      <c r="AQ20" s="49">
        <f t="shared" si="56"/>
        <v>0</v>
      </c>
    </row>
    <row r="21" spans="1:43">
      <c r="A21" s="979">
        <v>15</v>
      </c>
      <c r="B21" s="980" t="s">
        <v>116</v>
      </c>
      <c r="C21" s="1169">
        <f>'Table 8 2.1.12 MFP Funded'!Y18</f>
        <v>0</v>
      </c>
      <c r="D21" s="982">
        <f>'Table 3 Levels 1&amp;2'!AL22</f>
        <v>5440.6588926253107</v>
      </c>
      <c r="E21" s="1073">
        <f t="shared" si="34"/>
        <v>0</v>
      </c>
      <c r="F21" s="1073">
        <f>'Table 4 Level 3'!P20</f>
        <v>553.79999999999995</v>
      </c>
      <c r="G21" s="1073">
        <f t="shared" si="35"/>
        <v>0</v>
      </c>
      <c r="H21" s="1033">
        <f t="shared" si="36"/>
        <v>0</v>
      </c>
      <c r="I21" s="1416">
        <f>'[1]Oct midyear LFNO'!K21</f>
        <v>0</v>
      </c>
      <c r="J21" s="1416">
        <f>'[1]Feb midyear LFNO '!K21</f>
        <v>0</v>
      </c>
      <c r="K21" s="1416">
        <f t="shared" si="37"/>
        <v>0</v>
      </c>
      <c r="L21" s="1435">
        <f t="shared" si="38"/>
        <v>0</v>
      </c>
      <c r="M21" s="1083">
        <f t="shared" si="39"/>
        <v>0</v>
      </c>
      <c r="N21" s="1033">
        <f t="shared" si="40"/>
        <v>0</v>
      </c>
      <c r="O21" s="1033">
        <v>0</v>
      </c>
      <c r="P21" s="1033">
        <f t="shared" si="41"/>
        <v>0</v>
      </c>
      <c r="Q21" s="1033">
        <v>0</v>
      </c>
      <c r="R21" s="1435">
        <f t="shared" si="42"/>
        <v>0</v>
      </c>
      <c r="S21" s="1435">
        <f t="shared" si="43"/>
        <v>0</v>
      </c>
      <c r="T21" s="1435"/>
      <c r="U21" s="1435">
        <f t="shared" si="44"/>
        <v>0</v>
      </c>
      <c r="V21" s="1034">
        <f>'[14]FY2012-13 Final'!K22</f>
        <v>2752</v>
      </c>
      <c r="W21" s="1035">
        <f t="shared" si="32"/>
        <v>0</v>
      </c>
      <c r="X21" s="1465">
        <f>'[20]Oct midyear LFNO'!E21</f>
        <v>0</v>
      </c>
      <c r="Y21" s="1445">
        <f t="shared" si="45"/>
        <v>0</v>
      </c>
      <c r="Z21" s="1475">
        <f>'[20]Feb midyear LFNO '!E21</f>
        <v>0</v>
      </c>
      <c r="AA21" s="1471">
        <f t="shared" si="46"/>
        <v>0</v>
      </c>
      <c r="AB21" s="1471">
        <f t="shared" si="47"/>
        <v>0</v>
      </c>
      <c r="AC21" s="1035">
        <f t="shared" si="48"/>
        <v>0</v>
      </c>
      <c r="AD21" s="1091">
        <f t="shared" si="49"/>
        <v>0</v>
      </c>
      <c r="AE21" s="1035">
        <f t="shared" si="50"/>
        <v>0</v>
      </c>
      <c r="AF21" s="1035">
        <v>0</v>
      </c>
      <c r="AG21" s="1035">
        <f t="shared" si="51"/>
        <v>0</v>
      </c>
      <c r="AH21" s="1035">
        <v>0</v>
      </c>
      <c r="AI21" s="1450">
        <f t="shared" si="52"/>
        <v>0</v>
      </c>
      <c r="AJ21" s="1450">
        <f t="shared" si="53"/>
        <v>0</v>
      </c>
      <c r="AK21" s="1036">
        <f t="shared" si="54"/>
        <v>0</v>
      </c>
      <c r="AL21" s="1036">
        <f t="shared" si="33"/>
        <v>0</v>
      </c>
      <c r="AN21" s="49">
        <f t="shared" si="55"/>
        <v>0</v>
      </c>
      <c r="AO21" s="49">
        <f>-'[22]Table 5C1E-LFNO'!AL21</f>
        <v>0</v>
      </c>
      <c r="AP21">
        <f>-'[21]Table 5C1E-LFNO'!P21</f>
        <v>0</v>
      </c>
      <c r="AQ21" s="49">
        <f t="shared" si="56"/>
        <v>0</v>
      </c>
    </row>
    <row r="22" spans="1:43">
      <c r="A22" s="968">
        <v>16</v>
      </c>
      <c r="B22" s="969" t="s">
        <v>117</v>
      </c>
      <c r="C22" s="1170">
        <f>'Table 8 2.1.12 MFP Funded'!Y19</f>
        <v>0</v>
      </c>
      <c r="D22" s="971">
        <f>'Table 3 Levels 1&amp;2'!AL23</f>
        <v>1508.2103091706706</v>
      </c>
      <c r="E22" s="1071">
        <f t="shared" si="34"/>
        <v>0</v>
      </c>
      <c r="F22" s="1071">
        <f>'Table 4 Level 3'!P21</f>
        <v>686.73</v>
      </c>
      <c r="G22" s="1071">
        <f t="shared" si="35"/>
        <v>0</v>
      </c>
      <c r="H22" s="972">
        <f t="shared" si="36"/>
        <v>0</v>
      </c>
      <c r="I22" s="1414">
        <f>'[1]Oct midyear LFNO'!K22</f>
        <v>0</v>
      </c>
      <c r="J22" s="1414">
        <f>'[1]Feb midyear LFNO '!K22</f>
        <v>0</v>
      </c>
      <c r="K22" s="1414">
        <f t="shared" si="37"/>
        <v>0</v>
      </c>
      <c r="L22" s="1213">
        <f t="shared" si="38"/>
        <v>0</v>
      </c>
      <c r="M22" s="1081">
        <f t="shared" si="39"/>
        <v>0</v>
      </c>
      <c r="N22" s="972">
        <f t="shared" si="40"/>
        <v>0</v>
      </c>
      <c r="O22" s="972">
        <v>0</v>
      </c>
      <c r="P22" s="972">
        <f t="shared" si="41"/>
        <v>0</v>
      </c>
      <c r="Q22" s="972">
        <v>0</v>
      </c>
      <c r="R22" s="1213">
        <f t="shared" si="42"/>
        <v>0</v>
      </c>
      <c r="S22" s="1213">
        <f t="shared" si="43"/>
        <v>0</v>
      </c>
      <c r="T22" s="1213"/>
      <c r="U22" s="1213">
        <f t="shared" si="44"/>
        <v>0</v>
      </c>
      <c r="V22" s="1029">
        <f>'[14]FY2012-13 Final'!K23</f>
        <v>15097</v>
      </c>
      <c r="W22" s="973">
        <f t="shared" si="32"/>
        <v>0</v>
      </c>
      <c r="X22" s="1466">
        <f>'[20]Oct midyear LFNO'!E22</f>
        <v>0</v>
      </c>
      <c r="Y22" s="1444">
        <f t="shared" si="45"/>
        <v>0</v>
      </c>
      <c r="Z22" s="1466">
        <f>'[20]Feb midyear LFNO '!E22</f>
        <v>0</v>
      </c>
      <c r="AA22" s="1444">
        <f t="shared" si="46"/>
        <v>0</v>
      </c>
      <c r="AB22" s="1444">
        <f t="shared" si="47"/>
        <v>0</v>
      </c>
      <c r="AC22" s="973">
        <f t="shared" si="48"/>
        <v>0</v>
      </c>
      <c r="AD22" s="1089">
        <f t="shared" si="49"/>
        <v>0</v>
      </c>
      <c r="AE22" s="973">
        <f t="shared" si="50"/>
        <v>0</v>
      </c>
      <c r="AF22" s="973">
        <v>0</v>
      </c>
      <c r="AG22" s="973">
        <f t="shared" si="51"/>
        <v>0</v>
      </c>
      <c r="AH22" s="973">
        <v>0</v>
      </c>
      <c r="AI22" s="1214">
        <f t="shared" si="52"/>
        <v>0</v>
      </c>
      <c r="AJ22" s="1214">
        <f t="shared" si="53"/>
        <v>0</v>
      </c>
      <c r="AK22" s="974">
        <f t="shared" si="54"/>
        <v>0</v>
      </c>
      <c r="AL22" s="974">
        <f t="shared" si="33"/>
        <v>0</v>
      </c>
      <c r="AN22" s="49">
        <f t="shared" si="55"/>
        <v>0</v>
      </c>
      <c r="AO22" s="49">
        <f>-'[22]Table 5C1E-LFNO'!AL22</f>
        <v>0</v>
      </c>
      <c r="AP22">
        <f>-'[21]Table 5C1E-LFNO'!P22</f>
        <v>0</v>
      </c>
      <c r="AQ22" s="49">
        <f t="shared" si="56"/>
        <v>0</v>
      </c>
    </row>
    <row r="23" spans="1:43">
      <c r="A23" s="975">
        <v>17</v>
      </c>
      <c r="B23" s="976" t="s">
        <v>118</v>
      </c>
      <c r="C23" s="1168">
        <f>'Table 8 2.1.12 MFP Funded'!Y20</f>
        <v>0</v>
      </c>
      <c r="D23" s="978">
        <f>'Table 3 Levels 1&amp;2'!AL24</f>
        <v>3395.7244841073689</v>
      </c>
      <c r="E23" s="1072">
        <f t="shared" si="34"/>
        <v>0</v>
      </c>
      <c r="F23" s="1072">
        <f>'Table 5B2_RSD_LA'!F7</f>
        <v>801.47762416806802</v>
      </c>
      <c r="G23" s="1072">
        <f t="shared" si="35"/>
        <v>0</v>
      </c>
      <c r="H23" s="1030">
        <f t="shared" si="36"/>
        <v>0</v>
      </c>
      <c r="I23" s="1415">
        <f>'[1]Oct midyear LFNO'!K23</f>
        <v>0</v>
      </c>
      <c r="J23" s="1415">
        <f>'[1]Feb midyear LFNO '!K23</f>
        <v>0</v>
      </c>
      <c r="K23" s="1415">
        <f t="shared" si="37"/>
        <v>0</v>
      </c>
      <c r="L23" s="1434">
        <f t="shared" si="38"/>
        <v>0</v>
      </c>
      <c r="M23" s="1082">
        <f t="shared" si="39"/>
        <v>0</v>
      </c>
      <c r="N23" s="1030">
        <f t="shared" si="40"/>
        <v>0</v>
      </c>
      <c r="O23" s="1030">
        <v>0</v>
      </c>
      <c r="P23" s="1030">
        <f t="shared" si="41"/>
        <v>0</v>
      </c>
      <c r="Q23" s="1030">
        <v>0</v>
      </c>
      <c r="R23" s="1434">
        <f t="shared" si="42"/>
        <v>0</v>
      </c>
      <c r="S23" s="1434">
        <f t="shared" si="43"/>
        <v>0</v>
      </c>
      <c r="T23" s="1434"/>
      <c r="U23" s="1434">
        <f t="shared" si="44"/>
        <v>0</v>
      </c>
      <c r="V23" s="1029">
        <f>'[14]FY2012-13 Final'!K24</f>
        <v>6601</v>
      </c>
      <c r="W23" s="1031">
        <f t="shared" si="32"/>
        <v>0</v>
      </c>
      <c r="X23" s="1464">
        <f>'[20]Oct midyear LFNO'!E23</f>
        <v>0</v>
      </c>
      <c r="Y23" s="1443">
        <f t="shared" si="45"/>
        <v>0</v>
      </c>
      <c r="Z23" s="1474">
        <f>'[20]Feb midyear LFNO '!E23</f>
        <v>0</v>
      </c>
      <c r="AA23" s="1470">
        <f t="shared" si="46"/>
        <v>0</v>
      </c>
      <c r="AB23" s="1470">
        <f t="shared" si="47"/>
        <v>0</v>
      </c>
      <c r="AC23" s="1031">
        <f t="shared" si="48"/>
        <v>0</v>
      </c>
      <c r="AD23" s="1090">
        <f t="shared" si="49"/>
        <v>0</v>
      </c>
      <c r="AE23" s="1031">
        <f t="shared" si="50"/>
        <v>0</v>
      </c>
      <c r="AF23" s="1031">
        <v>0</v>
      </c>
      <c r="AG23" s="1031">
        <f t="shared" si="51"/>
        <v>0</v>
      </c>
      <c r="AH23" s="1031">
        <v>0</v>
      </c>
      <c r="AI23" s="1448">
        <f t="shared" si="52"/>
        <v>0</v>
      </c>
      <c r="AJ23" s="1448">
        <f t="shared" si="53"/>
        <v>0</v>
      </c>
      <c r="AK23" s="1032">
        <f t="shared" si="54"/>
        <v>0</v>
      </c>
      <c r="AL23" s="1032">
        <f t="shared" si="33"/>
        <v>0</v>
      </c>
      <c r="AN23" s="49">
        <f t="shared" si="55"/>
        <v>0</v>
      </c>
      <c r="AO23" s="49">
        <f>-'[22]Table 5C1E-LFNO'!AL23</f>
        <v>0</v>
      </c>
      <c r="AP23">
        <f>-'[21]Table 5C1E-LFNO'!P23</f>
        <v>0</v>
      </c>
      <c r="AQ23" s="49">
        <f t="shared" si="56"/>
        <v>0</v>
      </c>
    </row>
    <row r="24" spans="1:43">
      <c r="A24" s="975">
        <v>18</v>
      </c>
      <c r="B24" s="976" t="s">
        <v>119</v>
      </c>
      <c r="C24" s="1168">
        <f>'Table 8 2.1.12 MFP Funded'!Y21</f>
        <v>0</v>
      </c>
      <c r="D24" s="978">
        <f>'Table 3 Levels 1&amp;2'!AL25</f>
        <v>5811.9176591224677</v>
      </c>
      <c r="E24" s="1072">
        <f t="shared" si="34"/>
        <v>0</v>
      </c>
      <c r="F24" s="1072">
        <f>'Table 4 Level 3'!P23</f>
        <v>845.94999999999993</v>
      </c>
      <c r="G24" s="1072">
        <f t="shared" si="35"/>
        <v>0</v>
      </c>
      <c r="H24" s="1030">
        <f t="shared" si="36"/>
        <v>0</v>
      </c>
      <c r="I24" s="1415">
        <f>'[1]Oct midyear LFNO'!K24</f>
        <v>0</v>
      </c>
      <c r="J24" s="1415">
        <f>'[1]Feb midyear LFNO '!K24</f>
        <v>0</v>
      </c>
      <c r="K24" s="1415">
        <f t="shared" si="37"/>
        <v>0</v>
      </c>
      <c r="L24" s="1434">
        <f t="shared" si="38"/>
        <v>0</v>
      </c>
      <c r="M24" s="1082">
        <f t="shared" si="39"/>
        <v>0</v>
      </c>
      <c r="N24" s="1030">
        <f t="shared" si="40"/>
        <v>0</v>
      </c>
      <c r="O24" s="1030">
        <v>0</v>
      </c>
      <c r="P24" s="1030">
        <f t="shared" si="41"/>
        <v>0</v>
      </c>
      <c r="Q24" s="1030">
        <v>0</v>
      </c>
      <c r="R24" s="1434">
        <f t="shared" si="42"/>
        <v>0</v>
      </c>
      <c r="S24" s="1434">
        <f t="shared" si="43"/>
        <v>0</v>
      </c>
      <c r="T24" s="1434"/>
      <c r="U24" s="1434">
        <f t="shared" si="44"/>
        <v>0</v>
      </c>
      <c r="V24" s="1029">
        <f>'[14]FY2012-13 Final'!K25</f>
        <v>2179</v>
      </c>
      <c r="W24" s="1031">
        <f t="shared" si="32"/>
        <v>0</v>
      </c>
      <c r="X24" s="1464">
        <f>'[20]Oct midyear LFNO'!E24</f>
        <v>0</v>
      </c>
      <c r="Y24" s="1443">
        <f t="shared" si="45"/>
        <v>0</v>
      </c>
      <c r="Z24" s="1474">
        <f>'[20]Feb midyear LFNO '!E24</f>
        <v>0</v>
      </c>
      <c r="AA24" s="1470">
        <f t="shared" si="46"/>
        <v>0</v>
      </c>
      <c r="AB24" s="1470">
        <f t="shared" si="47"/>
        <v>0</v>
      </c>
      <c r="AC24" s="1031">
        <f t="shared" si="48"/>
        <v>0</v>
      </c>
      <c r="AD24" s="1090">
        <f t="shared" si="49"/>
        <v>0</v>
      </c>
      <c r="AE24" s="1031">
        <f t="shared" si="50"/>
        <v>0</v>
      </c>
      <c r="AF24" s="1031">
        <v>0</v>
      </c>
      <c r="AG24" s="1031">
        <f t="shared" si="51"/>
        <v>0</v>
      </c>
      <c r="AH24" s="1031">
        <v>0</v>
      </c>
      <c r="AI24" s="1448">
        <f t="shared" si="52"/>
        <v>0</v>
      </c>
      <c r="AJ24" s="1448">
        <f t="shared" si="53"/>
        <v>0</v>
      </c>
      <c r="AK24" s="1032">
        <f t="shared" si="54"/>
        <v>0</v>
      </c>
      <c r="AL24" s="1032">
        <f t="shared" si="33"/>
        <v>0</v>
      </c>
      <c r="AN24" s="49">
        <f t="shared" si="55"/>
        <v>0</v>
      </c>
      <c r="AO24" s="49">
        <f>-'[22]Table 5C1E-LFNO'!AL24</f>
        <v>0</v>
      </c>
      <c r="AP24">
        <f>-'[21]Table 5C1E-LFNO'!P24</f>
        <v>0</v>
      </c>
      <c r="AQ24" s="49">
        <f t="shared" si="56"/>
        <v>0</v>
      </c>
    </row>
    <row r="25" spans="1:43">
      <c r="A25" s="975">
        <v>19</v>
      </c>
      <c r="B25" s="976" t="s">
        <v>120</v>
      </c>
      <c r="C25" s="1168">
        <f>'Table 8 2.1.12 MFP Funded'!Y22</f>
        <v>0</v>
      </c>
      <c r="D25" s="978">
        <f>'Table 3 Levels 1&amp;2'!AL26</f>
        <v>5201.7687653250778</v>
      </c>
      <c r="E25" s="1072">
        <f t="shared" si="34"/>
        <v>0</v>
      </c>
      <c r="F25" s="1072">
        <f>'Table 4 Level 3'!P24</f>
        <v>905.43</v>
      </c>
      <c r="G25" s="1072">
        <f t="shared" si="35"/>
        <v>0</v>
      </c>
      <c r="H25" s="1030">
        <f t="shared" si="36"/>
        <v>0</v>
      </c>
      <c r="I25" s="1415">
        <f>'[1]Oct midyear LFNO'!K25</f>
        <v>0</v>
      </c>
      <c r="J25" s="1415">
        <f>'[1]Feb midyear LFNO '!K25</f>
        <v>0</v>
      </c>
      <c r="K25" s="1415">
        <f t="shared" si="37"/>
        <v>0</v>
      </c>
      <c r="L25" s="1434">
        <f t="shared" si="38"/>
        <v>0</v>
      </c>
      <c r="M25" s="1082">
        <f t="shared" si="39"/>
        <v>0</v>
      </c>
      <c r="N25" s="1030">
        <f t="shared" si="40"/>
        <v>0</v>
      </c>
      <c r="O25" s="1030">
        <v>0</v>
      </c>
      <c r="P25" s="1030">
        <f t="shared" si="41"/>
        <v>0</v>
      </c>
      <c r="Q25" s="1030">
        <v>0</v>
      </c>
      <c r="R25" s="1434">
        <f t="shared" si="42"/>
        <v>0</v>
      </c>
      <c r="S25" s="1434">
        <f t="shared" si="43"/>
        <v>0</v>
      </c>
      <c r="T25" s="1434"/>
      <c r="U25" s="1434">
        <f t="shared" si="44"/>
        <v>0</v>
      </c>
      <c r="V25" s="1029">
        <f>'[14]FY2012-13 Final'!K26</f>
        <v>2736</v>
      </c>
      <c r="W25" s="1031">
        <f t="shared" si="32"/>
        <v>0</v>
      </c>
      <c r="X25" s="1464">
        <f>'[20]Oct midyear LFNO'!E25</f>
        <v>0</v>
      </c>
      <c r="Y25" s="1443">
        <f t="shared" si="45"/>
        <v>0</v>
      </c>
      <c r="Z25" s="1474">
        <f>'[20]Feb midyear LFNO '!E25</f>
        <v>0</v>
      </c>
      <c r="AA25" s="1470">
        <f t="shared" si="46"/>
        <v>0</v>
      </c>
      <c r="AB25" s="1470">
        <f t="shared" si="47"/>
        <v>0</v>
      </c>
      <c r="AC25" s="1031">
        <f t="shared" si="48"/>
        <v>0</v>
      </c>
      <c r="AD25" s="1090">
        <f t="shared" si="49"/>
        <v>0</v>
      </c>
      <c r="AE25" s="1031">
        <f t="shared" si="50"/>
        <v>0</v>
      </c>
      <c r="AF25" s="1031">
        <v>0</v>
      </c>
      <c r="AG25" s="1031">
        <f t="shared" si="51"/>
        <v>0</v>
      </c>
      <c r="AH25" s="1031">
        <v>0</v>
      </c>
      <c r="AI25" s="1448">
        <f t="shared" si="52"/>
        <v>0</v>
      </c>
      <c r="AJ25" s="1448">
        <f t="shared" si="53"/>
        <v>0</v>
      </c>
      <c r="AK25" s="1032">
        <f t="shared" si="54"/>
        <v>0</v>
      </c>
      <c r="AL25" s="1032">
        <f t="shared" si="33"/>
        <v>0</v>
      </c>
      <c r="AN25" s="49">
        <f t="shared" si="55"/>
        <v>0</v>
      </c>
      <c r="AO25" s="49">
        <f>-'[22]Table 5C1E-LFNO'!AL25</f>
        <v>0</v>
      </c>
      <c r="AP25">
        <f>-'[21]Table 5C1E-LFNO'!P25</f>
        <v>0</v>
      </c>
      <c r="AQ25" s="49">
        <f t="shared" si="56"/>
        <v>0</v>
      </c>
    </row>
    <row r="26" spans="1:43">
      <c r="A26" s="979">
        <v>20</v>
      </c>
      <c r="B26" s="980" t="s">
        <v>121</v>
      </c>
      <c r="C26" s="1169">
        <f>'Table 8 2.1.12 MFP Funded'!Y23</f>
        <v>0</v>
      </c>
      <c r="D26" s="982">
        <f>'Table 3 Levels 1&amp;2'!AL27</f>
        <v>5446.6066076220959</v>
      </c>
      <c r="E26" s="1073">
        <f t="shared" si="34"/>
        <v>0</v>
      </c>
      <c r="F26" s="1073">
        <f>'Table 4 Level 3'!P25</f>
        <v>586.16999999999996</v>
      </c>
      <c r="G26" s="1073">
        <f t="shared" si="35"/>
        <v>0</v>
      </c>
      <c r="H26" s="1033">
        <f t="shared" si="36"/>
        <v>0</v>
      </c>
      <c r="I26" s="1416">
        <f>'[1]Oct midyear LFNO'!K26</f>
        <v>0</v>
      </c>
      <c r="J26" s="1416">
        <f>'[1]Feb midyear LFNO '!K26</f>
        <v>0</v>
      </c>
      <c r="K26" s="1416">
        <f t="shared" si="37"/>
        <v>0</v>
      </c>
      <c r="L26" s="1435">
        <f t="shared" si="38"/>
        <v>0</v>
      </c>
      <c r="M26" s="1083">
        <f t="shared" si="39"/>
        <v>0</v>
      </c>
      <c r="N26" s="1033">
        <f t="shared" si="40"/>
        <v>0</v>
      </c>
      <c r="O26" s="1033">
        <v>0</v>
      </c>
      <c r="P26" s="1033">
        <f t="shared" si="41"/>
        <v>0</v>
      </c>
      <c r="Q26" s="1033">
        <v>0</v>
      </c>
      <c r="R26" s="1435">
        <f t="shared" si="42"/>
        <v>0</v>
      </c>
      <c r="S26" s="1435">
        <f t="shared" si="43"/>
        <v>0</v>
      </c>
      <c r="T26" s="1435"/>
      <c r="U26" s="1435">
        <f t="shared" si="44"/>
        <v>0</v>
      </c>
      <c r="V26" s="1034">
        <f>'[14]FY2012-13 Final'!K27</f>
        <v>2337</v>
      </c>
      <c r="W26" s="1035">
        <f t="shared" si="32"/>
        <v>0</v>
      </c>
      <c r="X26" s="1465">
        <f>'[20]Oct midyear LFNO'!E26</f>
        <v>0</v>
      </c>
      <c r="Y26" s="1445">
        <f t="shared" si="45"/>
        <v>0</v>
      </c>
      <c r="Z26" s="1475">
        <f>'[20]Feb midyear LFNO '!E26</f>
        <v>0</v>
      </c>
      <c r="AA26" s="1471">
        <f t="shared" si="46"/>
        <v>0</v>
      </c>
      <c r="AB26" s="1471">
        <f t="shared" si="47"/>
        <v>0</v>
      </c>
      <c r="AC26" s="1035">
        <f t="shared" si="48"/>
        <v>0</v>
      </c>
      <c r="AD26" s="1091">
        <f t="shared" si="49"/>
        <v>0</v>
      </c>
      <c r="AE26" s="1035">
        <f t="shared" si="50"/>
        <v>0</v>
      </c>
      <c r="AF26" s="1035">
        <v>0</v>
      </c>
      <c r="AG26" s="1035">
        <f t="shared" si="51"/>
        <v>0</v>
      </c>
      <c r="AH26" s="1035">
        <v>0</v>
      </c>
      <c r="AI26" s="1450">
        <f t="shared" si="52"/>
        <v>0</v>
      </c>
      <c r="AJ26" s="1450">
        <f t="shared" si="53"/>
        <v>0</v>
      </c>
      <c r="AK26" s="1036">
        <f t="shared" si="54"/>
        <v>0</v>
      </c>
      <c r="AL26" s="1036">
        <f t="shared" si="33"/>
        <v>0</v>
      </c>
      <c r="AN26" s="49">
        <f t="shared" si="55"/>
        <v>0</v>
      </c>
      <c r="AO26" s="49">
        <f>-'[22]Table 5C1E-LFNO'!AL26</f>
        <v>0</v>
      </c>
      <c r="AP26">
        <f>-'[21]Table 5C1E-LFNO'!P26</f>
        <v>0</v>
      </c>
      <c r="AQ26" s="49">
        <f t="shared" si="56"/>
        <v>0</v>
      </c>
    </row>
    <row r="27" spans="1:43">
      <c r="A27" s="968">
        <v>21</v>
      </c>
      <c r="B27" s="969" t="s">
        <v>122</v>
      </c>
      <c r="C27" s="1170">
        <f>'Table 8 2.1.12 MFP Funded'!Y24</f>
        <v>0</v>
      </c>
      <c r="D27" s="971">
        <f>'Table 3 Levels 1&amp;2'!AL28</f>
        <v>5761.9798531850847</v>
      </c>
      <c r="E27" s="1071">
        <f t="shared" si="34"/>
        <v>0</v>
      </c>
      <c r="F27" s="1071">
        <f>'Table 4 Level 3'!P26</f>
        <v>610.35</v>
      </c>
      <c r="G27" s="1071">
        <f t="shared" si="35"/>
        <v>0</v>
      </c>
      <c r="H27" s="972">
        <f t="shared" si="36"/>
        <v>0</v>
      </c>
      <c r="I27" s="1414">
        <f>'[1]Oct midyear LFNO'!K27</f>
        <v>0</v>
      </c>
      <c r="J27" s="1414">
        <f>'[1]Feb midyear LFNO '!K27</f>
        <v>0</v>
      </c>
      <c r="K27" s="1414">
        <f t="shared" si="37"/>
        <v>0</v>
      </c>
      <c r="L27" s="1213">
        <f t="shared" si="38"/>
        <v>0</v>
      </c>
      <c r="M27" s="1081">
        <f t="shared" si="39"/>
        <v>0</v>
      </c>
      <c r="N27" s="972">
        <f t="shared" si="40"/>
        <v>0</v>
      </c>
      <c r="O27" s="972">
        <v>0</v>
      </c>
      <c r="P27" s="972">
        <f t="shared" si="41"/>
        <v>0</v>
      </c>
      <c r="Q27" s="972">
        <v>0</v>
      </c>
      <c r="R27" s="1213">
        <f t="shared" si="42"/>
        <v>0</v>
      </c>
      <c r="S27" s="1213">
        <f t="shared" si="43"/>
        <v>0</v>
      </c>
      <c r="T27" s="1213"/>
      <c r="U27" s="1213">
        <f t="shared" si="44"/>
        <v>0</v>
      </c>
      <c r="V27" s="1029">
        <f>'[14]FY2012-13 Final'!K28</f>
        <v>2293</v>
      </c>
      <c r="W27" s="973">
        <f t="shared" si="32"/>
        <v>0</v>
      </c>
      <c r="X27" s="1466">
        <f>'[20]Oct midyear LFNO'!E27</f>
        <v>0</v>
      </c>
      <c r="Y27" s="1444">
        <f t="shared" si="45"/>
        <v>0</v>
      </c>
      <c r="Z27" s="1466">
        <f>'[20]Feb midyear LFNO '!E27</f>
        <v>0</v>
      </c>
      <c r="AA27" s="1444">
        <f t="shared" si="46"/>
        <v>0</v>
      </c>
      <c r="AB27" s="1444">
        <f t="shared" si="47"/>
        <v>0</v>
      </c>
      <c r="AC27" s="973">
        <f t="shared" si="48"/>
        <v>0</v>
      </c>
      <c r="AD27" s="1089">
        <f t="shared" si="49"/>
        <v>0</v>
      </c>
      <c r="AE27" s="973">
        <f t="shared" si="50"/>
        <v>0</v>
      </c>
      <c r="AF27" s="973">
        <v>0</v>
      </c>
      <c r="AG27" s="973">
        <f t="shared" si="51"/>
        <v>0</v>
      </c>
      <c r="AH27" s="973">
        <v>0</v>
      </c>
      <c r="AI27" s="1214">
        <f t="shared" si="52"/>
        <v>0</v>
      </c>
      <c r="AJ27" s="1214">
        <f t="shared" si="53"/>
        <v>0</v>
      </c>
      <c r="AK27" s="974">
        <f t="shared" si="54"/>
        <v>0</v>
      </c>
      <c r="AL27" s="974">
        <f t="shared" si="33"/>
        <v>0</v>
      </c>
      <c r="AN27" s="49">
        <f t="shared" si="55"/>
        <v>0</v>
      </c>
      <c r="AO27" s="49">
        <f>-'[22]Table 5C1E-LFNO'!AL27</f>
        <v>0</v>
      </c>
      <c r="AP27">
        <f>-'[21]Table 5C1E-LFNO'!P27</f>
        <v>0</v>
      </c>
      <c r="AQ27" s="49">
        <f t="shared" si="56"/>
        <v>0</v>
      </c>
    </row>
    <row r="28" spans="1:43">
      <c r="A28" s="975">
        <v>22</v>
      </c>
      <c r="B28" s="976" t="s">
        <v>123</v>
      </c>
      <c r="C28" s="1168">
        <f>'Table 8 2.1.12 MFP Funded'!Y25</f>
        <v>0</v>
      </c>
      <c r="D28" s="978">
        <f>'Table 3 Levels 1&amp;2'!AL29</f>
        <v>6212.5932514983215</v>
      </c>
      <c r="E28" s="1072">
        <f t="shared" si="34"/>
        <v>0</v>
      </c>
      <c r="F28" s="1072">
        <f>'Table 4 Level 3'!P27</f>
        <v>496.36</v>
      </c>
      <c r="G28" s="1072">
        <f t="shared" si="35"/>
        <v>0</v>
      </c>
      <c r="H28" s="1030">
        <f t="shared" si="36"/>
        <v>0</v>
      </c>
      <c r="I28" s="1415">
        <f>'[1]Oct midyear LFNO'!K28</f>
        <v>0</v>
      </c>
      <c r="J28" s="1415">
        <f>'[1]Feb midyear LFNO '!K28</f>
        <v>0</v>
      </c>
      <c r="K28" s="1415">
        <f t="shared" si="37"/>
        <v>0</v>
      </c>
      <c r="L28" s="1434">
        <f t="shared" si="38"/>
        <v>0</v>
      </c>
      <c r="M28" s="1082">
        <f t="shared" si="39"/>
        <v>0</v>
      </c>
      <c r="N28" s="1030">
        <f t="shared" si="40"/>
        <v>0</v>
      </c>
      <c r="O28" s="1030">
        <v>0</v>
      </c>
      <c r="P28" s="1030">
        <f t="shared" si="41"/>
        <v>0</v>
      </c>
      <c r="Q28" s="1030">
        <v>0</v>
      </c>
      <c r="R28" s="1434">
        <f t="shared" si="42"/>
        <v>0</v>
      </c>
      <c r="S28" s="1434">
        <f t="shared" si="43"/>
        <v>0</v>
      </c>
      <c r="T28" s="1434"/>
      <c r="U28" s="1434">
        <f t="shared" si="44"/>
        <v>0</v>
      </c>
      <c r="V28" s="1029">
        <f>'[14]FY2012-13 Final'!K29</f>
        <v>1412</v>
      </c>
      <c r="W28" s="1031">
        <f t="shared" si="32"/>
        <v>0</v>
      </c>
      <c r="X28" s="1464">
        <f>'[20]Oct midyear LFNO'!E28</f>
        <v>0</v>
      </c>
      <c r="Y28" s="1443">
        <f t="shared" si="45"/>
        <v>0</v>
      </c>
      <c r="Z28" s="1474">
        <f>'[20]Feb midyear LFNO '!E28</f>
        <v>0</v>
      </c>
      <c r="AA28" s="1470">
        <f t="shared" si="46"/>
        <v>0</v>
      </c>
      <c r="AB28" s="1470">
        <f t="shared" si="47"/>
        <v>0</v>
      </c>
      <c r="AC28" s="1031">
        <f t="shared" si="48"/>
        <v>0</v>
      </c>
      <c r="AD28" s="1090">
        <f t="shared" si="49"/>
        <v>0</v>
      </c>
      <c r="AE28" s="1031">
        <f t="shared" si="50"/>
        <v>0</v>
      </c>
      <c r="AF28" s="1031">
        <v>0</v>
      </c>
      <c r="AG28" s="1031">
        <f t="shared" si="51"/>
        <v>0</v>
      </c>
      <c r="AH28" s="1031">
        <v>0</v>
      </c>
      <c r="AI28" s="1448">
        <f t="shared" si="52"/>
        <v>0</v>
      </c>
      <c r="AJ28" s="1448">
        <f t="shared" si="53"/>
        <v>0</v>
      </c>
      <c r="AK28" s="1032">
        <f t="shared" si="54"/>
        <v>0</v>
      </c>
      <c r="AL28" s="1032">
        <f t="shared" si="33"/>
        <v>0</v>
      </c>
      <c r="AN28" s="49">
        <f t="shared" si="55"/>
        <v>0</v>
      </c>
      <c r="AO28" s="49">
        <f>-'[22]Table 5C1E-LFNO'!AL28</f>
        <v>0</v>
      </c>
      <c r="AP28">
        <f>-'[21]Table 5C1E-LFNO'!P28</f>
        <v>0</v>
      </c>
      <c r="AQ28" s="49">
        <f t="shared" si="56"/>
        <v>0</v>
      </c>
    </row>
    <row r="29" spans="1:43">
      <c r="A29" s="975">
        <v>23</v>
      </c>
      <c r="B29" s="976" t="s">
        <v>124</v>
      </c>
      <c r="C29" s="1168">
        <f>'Table 8 2.1.12 MFP Funded'!Y26</f>
        <v>0</v>
      </c>
      <c r="D29" s="978">
        <f>'Table 3 Levels 1&amp;2'!AL30</f>
        <v>4824.5074836036147</v>
      </c>
      <c r="E29" s="1072">
        <f t="shared" si="34"/>
        <v>0</v>
      </c>
      <c r="F29" s="1072">
        <f>'Table 4 Level 3'!P28</f>
        <v>688.58</v>
      </c>
      <c r="G29" s="1072">
        <f t="shared" si="35"/>
        <v>0</v>
      </c>
      <c r="H29" s="1030">
        <f t="shared" si="36"/>
        <v>0</v>
      </c>
      <c r="I29" s="1415">
        <f>'[1]Oct midyear LFNO'!K29</f>
        <v>0</v>
      </c>
      <c r="J29" s="1415">
        <f>'[1]Feb midyear LFNO '!K29</f>
        <v>0</v>
      </c>
      <c r="K29" s="1415">
        <f t="shared" si="37"/>
        <v>0</v>
      </c>
      <c r="L29" s="1434">
        <f t="shared" si="38"/>
        <v>0</v>
      </c>
      <c r="M29" s="1082">
        <f t="shared" si="39"/>
        <v>0</v>
      </c>
      <c r="N29" s="1030">
        <f t="shared" si="40"/>
        <v>0</v>
      </c>
      <c r="O29" s="1030">
        <v>0</v>
      </c>
      <c r="P29" s="1030">
        <f t="shared" si="41"/>
        <v>0</v>
      </c>
      <c r="Q29" s="1030">
        <v>0</v>
      </c>
      <c r="R29" s="1434">
        <f t="shared" si="42"/>
        <v>0</v>
      </c>
      <c r="S29" s="1434">
        <f t="shared" si="43"/>
        <v>0</v>
      </c>
      <c r="T29" s="1434"/>
      <c r="U29" s="1434">
        <f t="shared" si="44"/>
        <v>0</v>
      </c>
      <c r="V29" s="1029">
        <f>'[14]FY2012-13 Final'!K30</f>
        <v>3278</v>
      </c>
      <c r="W29" s="1031">
        <f t="shared" si="32"/>
        <v>0</v>
      </c>
      <c r="X29" s="1464">
        <f>'[20]Oct midyear LFNO'!E29</f>
        <v>0</v>
      </c>
      <c r="Y29" s="1443">
        <f t="shared" si="45"/>
        <v>0</v>
      </c>
      <c r="Z29" s="1474">
        <f>'[20]Feb midyear LFNO '!E29</f>
        <v>0</v>
      </c>
      <c r="AA29" s="1470">
        <f t="shared" si="46"/>
        <v>0</v>
      </c>
      <c r="AB29" s="1470">
        <f t="shared" si="47"/>
        <v>0</v>
      </c>
      <c r="AC29" s="1031">
        <f t="shared" si="48"/>
        <v>0</v>
      </c>
      <c r="AD29" s="1090">
        <f t="shared" si="49"/>
        <v>0</v>
      </c>
      <c r="AE29" s="1031">
        <f t="shared" si="50"/>
        <v>0</v>
      </c>
      <c r="AF29" s="1031">
        <v>0</v>
      </c>
      <c r="AG29" s="1031">
        <f t="shared" si="51"/>
        <v>0</v>
      </c>
      <c r="AH29" s="1031">
        <v>0</v>
      </c>
      <c r="AI29" s="1448">
        <f t="shared" si="52"/>
        <v>0</v>
      </c>
      <c r="AJ29" s="1448">
        <f t="shared" si="53"/>
        <v>0</v>
      </c>
      <c r="AK29" s="1032">
        <f t="shared" si="54"/>
        <v>0</v>
      </c>
      <c r="AL29" s="1032">
        <f t="shared" si="33"/>
        <v>0</v>
      </c>
      <c r="AN29" s="49">
        <f t="shared" si="55"/>
        <v>0</v>
      </c>
      <c r="AO29" s="49">
        <f>-'[22]Table 5C1E-LFNO'!AL29</f>
        <v>0</v>
      </c>
      <c r="AP29">
        <f>-'[21]Table 5C1E-LFNO'!P29</f>
        <v>0</v>
      </c>
      <c r="AQ29" s="49">
        <f t="shared" si="56"/>
        <v>0</v>
      </c>
    </row>
    <row r="30" spans="1:43">
      <c r="A30" s="975">
        <v>24</v>
      </c>
      <c r="B30" s="976" t="s">
        <v>125</v>
      </c>
      <c r="C30" s="1168">
        <f>'Table 8 2.1.12 MFP Funded'!Y27</f>
        <v>0</v>
      </c>
      <c r="D30" s="978">
        <f>'Table 3 Levels 1&amp;2'!AL31</f>
        <v>2654.5104003578617</v>
      </c>
      <c r="E30" s="1072">
        <f t="shared" si="34"/>
        <v>0</v>
      </c>
      <c r="F30" s="1072">
        <f>'Table 4 Level 3'!P29</f>
        <v>854.24999999999989</v>
      </c>
      <c r="G30" s="1072">
        <f t="shared" si="35"/>
        <v>0</v>
      </c>
      <c r="H30" s="1030">
        <f t="shared" si="36"/>
        <v>0</v>
      </c>
      <c r="I30" s="1415">
        <f>'[1]Oct midyear LFNO'!K30</f>
        <v>0</v>
      </c>
      <c r="J30" s="1415">
        <f>'[1]Feb midyear LFNO '!K30</f>
        <v>0</v>
      </c>
      <c r="K30" s="1415">
        <f t="shared" si="37"/>
        <v>0</v>
      </c>
      <c r="L30" s="1434">
        <f t="shared" si="38"/>
        <v>0</v>
      </c>
      <c r="M30" s="1082">
        <f t="shared" si="39"/>
        <v>0</v>
      </c>
      <c r="N30" s="1030">
        <f t="shared" si="40"/>
        <v>0</v>
      </c>
      <c r="O30" s="1030">
        <v>0</v>
      </c>
      <c r="P30" s="1030">
        <f t="shared" si="41"/>
        <v>0</v>
      </c>
      <c r="Q30" s="1030">
        <v>0</v>
      </c>
      <c r="R30" s="1434">
        <f t="shared" si="42"/>
        <v>0</v>
      </c>
      <c r="S30" s="1434">
        <f t="shared" si="43"/>
        <v>0</v>
      </c>
      <c r="T30" s="1434"/>
      <c r="U30" s="1434">
        <f t="shared" si="44"/>
        <v>0</v>
      </c>
      <c r="V30" s="1029">
        <f>'[14]FY2012-13 Final'!K31</f>
        <v>9311</v>
      </c>
      <c r="W30" s="1031">
        <f t="shared" si="32"/>
        <v>0</v>
      </c>
      <c r="X30" s="1464">
        <f>'[20]Oct midyear LFNO'!E30</f>
        <v>0</v>
      </c>
      <c r="Y30" s="1443">
        <f t="shared" si="45"/>
        <v>0</v>
      </c>
      <c r="Z30" s="1474">
        <f>'[20]Feb midyear LFNO '!E30</f>
        <v>0</v>
      </c>
      <c r="AA30" s="1470">
        <f t="shared" si="46"/>
        <v>0</v>
      </c>
      <c r="AB30" s="1470">
        <f t="shared" si="47"/>
        <v>0</v>
      </c>
      <c r="AC30" s="1031">
        <f t="shared" si="48"/>
        <v>0</v>
      </c>
      <c r="AD30" s="1090">
        <f t="shared" si="49"/>
        <v>0</v>
      </c>
      <c r="AE30" s="1031">
        <f t="shared" si="50"/>
        <v>0</v>
      </c>
      <c r="AF30" s="1031">
        <v>0</v>
      </c>
      <c r="AG30" s="1031">
        <f t="shared" si="51"/>
        <v>0</v>
      </c>
      <c r="AH30" s="1031">
        <v>0</v>
      </c>
      <c r="AI30" s="1448">
        <f t="shared" si="52"/>
        <v>0</v>
      </c>
      <c r="AJ30" s="1448">
        <f t="shared" si="53"/>
        <v>0</v>
      </c>
      <c r="AK30" s="1032">
        <f t="shared" si="54"/>
        <v>0</v>
      </c>
      <c r="AL30" s="1032">
        <f t="shared" si="33"/>
        <v>0</v>
      </c>
      <c r="AN30" s="49">
        <f t="shared" si="55"/>
        <v>0</v>
      </c>
      <c r="AO30" s="49">
        <f>-'[22]Table 5C1E-LFNO'!AL30</f>
        <v>0</v>
      </c>
      <c r="AP30">
        <f>-'[21]Table 5C1E-LFNO'!P30</f>
        <v>0</v>
      </c>
      <c r="AQ30" s="49">
        <f t="shared" si="56"/>
        <v>0</v>
      </c>
    </row>
    <row r="31" spans="1:43">
      <c r="A31" s="979">
        <v>25</v>
      </c>
      <c r="B31" s="980" t="s">
        <v>126</v>
      </c>
      <c r="C31" s="1169">
        <f>'Table 8 2.1.12 MFP Funded'!Y28</f>
        <v>0</v>
      </c>
      <c r="D31" s="982">
        <f>'Table 3 Levels 1&amp;2'!AL32</f>
        <v>3876.6607101712493</v>
      </c>
      <c r="E31" s="1073">
        <f t="shared" si="34"/>
        <v>0</v>
      </c>
      <c r="F31" s="1073">
        <f>'Table 4 Level 3'!P30</f>
        <v>653.73</v>
      </c>
      <c r="G31" s="1073">
        <f t="shared" si="35"/>
        <v>0</v>
      </c>
      <c r="H31" s="1033">
        <f t="shared" si="36"/>
        <v>0</v>
      </c>
      <c r="I31" s="1416">
        <f>'[1]Oct midyear LFNO'!K31</f>
        <v>0</v>
      </c>
      <c r="J31" s="1416">
        <f>'[1]Feb midyear LFNO '!K31</f>
        <v>0</v>
      </c>
      <c r="K31" s="1416">
        <f t="shared" si="37"/>
        <v>0</v>
      </c>
      <c r="L31" s="1435">
        <f t="shared" si="38"/>
        <v>0</v>
      </c>
      <c r="M31" s="1083">
        <f t="shared" si="39"/>
        <v>0</v>
      </c>
      <c r="N31" s="1033">
        <f t="shared" si="40"/>
        <v>0</v>
      </c>
      <c r="O31" s="1033">
        <v>0</v>
      </c>
      <c r="P31" s="1033">
        <f t="shared" si="41"/>
        <v>0</v>
      </c>
      <c r="Q31" s="1033">
        <v>0</v>
      </c>
      <c r="R31" s="1435">
        <f t="shared" si="42"/>
        <v>0</v>
      </c>
      <c r="S31" s="1435">
        <f t="shared" si="43"/>
        <v>0</v>
      </c>
      <c r="T31" s="1435"/>
      <c r="U31" s="1435">
        <f t="shared" si="44"/>
        <v>0</v>
      </c>
      <c r="V31" s="1034">
        <f>'[14]FY2012-13 Final'!K32</f>
        <v>5361</v>
      </c>
      <c r="W31" s="1035">
        <f t="shared" si="32"/>
        <v>0</v>
      </c>
      <c r="X31" s="1465">
        <f>'[20]Oct midyear LFNO'!E31</f>
        <v>0</v>
      </c>
      <c r="Y31" s="1445">
        <f t="shared" si="45"/>
        <v>0</v>
      </c>
      <c r="Z31" s="1475">
        <f>'[20]Feb midyear LFNO '!E31</f>
        <v>0</v>
      </c>
      <c r="AA31" s="1471">
        <f t="shared" si="46"/>
        <v>0</v>
      </c>
      <c r="AB31" s="1471">
        <f t="shared" si="47"/>
        <v>0</v>
      </c>
      <c r="AC31" s="1035">
        <f t="shared" si="48"/>
        <v>0</v>
      </c>
      <c r="AD31" s="1091">
        <f t="shared" si="49"/>
        <v>0</v>
      </c>
      <c r="AE31" s="1035">
        <f t="shared" si="50"/>
        <v>0</v>
      </c>
      <c r="AF31" s="1035">
        <v>0</v>
      </c>
      <c r="AG31" s="1035">
        <f t="shared" si="51"/>
        <v>0</v>
      </c>
      <c r="AH31" s="1035">
        <v>0</v>
      </c>
      <c r="AI31" s="1450">
        <f t="shared" si="52"/>
        <v>0</v>
      </c>
      <c r="AJ31" s="1450">
        <f t="shared" si="53"/>
        <v>0</v>
      </c>
      <c r="AK31" s="1036">
        <f t="shared" si="54"/>
        <v>0</v>
      </c>
      <c r="AL31" s="1036">
        <f t="shared" si="33"/>
        <v>0</v>
      </c>
      <c r="AN31" s="49">
        <f t="shared" si="55"/>
        <v>0</v>
      </c>
      <c r="AO31" s="49">
        <f>-'[22]Table 5C1E-LFNO'!AL31</f>
        <v>0</v>
      </c>
      <c r="AP31">
        <f>-'[21]Table 5C1E-LFNO'!P31</f>
        <v>0</v>
      </c>
      <c r="AQ31" s="49">
        <f t="shared" si="56"/>
        <v>0</v>
      </c>
    </row>
    <row r="32" spans="1:43">
      <c r="A32" s="968">
        <v>26</v>
      </c>
      <c r="B32" s="969" t="s">
        <v>127</v>
      </c>
      <c r="C32" s="1170">
        <f>'Table 8 2.1.12 MFP Funded'!Y29</f>
        <v>12</v>
      </c>
      <c r="D32" s="971">
        <f>'Table 3 Levels 1&amp;2'!AL33</f>
        <v>3130.9087022137969</v>
      </c>
      <c r="E32" s="1071">
        <f t="shared" si="34"/>
        <v>37570.904426565561</v>
      </c>
      <c r="F32" s="1071">
        <f>'Table 4 Level 3'!P31</f>
        <v>836.83</v>
      </c>
      <c r="G32" s="1071">
        <f t="shared" si="35"/>
        <v>10041.960000000001</v>
      </c>
      <c r="H32" s="972">
        <f t="shared" si="36"/>
        <v>47612.86442656556</v>
      </c>
      <c r="I32" s="1414">
        <f>'[1]Oct midyear LFNO'!K32</f>
        <v>178548.24159962084</v>
      </c>
      <c r="J32" s="1414">
        <f>'[1]Feb midyear LFNO '!K32</f>
        <v>-15870.954808855187</v>
      </c>
      <c r="K32" s="1414">
        <f t="shared" si="37"/>
        <v>162677.28679076565</v>
      </c>
      <c r="L32" s="1213">
        <f t="shared" si="38"/>
        <v>210290.15121733121</v>
      </c>
      <c r="M32" s="1081">
        <f t="shared" si="39"/>
        <v>-525.72537804332808</v>
      </c>
      <c r="N32" s="972">
        <f t="shared" si="40"/>
        <v>209764.42583928787</v>
      </c>
      <c r="O32" s="972">
        <v>0</v>
      </c>
      <c r="P32" s="972">
        <f t="shared" si="41"/>
        <v>209764.42583928787</v>
      </c>
      <c r="Q32" s="972">
        <f>3973+15891+16288+16288+16288+16288+16288+16288+23241+23241</f>
        <v>164074</v>
      </c>
      <c r="R32" s="1213">
        <f t="shared" si="42"/>
        <v>45690.425839287869</v>
      </c>
      <c r="S32" s="1213">
        <f t="shared" si="43"/>
        <v>22845.212919643935</v>
      </c>
      <c r="T32" s="1213"/>
      <c r="U32" s="1213">
        <f t="shared" si="44"/>
        <v>209764.42583928787</v>
      </c>
      <c r="V32" s="1029">
        <f>'[14]FY2012-13 Final'!K33</f>
        <v>5202</v>
      </c>
      <c r="W32" s="973">
        <f t="shared" si="32"/>
        <v>62424</v>
      </c>
      <c r="X32" s="1466">
        <f>'[20]Oct midyear LFNO'!E32</f>
        <v>45</v>
      </c>
      <c r="Y32" s="1444">
        <f t="shared" si="45"/>
        <v>234090</v>
      </c>
      <c r="Z32" s="1466">
        <f>'[20]Feb midyear LFNO '!E32</f>
        <v>-8</v>
      </c>
      <c r="AA32" s="1444">
        <f>Z32*(V32*0.5)</f>
        <v>-20808</v>
      </c>
      <c r="AB32" s="1444">
        <f t="shared" si="47"/>
        <v>213282</v>
      </c>
      <c r="AC32" s="973">
        <f t="shared" si="48"/>
        <v>275706</v>
      </c>
      <c r="AD32" s="1089">
        <f t="shared" si="49"/>
        <v>-689.26499999999999</v>
      </c>
      <c r="AE32" s="973">
        <f t="shared" si="50"/>
        <v>275016.73499999999</v>
      </c>
      <c r="AF32" s="973">
        <v>0</v>
      </c>
      <c r="AG32" s="973">
        <f t="shared" si="51"/>
        <v>275016.73499999999</v>
      </c>
      <c r="AH32" s="973">
        <f>5184+20736+21254+21254+21254+21254+21254+21254+29045+29045</f>
        <v>211534</v>
      </c>
      <c r="AI32" s="1214">
        <f t="shared" si="52"/>
        <v>63482.734999999986</v>
      </c>
      <c r="AJ32" s="1214">
        <f t="shared" si="53"/>
        <v>31741.367499999993</v>
      </c>
      <c r="AK32" s="974">
        <f t="shared" si="54"/>
        <v>484781.16083928786</v>
      </c>
      <c r="AL32" s="974">
        <f t="shared" si="33"/>
        <v>54586.580419643928</v>
      </c>
      <c r="AN32" s="49">
        <f t="shared" si="55"/>
        <v>-689.26499999999999</v>
      </c>
      <c r="AO32" s="49">
        <f>-'[22]Table 5C1E-LFNO'!AL32</f>
        <v>675.75</v>
      </c>
      <c r="AP32">
        <f>-'[21]Table 5C1E-LFNO'!P32</f>
        <v>155.91</v>
      </c>
      <c r="AQ32" s="49">
        <f t="shared" si="56"/>
        <v>-13.514999999999986</v>
      </c>
    </row>
    <row r="33" spans="1:43">
      <c r="A33" s="975">
        <v>27</v>
      </c>
      <c r="B33" s="976" t="s">
        <v>128</v>
      </c>
      <c r="C33" s="1171">
        <f>'Table 8 2.1.12 MFP Funded'!Y30</f>
        <v>0</v>
      </c>
      <c r="D33" s="984">
        <f>'Table 3 Levels 1&amp;2'!AL34</f>
        <v>5673.3097932359224</v>
      </c>
      <c r="E33" s="1074">
        <f t="shared" si="34"/>
        <v>0</v>
      </c>
      <c r="F33" s="1074">
        <f>'Table 4 Level 3'!P32</f>
        <v>693.06</v>
      </c>
      <c r="G33" s="1074">
        <f t="shared" si="35"/>
        <v>0</v>
      </c>
      <c r="H33" s="1037">
        <f t="shared" si="36"/>
        <v>0</v>
      </c>
      <c r="I33" s="1417">
        <f>'[1]Oct midyear LFNO'!K33</f>
        <v>0</v>
      </c>
      <c r="J33" s="1417">
        <f>'[1]Feb midyear LFNO '!K33</f>
        <v>0</v>
      </c>
      <c r="K33" s="1417">
        <f t="shared" si="37"/>
        <v>0</v>
      </c>
      <c r="L33" s="1436">
        <f t="shared" si="38"/>
        <v>0</v>
      </c>
      <c r="M33" s="1084">
        <f t="shared" si="39"/>
        <v>0</v>
      </c>
      <c r="N33" s="1037">
        <f t="shared" si="40"/>
        <v>0</v>
      </c>
      <c r="O33" s="1037">
        <v>0</v>
      </c>
      <c r="P33" s="1037">
        <f t="shared" si="41"/>
        <v>0</v>
      </c>
      <c r="Q33" s="1037">
        <v>0</v>
      </c>
      <c r="R33" s="1436">
        <f t="shared" si="42"/>
        <v>0</v>
      </c>
      <c r="S33" s="1436">
        <f t="shared" si="43"/>
        <v>0</v>
      </c>
      <c r="T33" s="1436"/>
      <c r="U33" s="1436">
        <f t="shared" si="44"/>
        <v>0</v>
      </c>
      <c r="V33" s="1029">
        <f>'[14]FY2012-13 Final'!K34</f>
        <v>3093</v>
      </c>
      <c r="W33" s="1031">
        <f t="shared" si="32"/>
        <v>0</v>
      </c>
      <c r="X33" s="1464">
        <f>'[20]Oct midyear LFNO'!E33</f>
        <v>0</v>
      </c>
      <c r="Y33" s="1443">
        <f t="shared" si="45"/>
        <v>0</v>
      </c>
      <c r="Z33" s="1474">
        <f>'[20]Feb midyear LFNO '!E33</f>
        <v>0</v>
      </c>
      <c r="AA33" s="1470">
        <f t="shared" si="46"/>
        <v>0</v>
      </c>
      <c r="AB33" s="1470">
        <f t="shared" si="47"/>
        <v>0</v>
      </c>
      <c r="AC33" s="1031">
        <f t="shared" si="48"/>
        <v>0</v>
      </c>
      <c r="AD33" s="1090">
        <f t="shared" si="49"/>
        <v>0</v>
      </c>
      <c r="AE33" s="1031">
        <f t="shared" si="50"/>
        <v>0</v>
      </c>
      <c r="AF33" s="1031">
        <v>0</v>
      </c>
      <c r="AG33" s="1031">
        <f t="shared" si="51"/>
        <v>0</v>
      </c>
      <c r="AH33" s="1031">
        <v>0</v>
      </c>
      <c r="AI33" s="1448">
        <f t="shared" si="52"/>
        <v>0</v>
      </c>
      <c r="AJ33" s="1448">
        <f t="shared" si="53"/>
        <v>0</v>
      </c>
      <c r="AK33" s="1032">
        <f t="shared" si="54"/>
        <v>0</v>
      </c>
      <c r="AL33" s="1032">
        <f t="shared" si="33"/>
        <v>0</v>
      </c>
      <c r="AN33" s="49">
        <f t="shared" si="55"/>
        <v>0</v>
      </c>
      <c r="AO33" s="49">
        <f>-'[22]Table 5C1E-LFNO'!AL33</f>
        <v>0</v>
      </c>
      <c r="AP33">
        <f>-'[21]Table 5C1E-LFNO'!P33</f>
        <v>0</v>
      </c>
      <c r="AQ33" s="49">
        <f t="shared" si="56"/>
        <v>0</v>
      </c>
    </row>
    <row r="34" spans="1:43">
      <c r="A34" s="975">
        <v>28</v>
      </c>
      <c r="B34" s="976" t="s">
        <v>129</v>
      </c>
      <c r="C34" s="1171">
        <f>'Table 8 2.1.12 MFP Funded'!Y31</f>
        <v>0</v>
      </c>
      <c r="D34" s="984">
        <f>'Table 3 Levels 1&amp;2'!AL35</f>
        <v>3225.6961587092846</v>
      </c>
      <c r="E34" s="1074">
        <f t="shared" si="34"/>
        <v>0</v>
      </c>
      <c r="F34" s="1074">
        <f>'Table 4 Level 3'!P33</f>
        <v>694.4</v>
      </c>
      <c r="G34" s="1074">
        <f t="shared" si="35"/>
        <v>0</v>
      </c>
      <c r="H34" s="1037">
        <f t="shared" si="36"/>
        <v>0</v>
      </c>
      <c r="I34" s="1417">
        <f>'[1]Oct midyear LFNO'!K34</f>
        <v>0</v>
      </c>
      <c r="J34" s="1417">
        <f>'[1]Feb midyear LFNO '!K34</f>
        <v>0</v>
      </c>
      <c r="K34" s="1417">
        <f t="shared" si="37"/>
        <v>0</v>
      </c>
      <c r="L34" s="1436">
        <f t="shared" si="38"/>
        <v>0</v>
      </c>
      <c r="M34" s="1084">
        <f t="shared" si="39"/>
        <v>0</v>
      </c>
      <c r="N34" s="1037">
        <f t="shared" si="40"/>
        <v>0</v>
      </c>
      <c r="O34" s="1037">
        <v>0</v>
      </c>
      <c r="P34" s="1037">
        <f t="shared" si="41"/>
        <v>0</v>
      </c>
      <c r="Q34" s="1037">
        <v>0</v>
      </c>
      <c r="R34" s="1436">
        <f t="shared" si="42"/>
        <v>0</v>
      </c>
      <c r="S34" s="1436">
        <f t="shared" si="43"/>
        <v>0</v>
      </c>
      <c r="T34" s="1436"/>
      <c r="U34" s="1436">
        <f t="shared" si="44"/>
        <v>0</v>
      </c>
      <c r="V34" s="1029">
        <f>'[14]FY2012-13 Final'!K35</f>
        <v>5338</v>
      </c>
      <c r="W34" s="1031">
        <f t="shared" si="32"/>
        <v>0</v>
      </c>
      <c r="X34" s="1464">
        <f>'[20]Oct midyear LFNO'!E34</f>
        <v>0</v>
      </c>
      <c r="Y34" s="1443">
        <f t="shared" si="45"/>
        <v>0</v>
      </c>
      <c r="Z34" s="1474">
        <f>'[20]Feb midyear LFNO '!E34</f>
        <v>0</v>
      </c>
      <c r="AA34" s="1470">
        <f t="shared" si="46"/>
        <v>0</v>
      </c>
      <c r="AB34" s="1470">
        <f t="shared" si="47"/>
        <v>0</v>
      </c>
      <c r="AC34" s="1031">
        <f t="shared" si="48"/>
        <v>0</v>
      </c>
      <c r="AD34" s="1090">
        <f t="shared" si="49"/>
        <v>0</v>
      </c>
      <c r="AE34" s="1031">
        <f t="shared" si="50"/>
        <v>0</v>
      </c>
      <c r="AF34" s="1031">
        <v>0</v>
      </c>
      <c r="AG34" s="1031">
        <f t="shared" si="51"/>
        <v>0</v>
      </c>
      <c r="AH34" s="1031">
        <v>0</v>
      </c>
      <c r="AI34" s="1448">
        <f t="shared" si="52"/>
        <v>0</v>
      </c>
      <c r="AJ34" s="1448">
        <f t="shared" si="53"/>
        <v>0</v>
      </c>
      <c r="AK34" s="1032">
        <f t="shared" si="54"/>
        <v>0</v>
      </c>
      <c r="AL34" s="1032">
        <f t="shared" si="33"/>
        <v>0</v>
      </c>
      <c r="AN34" s="49">
        <f t="shared" si="55"/>
        <v>0</v>
      </c>
      <c r="AO34" s="49">
        <f>-'[22]Table 5C1E-LFNO'!AL34</f>
        <v>0</v>
      </c>
      <c r="AP34">
        <f>-'[21]Table 5C1E-LFNO'!P34</f>
        <v>0</v>
      </c>
      <c r="AQ34" s="49">
        <f t="shared" si="56"/>
        <v>0</v>
      </c>
    </row>
    <row r="35" spans="1:43">
      <c r="A35" s="975">
        <v>29</v>
      </c>
      <c r="B35" s="976" t="s">
        <v>130</v>
      </c>
      <c r="C35" s="1171">
        <f>'Table 8 2.1.12 MFP Funded'!Y32</f>
        <v>0</v>
      </c>
      <c r="D35" s="984">
        <f>'Table 3 Levels 1&amp;2'!AL36</f>
        <v>3955.7852148385191</v>
      </c>
      <c r="E35" s="1074">
        <f t="shared" si="34"/>
        <v>0</v>
      </c>
      <c r="F35" s="1074">
        <f>'Table 4 Level 3'!P34</f>
        <v>754.94999999999993</v>
      </c>
      <c r="G35" s="1074">
        <f t="shared" si="35"/>
        <v>0</v>
      </c>
      <c r="H35" s="1037">
        <f t="shared" si="36"/>
        <v>0</v>
      </c>
      <c r="I35" s="1417">
        <f>'[1]Oct midyear LFNO'!K35</f>
        <v>0</v>
      </c>
      <c r="J35" s="1417">
        <f>'[1]Feb midyear LFNO '!K35</f>
        <v>0</v>
      </c>
      <c r="K35" s="1417">
        <f t="shared" si="37"/>
        <v>0</v>
      </c>
      <c r="L35" s="1436">
        <f t="shared" si="38"/>
        <v>0</v>
      </c>
      <c r="M35" s="1084">
        <f t="shared" si="39"/>
        <v>0</v>
      </c>
      <c r="N35" s="1037">
        <f t="shared" si="40"/>
        <v>0</v>
      </c>
      <c r="O35" s="1037">
        <v>0</v>
      </c>
      <c r="P35" s="1037">
        <f t="shared" si="41"/>
        <v>0</v>
      </c>
      <c r="Q35" s="1037">
        <v>0</v>
      </c>
      <c r="R35" s="1436">
        <f t="shared" si="42"/>
        <v>0</v>
      </c>
      <c r="S35" s="1436">
        <f t="shared" si="43"/>
        <v>0</v>
      </c>
      <c r="T35" s="1436"/>
      <c r="U35" s="1436">
        <f t="shared" si="44"/>
        <v>0</v>
      </c>
      <c r="V35" s="1029">
        <f>'[14]FY2012-13 Final'!K36</f>
        <v>4414</v>
      </c>
      <c r="W35" s="1031">
        <f t="shared" si="32"/>
        <v>0</v>
      </c>
      <c r="X35" s="1464">
        <f>'[20]Oct midyear LFNO'!E35</f>
        <v>0</v>
      </c>
      <c r="Y35" s="1443">
        <f t="shared" si="45"/>
        <v>0</v>
      </c>
      <c r="Z35" s="1474">
        <f>'[20]Feb midyear LFNO '!E35</f>
        <v>0</v>
      </c>
      <c r="AA35" s="1470">
        <f t="shared" si="46"/>
        <v>0</v>
      </c>
      <c r="AB35" s="1470">
        <f t="shared" si="47"/>
        <v>0</v>
      </c>
      <c r="AC35" s="1031">
        <f t="shared" si="48"/>
        <v>0</v>
      </c>
      <c r="AD35" s="1090">
        <f t="shared" si="49"/>
        <v>0</v>
      </c>
      <c r="AE35" s="1031">
        <f t="shared" si="50"/>
        <v>0</v>
      </c>
      <c r="AF35" s="1031">
        <v>0</v>
      </c>
      <c r="AG35" s="1031">
        <f t="shared" si="51"/>
        <v>0</v>
      </c>
      <c r="AH35" s="1031">
        <v>0</v>
      </c>
      <c r="AI35" s="1448">
        <f t="shared" si="52"/>
        <v>0</v>
      </c>
      <c r="AJ35" s="1448">
        <f t="shared" si="53"/>
        <v>0</v>
      </c>
      <c r="AK35" s="1032">
        <f t="shared" si="54"/>
        <v>0</v>
      </c>
      <c r="AL35" s="1032">
        <f t="shared" si="33"/>
        <v>0</v>
      </c>
      <c r="AN35" s="49">
        <f t="shared" si="55"/>
        <v>0</v>
      </c>
      <c r="AO35" s="49">
        <f>-'[22]Table 5C1E-LFNO'!AL35</f>
        <v>0</v>
      </c>
      <c r="AP35">
        <f>-'[21]Table 5C1E-LFNO'!P35</f>
        <v>0</v>
      </c>
      <c r="AQ35" s="49">
        <f t="shared" si="56"/>
        <v>0</v>
      </c>
    </row>
    <row r="36" spans="1:43">
      <c r="A36" s="979">
        <v>30</v>
      </c>
      <c r="B36" s="980" t="s">
        <v>131</v>
      </c>
      <c r="C36" s="1172">
        <f>'Table 8 2.1.12 MFP Funded'!Y33</f>
        <v>0</v>
      </c>
      <c r="D36" s="986">
        <f>'Table 3 Levels 1&amp;2'!AL37</f>
        <v>5609.6361466464068</v>
      </c>
      <c r="E36" s="1075">
        <f t="shared" si="34"/>
        <v>0</v>
      </c>
      <c r="F36" s="1075">
        <f>'Table 4 Level 3'!P35</f>
        <v>727.17</v>
      </c>
      <c r="G36" s="1075">
        <f t="shared" si="35"/>
        <v>0</v>
      </c>
      <c r="H36" s="1038">
        <f t="shared" si="36"/>
        <v>0</v>
      </c>
      <c r="I36" s="1418">
        <f>'[1]Oct midyear LFNO'!K36</f>
        <v>0</v>
      </c>
      <c r="J36" s="1418">
        <f>'[1]Feb midyear LFNO '!K36</f>
        <v>0</v>
      </c>
      <c r="K36" s="1418">
        <f t="shared" si="37"/>
        <v>0</v>
      </c>
      <c r="L36" s="1437">
        <f t="shared" si="38"/>
        <v>0</v>
      </c>
      <c r="M36" s="1085">
        <f t="shared" si="39"/>
        <v>0</v>
      </c>
      <c r="N36" s="1038">
        <f t="shared" si="40"/>
        <v>0</v>
      </c>
      <c r="O36" s="1038">
        <v>0</v>
      </c>
      <c r="P36" s="1038">
        <f t="shared" si="41"/>
        <v>0</v>
      </c>
      <c r="Q36" s="1038">
        <v>0</v>
      </c>
      <c r="R36" s="1437">
        <f t="shared" si="42"/>
        <v>0</v>
      </c>
      <c r="S36" s="1437">
        <f t="shared" si="43"/>
        <v>0</v>
      </c>
      <c r="T36" s="1437"/>
      <c r="U36" s="1437">
        <f t="shared" si="44"/>
        <v>0</v>
      </c>
      <c r="V36" s="1034">
        <f>'[14]FY2012-13 Final'!K37</f>
        <v>3703</v>
      </c>
      <c r="W36" s="1035">
        <f t="shared" si="32"/>
        <v>0</v>
      </c>
      <c r="X36" s="1465">
        <f>'[20]Oct midyear LFNO'!E36</f>
        <v>0</v>
      </c>
      <c r="Y36" s="1445">
        <f t="shared" si="45"/>
        <v>0</v>
      </c>
      <c r="Z36" s="1475">
        <f>'[20]Feb midyear LFNO '!E36</f>
        <v>0</v>
      </c>
      <c r="AA36" s="1471">
        <f t="shared" si="46"/>
        <v>0</v>
      </c>
      <c r="AB36" s="1471">
        <f t="shared" si="47"/>
        <v>0</v>
      </c>
      <c r="AC36" s="1035">
        <f t="shared" si="48"/>
        <v>0</v>
      </c>
      <c r="AD36" s="1091">
        <f t="shared" si="49"/>
        <v>0</v>
      </c>
      <c r="AE36" s="1035">
        <f t="shared" si="50"/>
        <v>0</v>
      </c>
      <c r="AF36" s="1035">
        <v>0</v>
      </c>
      <c r="AG36" s="1035">
        <f t="shared" si="51"/>
        <v>0</v>
      </c>
      <c r="AH36" s="1035">
        <v>0</v>
      </c>
      <c r="AI36" s="1450">
        <f t="shared" si="52"/>
        <v>0</v>
      </c>
      <c r="AJ36" s="1450">
        <f t="shared" si="53"/>
        <v>0</v>
      </c>
      <c r="AK36" s="1036">
        <f t="shared" si="54"/>
        <v>0</v>
      </c>
      <c r="AL36" s="1036">
        <f t="shared" si="33"/>
        <v>0</v>
      </c>
      <c r="AN36" s="49">
        <f t="shared" si="55"/>
        <v>0</v>
      </c>
      <c r="AO36" s="49">
        <f>-'[22]Table 5C1E-LFNO'!AL36</f>
        <v>0</v>
      </c>
      <c r="AP36">
        <f>-'[21]Table 5C1E-LFNO'!P36</f>
        <v>0</v>
      </c>
      <c r="AQ36" s="49">
        <f t="shared" si="56"/>
        <v>0</v>
      </c>
    </row>
    <row r="37" spans="1:43">
      <c r="A37" s="968">
        <v>31</v>
      </c>
      <c r="B37" s="969" t="s">
        <v>132</v>
      </c>
      <c r="C37" s="1173">
        <f>'Table 8 2.1.12 MFP Funded'!Y34</f>
        <v>0</v>
      </c>
      <c r="D37" s="988">
        <f>'Table 3 Levels 1&amp;2'!AL38</f>
        <v>4174.0937400224284</v>
      </c>
      <c r="E37" s="1076">
        <f t="shared" si="34"/>
        <v>0</v>
      </c>
      <c r="F37" s="1076">
        <f>'Table 4 Level 3'!P36</f>
        <v>620.83000000000004</v>
      </c>
      <c r="G37" s="1076">
        <f t="shared" si="35"/>
        <v>0</v>
      </c>
      <c r="H37" s="1039">
        <f t="shared" si="36"/>
        <v>0</v>
      </c>
      <c r="I37" s="1419">
        <f>'[1]Oct midyear LFNO'!K37</f>
        <v>0</v>
      </c>
      <c r="J37" s="1419">
        <f>'[1]Feb midyear LFNO '!K37</f>
        <v>0</v>
      </c>
      <c r="K37" s="1419">
        <f t="shared" si="37"/>
        <v>0</v>
      </c>
      <c r="L37" s="1211">
        <f t="shared" si="38"/>
        <v>0</v>
      </c>
      <c r="M37" s="1086">
        <f t="shared" si="39"/>
        <v>0</v>
      </c>
      <c r="N37" s="1039">
        <f t="shared" si="40"/>
        <v>0</v>
      </c>
      <c r="O37" s="1039">
        <v>0</v>
      </c>
      <c r="P37" s="1039">
        <f t="shared" si="41"/>
        <v>0</v>
      </c>
      <c r="Q37" s="1039">
        <v>0</v>
      </c>
      <c r="R37" s="1211">
        <f t="shared" si="42"/>
        <v>0</v>
      </c>
      <c r="S37" s="1211">
        <f t="shared" si="43"/>
        <v>0</v>
      </c>
      <c r="T37" s="1211"/>
      <c r="U37" s="1211">
        <f t="shared" si="44"/>
        <v>0</v>
      </c>
      <c r="V37" s="1029">
        <f>'[14]FY2012-13 Final'!K38</f>
        <v>4709</v>
      </c>
      <c r="W37" s="973">
        <f t="shared" si="32"/>
        <v>0</v>
      </c>
      <c r="X37" s="1466">
        <f>'[20]Oct midyear LFNO'!E37</f>
        <v>0</v>
      </c>
      <c r="Y37" s="1444">
        <f t="shared" si="45"/>
        <v>0</v>
      </c>
      <c r="Z37" s="1466">
        <f>'[20]Feb midyear LFNO '!E37</f>
        <v>0</v>
      </c>
      <c r="AA37" s="1444">
        <f t="shared" si="46"/>
        <v>0</v>
      </c>
      <c r="AB37" s="1444">
        <f t="shared" si="47"/>
        <v>0</v>
      </c>
      <c r="AC37" s="973">
        <f t="shared" si="48"/>
        <v>0</v>
      </c>
      <c r="AD37" s="1089">
        <f t="shared" si="49"/>
        <v>0</v>
      </c>
      <c r="AE37" s="973">
        <f t="shared" si="50"/>
        <v>0</v>
      </c>
      <c r="AF37" s="973">
        <v>0</v>
      </c>
      <c r="AG37" s="973">
        <f t="shared" si="51"/>
        <v>0</v>
      </c>
      <c r="AH37" s="973">
        <v>0</v>
      </c>
      <c r="AI37" s="1214">
        <f t="shared" si="52"/>
        <v>0</v>
      </c>
      <c r="AJ37" s="1214">
        <f t="shared" si="53"/>
        <v>0</v>
      </c>
      <c r="AK37" s="974">
        <f t="shared" si="54"/>
        <v>0</v>
      </c>
      <c r="AL37" s="974">
        <f t="shared" si="33"/>
        <v>0</v>
      </c>
      <c r="AN37" s="49">
        <f t="shared" si="55"/>
        <v>0</v>
      </c>
      <c r="AO37" s="49">
        <f>-'[22]Table 5C1E-LFNO'!AL37</f>
        <v>0</v>
      </c>
      <c r="AP37">
        <f>-'[21]Table 5C1E-LFNO'!P37</f>
        <v>0</v>
      </c>
      <c r="AQ37" s="49">
        <f t="shared" si="56"/>
        <v>0</v>
      </c>
    </row>
    <row r="38" spans="1:43">
      <c r="A38" s="975">
        <v>32</v>
      </c>
      <c r="B38" s="976" t="s">
        <v>133</v>
      </c>
      <c r="C38" s="1171">
        <f>'Table 8 2.1.12 MFP Funded'!Y35</f>
        <v>0</v>
      </c>
      <c r="D38" s="984">
        <f>'Table 3 Levels 1&amp;2'!AL39</f>
        <v>5486.1585166144778</v>
      </c>
      <c r="E38" s="1074">
        <f t="shared" si="34"/>
        <v>0</v>
      </c>
      <c r="F38" s="1074">
        <f>'Table 4 Level 3'!P37</f>
        <v>559.77</v>
      </c>
      <c r="G38" s="1074">
        <f t="shared" si="35"/>
        <v>0</v>
      </c>
      <c r="H38" s="1037">
        <f t="shared" si="36"/>
        <v>0</v>
      </c>
      <c r="I38" s="1417">
        <f>'[1]Oct midyear LFNO'!K38</f>
        <v>0</v>
      </c>
      <c r="J38" s="1417">
        <f>'[1]Feb midyear LFNO '!K38</f>
        <v>0</v>
      </c>
      <c r="K38" s="1417">
        <f t="shared" si="37"/>
        <v>0</v>
      </c>
      <c r="L38" s="1436">
        <f t="shared" si="38"/>
        <v>0</v>
      </c>
      <c r="M38" s="1084">
        <f t="shared" si="39"/>
        <v>0</v>
      </c>
      <c r="N38" s="1037">
        <f t="shared" si="40"/>
        <v>0</v>
      </c>
      <c r="O38" s="1037">
        <v>0</v>
      </c>
      <c r="P38" s="1037">
        <f t="shared" si="41"/>
        <v>0</v>
      </c>
      <c r="Q38" s="1037">
        <v>0</v>
      </c>
      <c r="R38" s="1436">
        <f t="shared" si="42"/>
        <v>0</v>
      </c>
      <c r="S38" s="1436">
        <f t="shared" si="43"/>
        <v>0</v>
      </c>
      <c r="T38" s="1436"/>
      <c r="U38" s="1436">
        <f t="shared" si="44"/>
        <v>0</v>
      </c>
      <c r="V38" s="1029">
        <f>'[14]FY2012-13 Final'!K39</f>
        <v>1967</v>
      </c>
      <c r="W38" s="1031">
        <f t="shared" si="32"/>
        <v>0</v>
      </c>
      <c r="X38" s="1464">
        <f>'[20]Oct midyear LFNO'!E38</f>
        <v>0</v>
      </c>
      <c r="Y38" s="1443">
        <f t="shared" si="45"/>
        <v>0</v>
      </c>
      <c r="Z38" s="1474">
        <f>'[20]Feb midyear LFNO '!E38</f>
        <v>0</v>
      </c>
      <c r="AA38" s="1470">
        <f t="shared" si="46"/>
        <v>0</v>
      </c>
      <c r="AB38" s="1470">
        <f t="shared" si="47"/>
        <v>0</v>
      </c>
      <c r="AC38" s="1031">
        <f t="shared" si="48"/>
        <v>0</v>
      </c>
      <c r="AD38" s="1090">
        <f t="shared" si="49"/>
        <v>0</v>
      </c>
      <c r="AE38" s="1031">
        <f t="shared" si="50"/>
        <v>0</v>
      </c>
      <c r="AF38" s="1031">
        <v>0</v>
      </c>
      <c r="AG38" s="1031">
        <f t="shared" si="51"/>
        <v>0</v>
      </c>
      <c r="AH38" s="1031">
        <v>0</v>
      </c>
      <c r="AI38" s="1448">
        <f t="shared" si="52"/>
        <v>0</v>
      </c>
      <c r="AJ38" s="1448">
        <f t="shared" si="53"/>
        <v>0</v>
      </c>
      <c r="AK38" s="1032">
        <f t="shared" si="54"/>
        <v>0</v>
      </c>
      <c r="AL38" s="1032">
        <f t="shared" si="33"/>
        <v>0</v>
      </c>
      <c r="AN38" s="49">
        <f t="shared" si="55"/>
        <v>0</v>
      </c>
      <c r="AO38" s="49">
        <f>-'[22]Table 5C1E-LFNO'!AL38</f>
        <v>0</v>
      </c>
      <c r="AP38">
        <f>-'[21]Table 5C1E-LFNO'!P38</f>
        <v>0</v>
      </c>
      <c r="AQ38" s="49">
        <f t="shared" si="56"/>
        <v>0</v>
      </c>
    </row>
    <row r="39" spans="1:43">
      <c r="A39" s="975">
        <v>33</v>
      </c>
      <c r="B39" s="976" t="s">
        <v>134</v>
      </c>
      <c r="C39" s="1171">
        <f>'Table 8 2.1.12 MFP Funded'!Y36</f>
        <v>0</v>
      </c>
      <c r="D39" s="984">
        <f>'Table 3 Levels 1&amp;2'!AL40</f>
        <v>5393.8471941993575</v>
      </c>
      <c r="E39" s="1074">
        <f t="shared" si="34"/>
        <v>0</v>
      </c>
      <c r="F39" s="1074">
        <f>'Table 4 Level 3'!P38</f>
        <v>655.31000000000006</v>
      </c>
      <c r="G39" s="1074">
        <f t="shared" si="35"/>
        <v>0</v>
      </c>
      <c r="H39" s="1037">
        <f t="shared" si="36"/>
        <v>0</v>
      </c>
      <c r="I39" s="1417">
        <f>'[1]Oct midyear LFNO'!K39</f>
        <v>0</v>
      </c>
      <c r="J39" s="1417">
        <f>'[1]Feb midyear LFNO '!K39</f>
        <v>0</v>
      </c>
      <c r="K39" s="1417">
        <f t="shared" si="37"/>
        <v>0</v>
      </c>
      <c r="L39" s="1436">
        <f t="shared" si="38"/>
        <v>0</v>
      </c>
      <c r="M39" s="1084">
        <f t="shared" si="39"/>
        <v>0</v>
      </c>
      <c r="N39" s="1037">
        <f t="shared" si="40"/>
        <v>0</v>
      </c>
      <c r="O39" s="1037">
        <v>0</v>
      </c>
      <c r="P39" s="1037">
        <f t="shared" si="41"/>
        <v>0</v>
      </c>
      <c r="Q39" s="1037">
        <v>0</v>
      </c>
      <c r="R39" s="1436">
        <f t="shared" si="42"/>
        <v>0</v>
      </c>
      <c r="S39" s="1436">
        <f t="shared" si="43"/>
        <v>0</v>
      </c>
      <c r="T39" s="1436"/>
      <c r="U39" s="1436">
        <f t="shared" si="44"/>
        <v>0</v>
      </c>
      <c r="V39" s="1029">
        <f>'[14]FY2012-13 Final'!K40</f>
        <v>2990</v>
      </c>
      <c r="W39" s="1031">
        <f t="shared" ref="W39:W70" si="57">C39*V39</f>
        <v>0</v>
      </c>
      <c r="X39" s="1464">
        <f>'[20]Oct midyear LFNO'!E39</f>
        <v>0</v>
      </c>
      <c r="Y39" s="1443">
        <f t="shared" si="45"/>
        <v>0</v>
      </c>
      <c r="Z39" s="1474">
        <f>'[20]Feb midyear LFNO '!E39</f>
        <v>0</v>
      </c>
      <c r="AA39" s="1470">
        <f t="shared" si="46"/>
        <v>0</v>
      </c>
      <c r="AB39" s="1470">
        <f t="shared" si="47"/>
        <v>0</v>
      </c>
      <c r="AC39" s="1031">
        <f t="shared" si="48"/>
        <v>0</v>
      </c>
      <c r="AD39" s="1090">
        <f t="shared" si="49"/>
        <v>0</v>
      </c>
      <c r="AE39" s="1031">
        <f t="shared" si="50"/>
        <v>0</v>
      </c>
      <c r="AF39" s="1031">
        <v>0</v>
      </c>
      <c r="AG39" s="1031">
        <f t="shared" si="51"/>
        <v>0</v>
      </c>
      <c r="AH39" s="1031">
        <v>0</v>
      </c>
      <c r="AI39" s="1448">
        <f t="shared" si="52"/>
        <v>0</v>
      </c>
      <c r="AJ39" s="1448">
        <f t="shared" si="53"/>
        <v>0</v>
      </c>
      <c r="AK39" s="1032">
        <f t="shared" si="54"/>
        <v>0</v>
      </c>
      <c r="AL39" s="1032">
        <f t="shared" ref="AL39:AL75" si="58">S39+AJ39</f>
        <v>0</v>
      </c>
      <c r="AN39" s="49">
        <f t="shared" si="55"/>
        <v>0</v>
      </c>
      <c r="AO39" s="49">
        <f>-'[22]Table 5C1E-LFNO'!AL39</f>
        <v>0</v>
      </c>
      <c r="AP39">
        <f>-'[21]Table 5C1E-LFNO'!P39</f>
        <v>0</v>
      </c>
      <c r="AQ39" s="49">
        <f t="shared" si="56"/>
        <v>0</v>
      </c>
    </row>
    <row r="40" spans="1:43">
      <c r="A40" s="975">
        <v>34</v>
      </c>
      <c r="B40" s="976" t="s">
        <v>135</v>
      </c>
      <c r="C40" s="1171">
        <f>'Table 8 2.1.12 MFP Funded'!Y37</f>
        <v>0</v>
      </c>
      <c r="D40" s="984">
        <f>'Table 3 Levels 1&amp;2'!AL41</f>
        <v>5864.3549473361072</v>
      </c>
      <c r="E40" s="1074">
        <f t="shared" si="34"/>
        <v>0</v>
      </c>
      <c r="F40" s="1074">
        <f>'Table 4 Level 3'!P39</f>
        <v>644.11000000000013</v>
      </c>
      <c r="G40" s="1074">
        <f t="shared" si="35"/>
        <v>0</v>
      </c>
      <c r="H40" s="1037">
        <f t="shared" si="36"/>
        <v>0</v>
      </c>
      <c r="I40" s="1417">
        <f>'[1]Oct midyear LFNO'!K40</f>
        <v>0</v>
      </c>
      <c r="J40" s="1417">
        <f>'[1]Feb midyear LFNO '!K40</f>
        <v>0</v>
      </c>
      <c r="K40" s="1417">
        <f t="shared" si="37"/>
        <v>0</v>
      </c>
      <c r="L40" s="1436">
        <f t="shared" si="38"/>
        <v>0</v>
      </c>
      <c r="M40" s="1084">
        <f t="shared" si="39"/>
        <v>0</v>
      </c>
      <c r="N40" s="1037">
        <f t="shared" si="40"/>
        <v>0</v>
      </c>
      <c r="O40" s="1037">
        <v>0</v>
      </c>
      <c r="P40" s="1037">
        <f t="shared" si="41"/>
        <v>0</v>
      </c>
      <c r="Q40" s="1037">
        <v>0</v>
      </c>
      <c r="R40" s="1436">
        <f t="shared" si="42"/>
        <v>0</v>
      </c>
      <c r="S40" s="1436">
        <f t="shared" si="43"/>
        <v>0</v>
      </c>
      <c r="T40" s="1436"/>
      <c r="U40" s="1436">
        <f t="shared" si="44"/>
        <v>0</v>
      </c>
      <c r="V40" s="1029">
        <f>'[14]FY2012-13 Final'!K41</f>
        <v>2768</v>
      </c>
      <c r="W40" s="1031">
        <f t="shared" si="57"/>
        <v>0</v>
      </c>
      <c r="X40" s="1464">
        <f>'[20]Oct midyear LFNO'!E40</f>
        <v>0</v>
      </c>
      <c r="Y40" s="1443">
        <f t="shared" si="45"/>
        <v>0</v>
      </c>
      <c r="Z40" s="1474">
        <f>'[20]Feb midyear LFNO '!E40</f>
        <v>0</v>
      </c>
      <c r="AA40" s="1470">
        <f t="shared" si="46"/>
        <v>0</v>
      </c>
      <c r="AB40" s="1470">
        <f t="shared" si="47"/>
        <v>0</v>
      </c>
      <c r="AC40" s="1031">
        <f t="shared" si="48"/>
        <v>0</v>
      </c>
      <c r="AD40" s="1090">
        <f t="shared" si="49"/>
        <v>0</v>
      </c>
      <c r="AE40" s="1031">
        <f t="shared" si="50"/>
        <v>0</v>
      </c>
      <c r="AF40" s="1031">
        <v>0</v>
      </c>
      <c r="AG40" s="1031">
        <f t="shared" si="51"/>
        <v>0</v>
      </c>
      <c r="AH40" s="1031">
        <v>0</v>
      </c>
      <c r="AI40" s="1448">
        <f t="shared" si="52"/>
        <v>0</v>
      </c>
      <c r="AJ40" s="1448">
        <f t="shared" si="53"/>
        <v>0</v>
      </c>
      <c r="AK40" s="1032">
        <f t="shared" si="54"/>
        <v>0</v>
      </c>
      <c r="AL40" s="1032">
        <f t="shared" si="58"/>
        <v>0</v>
      </c>
      <c r="AN40" s="49">
        <f t="shared" si="55"/>
        <v>0</v>
      </c>
      <c r="AO40" s="49">
        <f>-'[22]Table 5C1E-LFNO'!AL40</f>
        <v>0</v>
      </c>
      <c r="AP40">
        <f>-'[21]Table 5C1E-LFNO'!P40</f>
        <v>0</v>
      </c>
      <c r="AQ40" s="49">
        <f t="shared" si="56"/>
        <v>0</v>
      </c>
    </row>
    <row r="41" spans="1:43">
      <c r="A41" s="979">
        <v>35</v>
      </c>
      <c r="B41" s="980" t="s">
        <v>136</v>
      </c>
      <c r="C41" s="1172">
        <f>'Table 8 2.1.12 MFP Funded'!Y38</f>
        <v>0</v>
      </c>
      <c r="D41" s="986">
        <f>'Table 3 Levels 1&amp;2'!AL42</f>
        <v>4848.8680115701454</v>
      </c>
      <c r="E41" s="1075">
        <f t="shared" si="34"/>
        <v>0</v>
      </c>
      <c r="F41" s="1075">
        <f>'Table 4 Level 3'!P40</f>
        <v>537.96</v>
      </c>
      <c r="G41" s="1075">
        <f t="shared" si="35"/>
        <v>0</v>
      </c>
      <c r="H41" s="1038">
        <f t="shared" si="36"/>
        <v>0</v>
      </c>
      <c r="I41" s="1418">
        <f>'[1]Oct midyear LFNO'!K41</f>
        <v>0</v>
      </c>
      <c r="J41" s="1418">
        <f>'[1]Feb midyear LFNO '!K41</f>
        <v>0</v>
      </c>
      <c r="K41" s="1418">
        <f t="shared" si="37"/>
        <v>0</v>
      </c>
      <c r="L41" s="1437">
        <f t="shared" si="38"/>
        <v>0</v>
      </c>
      <c r="M41" s="1085">
        <f t="shared" si="39"/>
        <v>0</v>
      </c>
      <c r="N41" s="1038">
        <f t="shared" si="40"/>
        <v>0</v>
      </c>
      <c r="O41" s="1038">
        <v>0</v>
      </c>
      <c r="P41" s="1038">
        <f t="shared" si="41"/>
        <v>0</v>
      </c>
      <c r="Q41" s="1038">
        <v>0</v>
      </c>
      <c r="R41" s="1437">
        <f t="shared" si="42"/>
        <v>0</v>
      </c>
      <c r="S41" s="1437">
        <f t="shared" si="43"/>
        <v>0</v>
      </c>
      <c r="T41" s="1437"/>
      <c r="U41" s="1437">
        <f t="shared" si="44"/>
        <v>0</v>
      </c>
      <c r="V41" s="1034">
        <f>'[14]FY2012-13 Final'!K42</f>
        <v>3611</v>
      </c>
      <c r="W41" s="1035">
        <f t="shared" si="57"/>
        <v>0</v>
      </c>
      <c r="X41" s="1465">
        <f>'[20]Oct midyear LFNO'!E41</f>
        <v>0</v>
      </c>
      <c r="Y41" s="1445">
        <f t="shared" si="45"/>
        <v>0</v>
      </c>
      <c r="Z41" s="1475">
        <f>'[20]Feb midyear LFNO '!E41</f>
        <v>0</v>
      </c>
      <c r="AA41" s="1471">
        <f t="shared" si="46"/>
        <v>0</v>
      </c>
      <c r="AB41" s="1471">
        <f t="shared" si="47"/>
        <v>0</v>
      </c>
      <c r="AC41" s="1035">
        <f t="shared" si="48"/>
        <v>0</v>
      </c>
      <c r="AD41" s="1091">
        <f t="shared" si="49"/>
        <v>0</v>
      </c>
      <c r="AE41" s="1035">
        <f t="shared" si="50"/>
        <v>0</v>
      </c>
      <c r="AF41" s="1035">
        <v>0</v>
      </c>
      <c r="AG41" s="1035">
        <f t="shared" si="51"/>
        <v>0</v>
      </c>
      <c r="AH41" s="1035">
        <v>0</v>
      </c>
      <c r="AI41" s="1450">
        <f t="shared" si="52"/>
        <v>0</v>
      </c>
      <c r="AJ41" s="1450">
        <f t="shared" si="53"/>
        <v>0</v>
      </c>
      <c r="AK41" s="1036">
        <f t="shared" si="54"/>
        <v>0</v>
      </c>
      <c r="AL41" s="1036">
        <f t="shared" si="58"/>
        <v>0</v>
      </c>
      <c r="AN41" s="49">
        <f t="shared" si="55"/>
        <v>0</v>
      </c>
      <c r="AO41" s="49">
        <f>-'[22]Table 5C1E-LFNO'!AL41</f>
        <v>0</v>
      </c>
      <c r="AP41">
        <f>-'[21]Table 5C1E-LFNO'!P41</f>
        <v>0</v>
      </c>
      <c r="AQ41" s="49">
        <f t="shared" si="56"/>
        <v>0</v>
      </c>
    </row>
    <row r="42" spans="1:43">
      <c r="A42" s="968">
        <v>36</v>
      </c>
      <c r="B42" s="969" t="s">
        <v>137</v>
      </c>
      <c r="C42" s="1173">
        <f>'Table 8 2.1.12 MFP Funded'!Y39</f>
        <v>43</v>
      </c>
      <c r="D42" s="988">
        <f>'Table 3 Levels 1&amp;2'!AL43</f>
        <v>3442.7546828904692</v>
      </c>
      <c r="E42" s="1076">
        <f t="shared" si="34"/>
        <v>148038.45136429017</v>
      </c>
      <c r="F42" s="1076">
        <f>'Table 5B1_RSD_Orleans'!F78</f>
        <v>746.0335616438357</v>
      </c>
      <c r="G42" s="1076">
        <f t="shared" si="35"/>
        <v>32079.443150684936</v>
      </c>
      <c r="H42" s="1039">
        <f t="shared" si="36"/>
        <v>180117.89451497511</v>
      </c>
      <c r="I42" s="1419">
        <f>'[1]Oct midyear LFNO'!K42</f>
        <v>435633.97743156768</v>
      </c>
      <c r="J42" s="1419">
        <f>'[1]Feb midyear LFNO '!K42</f>
        <v>-2094.3941222671524</v>
      </c>
      <c r="K42" s="1419">
        <f t="shared" si="37"/>
        <v>433539.58330930053</v>
      </c>
      <c r="L42" s="1211">
        <f t="shared" si="38"/>
        <v>613657.47782427561</v>
      </c>
      <c r="M42" s="1086">
        <f t="shared" si="39"/>
        <v>-1534.143694560689</v>
      </c>
      <c r="N42" s="1039">
        <f t="shared" si="40"/>
        <v>612123.33412971487</v>
      </c>
      <c r="O42" s="1039">
        <v>0</v>
      </c>
      <c r="P42" s="1039">
        <f t="shared" si="41"/>
        <v>612123.33412971487</v>
      </c>
      <c r="Q42" s="1039">
        <f>15154+56674+54559+54559+54559+54559+54559+54559+55088+55088+8454</f>
        <v>517812</v>
      </c>
      <c r="R42" s="1211">
        <f t="shared" si="42"/>
        <v>94311.334129714873</v>
      </c>
      <c r="S42" s="1211">
        <f t="shared" si="43"/>
        <v>47155.667064857436</v>
      </c>
      <c r="T42" s="1211">
        <f>'Table 4A Stipends'!G75</f>
        <v>96000</v>
      </c>
      <c r="U42" s="1211">
        <f t="shared" si="44"/>
        <v>708123.33412971487</v>
      </c>
      <c r="V42" s="1029">
        <f>'[14]FY2012-13 Final'!K43</f>
        <v>4884</v>
      </c>
      <c r="W42" s="973">
        <f t="shared" si="57"/>
        <v>210012</v>
      </c>
      <c r="X42" s="1466">
        <f>'[20]Oct midyear LFNO'!E42</f>
        <v>104</v>
      </c>
      <c r="Y42" s="1444">
        <f t="shared" si="45"/>
        <v>507936</v>
      </c>
      <c r="Z42" s="1466">
        <f>'[20]Feb midyear LFNO '!E42</f>
        <v>-1</v>
      </c>
      <c r="AA42" s="1444">
        <f t="shared" si="46"/>
        <v>-2442</v>
      </c>
      <c r="AB42" s="1444">
        <f t="shared" si="47"/>
        <v>505494</v>
      </c>
      <c r="AC42" s="973">
        <f t="shared" si="48"/>
        <v>715506</v>
      </c>
      <c r="AD42" s="1089">
        <f t="shared" si="49"/>
        <v>-1788.7650000000001</v>
      </c>
      <c r="AE42" s="973">
        <f t="shared" si="50"/>
        <v>713717.23499999999</v>
      </c>
      <c r="AF42" s="973">
        <v>0</v>
      </c>
      <c r="AG42" s="973">
        <f t="shared" si="51"/>
        <v>713717.23499999999</v>
      </c>
      <c r="AH42" s="973">
        <f>17103+63966+61579+61579+61579+61579+61579+61579+55455+55455</f>
        <v>561453</v>
      </c>
      <c r="AI42" s="1214">
        <f t="shared" si="52"/>
        <v>152264.23499999999</v>
      </c>
      <c r="AJ42" s="1214">
        <f t="shared" si="53"/>
        <v>76132.117499999993</v>
      </c>
      <c r="AK42" s="974">
        <f t="shared" si="54"/>
        <v>1421840.5691297147</v>
      </c>
      <c r="AL42" s="974">
        <f t="shared" si="58"/>
        <v>123287.78456485743</v>
      </c>
      <c r="AN42" s="49">
        <f t="shared" si="55"/>
        <v>-1788.7650000000001</v>
      </c>
      <c r="AO42" s="49">
        <f>-'[22]Table 5C1E-LFNO'!AL42</f>
        <v>1685.11625</v>
      </c>
      <c r="AP42">
        <f>-'[21]Table 5C1E-LFNO'!P42</f>
        <v>514.38750000000005</v>
      </c>
      <c r="AQ42" s="49">
        <f t="shared" si="56"/>
        <v>-103.64875000000006</v>
      </c>
    </row>
    <row r="43" spans="1:43">
      <c r="A43" s="975">
        <v>37</v>
      </c>
      <c r="B43" s="976" t="s">
        <v>138</v>
      </c>
      <c r="C43" s="1171">
        <f>'Table 8 2.1.12 MFP Funded'!Y40</f>
        <v>0</v>
      </c>
      <c r="D43" s="984">
        <f>'Table 3 Levels 1&amp;2'!AL44</f>
        <v>5492.0643232073926</v>
      </c>
      <c r="E43" s="1074">
        <f t="shared" si="34"/>
        <v>0</v>
      </c>
      <c r="F43" s="1074">
        <f>'Table 4 Level 3'!P42</f>
        <v>653.61</v>
      </c>
      <c r="G43" s="1074">
        <f t="shared" si="35"/>
        <v>0</v>
      </c>
      <c r="H43" s="1037">
        <f t="shared" si="36"/>
        <v>0</v>
      </c>
      <c r="I43" s="1417">
        <f>'[1]Oct midyear LFNO'!K43</f>
        <v>0</v>
      </c>
      <c r="J43" s="1417">
        <f>'[1]Feb midyear LFNO '!K43</f>
        <v>0</v>
      </c>
      <c r="K43" s="1417">
        <f t="shared" si="37"/>
        <v>0</v>
      </c>
      <c r="L43" s="1436">
        <f t="shared" si="38"/>
        <v>0</v>
      </c>
      <c r="M43" s="1084">
        <f t="shared" si="39"/>
        <v>0</v>
      </c>
      <c r="N43" s="1037">
        <f t="shared" si="40"/>
        <v>0</v>
      </c>
      <c r="O43" s="1037">
        <v>0</v>
      </c>
      <c r="P43" s="1037">
        <f t="shared" si="41"/>
        <v>0</v>
      </c>
      <c r="Q43" s="1037">
        <v>0</v>
      </c>
      <c r="R43" s="1436">
        <f t="shared" si="42"/>
        <v>0</v>
      </c>
      <c r="S43" s="1436">
        <f t="shared" si="43"/>
        <v>0</v>
      </c>
      <c r="T43" s="1436"/>
      <c r="U43" s="1436">
        <f t="shared" si="44"/>
        <v>0</v>
      </c>
      <c r="V43" s="1029">
        <f>'[14]FY2012-13 Final'!K44</f>
        <v>3128</v>
      </c>
      <c r="W43" s="1031">
        <f t="shared" si="57"/>
        <v>0</v>
      </c>
      <c r="X43" s="1464">
        <f>'[20]Oct midyear LFNO'!E43</f>
        <v>0</v>
      </c>
      <c r="Y43" s="1443">
        <f t="shared" si="45"/>
        <v>0</v>
      </c>
      <c r="Z43" s="1474">
        <f>'[20]Feb midyear LFNO '!E43</f>
        <v>0</v>
      </c>
      <c r="AA43" s="1470">
        <f t="shared" si="46"/>
        <v>0</v>
      </c>
      <c r="AB43" s="1470">
        <f t="shared" si="47"/>
        <v>0</v>
      </c>
      <c r="AC43" s="1031">
        <f t="shared" si="48"/>
        <v>0</v>
      </c>
      <c r="AD43" s="1090">
        <f t="shared" si="49"/>
        <v>0</v>
      </c>
      <c r="AE43" s="1031">
        <f t="shared" si="50"/>
        <v>0</v>
      </c>
      <c r="AF43" s="1031">
        <v>0</v>
      </c>
      <c r="AG43" s="1031">
        <f t="shared" si="51"/>
        <v>0</v>
      </c>
      <c r="AH43" s="1031">
        <v>0</v>
      </c>
      <c r="AI43" s="1448">
        <f t="shared" si="52"/>
        <v>0</v>
      </c>
      <c r="AJ43" s="1448">
        <f t="shared" si="53"/>
        <v>0</v>
      </c>
      <c r="AK43" s="1032">
        <f t="shared" si="54"/>
        <v>0</v>
      </c>
      <c r="AL43" s="1032">
        <f t="shared" si="58"/>
        <v>0</v>
      </c>
      <c r="AN43" s="49">
        <f t="shared" si="55"/>
        <v>0</v>
      </c>
      <c r="AO43" s="49">
        <f>-'[22]Table 5C1E-LFNO'!AL43</f>
        <v>0</v>
      </c>
      <c r="AP43">
        <f>-'[21]Table 5C1E-LFNO'!P43</f>
        <v>0</v>
      </c>
      <c r="AQ43" s="49">
        <f t="shared" si="56"/>
        <v>0</v>
      </c>
    </row>
    <row r="44" spans="1:43">
      <c r="A44" s="975">
        <v>38</v>
      </c>
      <c r="B44" s="976" t="s">
        <v>139</v>
      </c>
      <c r="C44" s="1171">
        <f>'Table 8 2.1.12 MFP Funded'!Y41</f>
        <v>0</v>
      </c>
      <c r="D44" s="984">
        <f>'Table 3 Levels 1&amp;2'!AL45</f>
        <v>2296.9220537376964</v>
      </c>
      <c r="E44" s="1074">
        <f t="shared" si="34"/>
        <v>0</v>
      </c>
      <c r="F44" s="1074">
        <f>'Table 4 Level 3'!P43</f>
        <v>829.92000000000007</v>
      </c>
      <c r="G44" s="1074">
        <f t="shared" si="35"/>
        <v>0</v>
      </c>
      <c r="H44" s="1037">
        <f t="shared" si="36"/>
        <v>0</v>
      </c>
      <c r="I44" s="1417">
        <f>'[1]Oct midyear LFNO'!K44</f>
        <v>9380.5261612130889</v>
      </c>
      <c r="J44" s="1417">
        <f>'[1]Feb midyear LFNO '!K44</f>
        <v>0</v>
      </c>
      <c r="K44" s="1417">
        <f t="shared" si="37"/>
        <v>9380.5261612130889</v>
      </c>
      <c r="L44" s="1436">
        <f t="shared" si="38"/>
        <v>9380.5261612130889</v>
      </c>
      <c r="M44" s="1084">
        <f t="shared" si="39"/>
        <v>-23.451315403032723</v>
      </c>
      <c r="N44" s="1037">
        <f t="shared" si="40"/>
        <v>9357.074845810057</v>
      </c>
      <c r="O44" s="1037">
        <v>0</v>
      </c>
      <c r="P44" s="1037">
        <f t="shared" si="41"/>
        <v>9357.074845810057</v>
      </c>
      <c r="Q44" s="1037">
        <f>822*7+822+822</f>
        <v>7398</v>
      </c>
      <c r="R44" s="1436">
        <f t="shared" si="42"/>
        <v>1959.074845810057</v>
      </c>
      <c r="S44" s="1436">
        <f t="shared" si="43"/>
        <v>979.53742290502851</v>
      </c>
      <c r="T44" s="1436"/>
      <c r="U44" s="1436">
        <f t="shared" si="44"/>
        <v>9357.074845810057</v>
      </c>
      <c r="V44" s="1029">
        <f>'[14]FY2012-13 Final'!K45</f>
        <v>10932</v>
      </c>
      <c r="W44" s="1031">
        <f t="shared" si="57"/>
        <v>0</v>
      </c>
      <c r="X44" s="1464">
        <f>'[20]Oct midyear LFNO'!E44</f>
        <v>3</v>
      </c>
      <c r="Y44" s="1443">
        <f t="shared" si="45"/>
        <v>32796</v>
      </c>
      <c r="Z44" s="1474">
        <f>'[20]Feb midyear LFNO '!E44</f>
        <v>0</v>
      </c>
      <c r="AA44" s="1470">
        <f t="shared" si="46"/>
        <v>0</v>
      </c>
      <c r="AB44" s="1470">
        <f t="shared" si="47"/>
        <v>32796</v>
      </c>
      <c r="AC44" s="1031">
        <f t="shared" si="48"/>
        <v>32796</v>
      </c>
      <c r="AD44" s="1090">
        <f t="shared" si="49"/>
        <v>-81.99</v>
      </c>
      <c r="AE44" s="1031">
        <f t="shared" si="50"/>
        <v>32714.01</v>
      </c>
      <c r="AF44" s="1031">
        <v>0</v>
      </c>
      <c r="AG44" s="1031">
        <f t="shared" si="51"/>
        <v>32714.01</v>
      </c>
      <c r="AH44" s="1031">
        <f>2658*7+2586+2586</f>
        <v>23778</v>
      </c>
      <c r="AI44" s="1448">
        <f t="shared" si="52"/>
        <v>8936.0099999999984</v>
      </c>
      <c r="AJ44" s="1448">
        <f t="shared" si="53"/>
        <v>4468.0049999999992</v>
      </c>
      <c r="AK44" s="1032">
        <f t="shared" si="54"/>
        <v>42071.084845810052</v>
      </c>
      <c r="AL44" s="1032">
        <f t="shared" si="58"/>
        <v>5447.5424229050277</v>
      </c>
      <c r="AN44" s="49">
        <f t="shared" si="55"/>
        <v>-81.99</v>
      </c>
      <c r="AO44" s="49">
        <f>-'[22]Table 5C1E-LFNO'!AL44</f>
        <v>72.555000000000007</v>
      </c>
      <c r="AP44">
        <f>-'[21]Table 5C1E-LFNO'!P44</f>
        <v>0</v>
      </c>
      <c r="AQ44" s="49">
        <f t="shared" si="56"/>
        <v>-9.4349999999999881</v>
      </c>
    </row>
    <row r="45" spans="1:43">
      <c r="A45" s="975">
        <v>39</v>
      </c>
      <c r="B45" s="976" t="s">
        <v>140</v>
      </c>
      <c r="C45" s="1171">
        <f>'Table 8 2.1.12 MFP Funded'!Y42</f>
        <v>0</v>
      </c>
      <c r="D45" s="984">
        <f>'Table 3 Levels 1&amp;2'!AL46</f>
        <v>3692.59215316156</v>
      </c>
      <c r="E45" s="1074">
        <f t="shared" si="34"/>
        <v>0</v>
      </c>
      <c r="F45" s="1074">
        <f>'Table 5B2_RSD_LA'!F21</f>
        <v>779.65573042776441</v>
      </c>
      <c r="G45" s="1074">
        <f t="shared" si="35"/>
        <v>0</v>
      </c>
      <c r="H45" s="1037">
        <f t="shared" si="36"/>
        <v>0</v>
      </c>
      <c r="I45" s="1417">
        <f>'[1]Oct midyear LFNO'!K45</f>
        <v>0</v>
      </c>
      <c r="J45" s="1417">
        <f>'[1]Feb midyear LFNO '!K45</f>
        <v>0</v>
      </c>
      <c r="K45" s="1417">
        <f t="shared" si="37"/>
        <v>0</v>
      </c>
      <c r="L45" s="1436">
        <f t="shared" si="38"/>
        <v>0</v>
      </c>
      <c r="M45" s="1084">
        <f t="shared" si="39"/>
        <v>0</v>
      </c>
      <c r="N45" s="1037">
        <f t="shared" si="40"/>
        <v>0</v>
      </c>
      <c r="O45" s="1037">
        <v>0</v>
      </c>
      <c r="P45" s="1037">
        <f t="shared" si="41"/>
        <v>0</v>
      </c>
      <c r="Q45" s="1037">
        <v>0</v>
      </c>
      <c r="R45" s="1436">
        <f t="shared" si="42"/>
        <v>0</v>
      </c>
      <c r="S45" s="1436">
        <f t="shared" si="43"/>
        <v>0</v>
      </c>
      <c r="T45" s="1436"/>
      <c r="U45" s="1436">
        <f t="shared" si="44"/>
        <v>0</v>
      </c>
      <c r="V45" s="1029">
        <f>'[14]FY2012-13 Final'!K46</f>
        <v>4317</v>
      </c>
      <c r="W45" s="1031">
        <f t="shared" si="57"/>
        <v>0</v>
      </c>
      <c r="X45" s="1464">
        <f>'[20]Oct midyear LFNO'!E45</f>
        <v>0</v>
      </c>
      <c r="Y45" s="1443">
        <f t="shared" si="45"/>
        <v>0</v>
      </c>
      <c r="Z45" s="1474">
        <f>'[20]Feb midyear LFNO '!E45</f>
        <v>0</v>
      </c>
      <c r="AA45" s="1470">
        <f t="shared" si="46"/>
        <v>0</v>
      </c>
      <c r="AB45" s="1470">
        <f t="shared" si="47"/>
        <v>0</v>
      </c>
      <c r="AC45" s="1031">
        <f t="shared" si="48"/>
        <v>0</v>
      </c>
      <c r="AD45" s="1090">
        <f t="shared" si="49"/>
        <v>0</v>
      </c>
      <c r="AE45" s="1031">
        <f t="shared" si="50"/>
        <v>0</v>
      </c>
      <c r="AF45" s="1031">
        <v>0</v>
      </c>
      <c r="AG45" s="1031">
        <f t="shared" si="51"/>
        <v>0</v>
      </c>
      <c r="AH45" s="1031">
        <v>0</v>
      </c>
      <c r="AI45" s="1448">
        <f t="shared" si="52"/>
        <v>0</v>
      </c>
      <c r="AJ45" s="1448">
        <f t="shared" si="53"/>
        <v>0</v>
      </c>
      <c r="AK45" s="1032">
        <f t="shared" si="54"/>
        <v>0</v>
      </c>
      <c r="AL45" s="1032">
        <f t="shared" si="58"/>
        <v>0</v>
      </c>
      <c r="AN45" s="49">
        <f t="shared" si="55"/>
        <v>0</v>
      </c>
      <c r="AO45" s="49">
        <f>-'[22]Table 5C1E-LFNO'!AL45</f>
        <v>0</v>
      </c>
      <c r="AP45">
        <f>-'[21]Table 5C1E-LFNO'!P45</f>
        <v>0</v>
      </c>
      <c r="AQ45" s="49">
        <f t="shared" si="56"/>
        <v>0</v>
      </c>
    </row>
    <row r="46" spans="1:43">
      <c r="A46" s="979">
        <v>40</v>
      </c>
      <c r="B46" s="980" t="s">
        <v>141</v>
      </c>
      <c r="C46" s="1172">
        <f>'Table 8 2.1.12 MFP Funded'!Y43</f>
        <v>0</v>
      </c>
      <c r="D46" s="986">
        <f>'Table 3 Levels 1&amp;2'!AL47</f>
        <v>4897.3087815908475</v>
      </c>
      <c r="E46" s="1075">
        <f t="shared" si="34"/>
        <v>0</v>
      </c>
      <c r="F46" s="1075">
        <f>'Table 4 Level 3'!P45</f>
        <v>700.2700000000001</v>
      </c>
      <c r="G46" s="1075">
        <f t="shared" si="35"/>
        <v>0</v>
      </c>
      <c r="H46" s="1038">
        <f t="shared" si="36"/>
        <v>0</v>
      </c>
      <c r="I46" s="1418">
        <f>'[1]Oct midyear LFNO'!K46</f>
        <v>0</v>
      </c>
      <c r="J46" s="1418">
        <f>'[1]Feb midyear LFNO '!K46</f>
        <v>0</v>
      </c>
      <c r="K46" s="1418">
        <f t="shared" si="37"/>
        <v>0</v>
      </c>
      <c r="L46" s="1437">
        <f t="shared" si="38"/>
        <v>0</v>
      </c>
      <c r="M46" s="1085">
        <f t="shared" si="39"/>
        <v>0</v>
      </c>
      <c r="N46" s="1038">
        <f t="shared" si="40"/>
        <v>0</v>
      </c>
      <c r="O46" s="1038">
        <v>0</v>
      </c>
      <c r="P46" s="1038">
        <f t="shared" si="41"/>
        <v>0</v>
      </c>
      <c r="Q46" s="1038">
        <v>0</v>
      </c>
      <c r="R46" s="1437">
        <f t="shared" si="42"/>
        <v>0</v>
      </c>
      <c r="S46" s="1437">
        <f t="shared" si="43"/>
        <v>0</v>
      </c>
      <c r="T46" s="1437"/>
      <c r="U46" s="1437">
        <f t="shared" si="44"/>
        <v>0</v>
      </c>
      <c r="V46" s="1034">
        <f>'[14]FY2012-13 Final'!K47</f>
        <v>2932</v>
      </c>
      <c r="W46" s="1035">
        <f t="shared" si="57"/>
        <v>0</v>
      </c>
      <c r="X46" s="1465">
        <f>'[20]Oct midyear LFNO'!E46</f>
        <v>0</v>
      </c>
      <c r="Y46" s="1445">
        <f t="shared" si="45"/>
        <v>0</v>
      </c>
      <c r="Z46" s="1475">
        <f>'[20]Feb midyear LFNO '!E46</f>
        <v>0</v>
      </c>
      <c r="AA46" s="1471">
        <f t="shared" si="46"/>
        <v>0</v>
      </c>
      <c r="AB46" s="1471">
        <f t="shared" si="47"/>
        <v>0</v>
      </c>
      <c r="AC46" s="1035">
        <f t="shared" si="48"/>
        <v>0</v>
      </c>
      <c r="AD46" s="1091">
        <f t="shared" si="49"/>
        <v>0</v>
      </c>
      <c r="AE46" s="1035">
        <f t="shared" si="50"/>
        <v>0</v>
      </c>
      <c r="AF46" s="1035">
        <v>0</v>
      </c>
      <c r="AG46" s="1035">
        <f t="shared" si="51"/>
        <v>0</v>
      </c>
      <c r="AH46" s="1035">
        <v>0</v>
      </c>
      <c r="AI46" s="1450">
        <f t="shared" si="52"/>
        <v>0</v>
      </c>
      <c r="AJ46" s="1450">
        <f t="shared" si="53"/>
        <v>0</v>
      </c>
      <c r="AK46" s="1036">
        <f t="shared" si="54"/>
        <v>0</v>
      </c>
      <c r="AL46" s="1036">
        <f t="shared" si="58"/>
        <v>0</v>
      </c>
      <c r="AN46" s="49">
        <f t="shared" si="55"/>
        <v>0</v>
      </c>
      <c r="AO46" s="49">
        <f>-'[22]Table 5C1E-LFNO'!AL46</f>
        <v>0</v>
      </c>
      <c r="AP46">
        <f>-'[21]Table 5C1E-LFNO'!P46</f>
        <v>0</v>
      </c>
      <c r="AQ46" s="49">
        <f t="shared" si="56"/>
        <v>0</v>
      </c>
    </row>
    <row r="47" spans="1:43">
      <c r="A47" s="968">
        <v>41</v>
      </c>
      <c r="B47" s="969" t="s">
        <v>142</v>
      </c>
      <c r="C47" s="1173">
        <f>'Table 8 2.1.12 MFP Funded'!Y44</f>
        <v>0</v>
      </c>
      <c r="D47" s="988">
        <f>'Table 3 Levels 1&amp;2'!AL48</f>
        <v>1613.0487891737891</v>
      </c>
      <c r="E47" s="1076">
        <f t="shared" si="34"/>
        <v>0</v>
      </c>
      <c r="F47" s="1076">
        <f>'Table 4 Level 3'!P46</f>
        <v>886.22</v>
      </c>
      <c r="G47" s="1076">
        <f t="shared" si="35"/>
        <v>0</v>
      </c>
      <c r="H47" s="1039">
        <f t="shared" si="36"/>
        <v>0</v>
      </c>
      <c r="I47" s="1419">
        <f>'[1]Oct midyear LFNO'!K47</f>
        <v>0</v>
      </c>
      <c r="J47" s="1419">
        <f>'[1]Feb midyear LFNO '!K47</f>
        <v>0</v>
      </c>
      <c r="K47" s="1419">
        <f t="shared" si="37"/>
        <v>0</v>
      </c>
      <c r="L47" s="1211">
        <f t="shared" si="38"/>
        <v>0</v>
      </c>
      <c r="M47" s="1086">
        <f t="shared" si="39"/>
        <v>0</v>
      </c>
      <c r="N47" s="1039">
        <f t="shared" si="40"/>
        <v>0</v>
      </c>
      <c r="O47" s="1039">
        <v>0</v>
      </c>
      <c r="P47" s="1039">
        <f t="shared" si="41"/>
        <v>0</v>
      </c>
      <c r="Q47" s="1039">
        <v>0</v>
      </c>
      <c r="R47" s="1211">
        <f t="shared" si="42"/>
        <v>0</v>
      </c>
      <c r="S47" s="1211">
        <f t="shared" si="43"/>
        <v>0</v>
      </c>
      <c r="T47" s="1211"/>
      <c r="U47" s="1211">
        <f t="shared" si="44"/>
        <v>0</v>
      </c>
      <c r="V47" s="1029">
        <f>'[14]FY2012-13 Final'!K48</f>
        <v>12026</v>
      </c>
      <c r="W47" s="973">
        <f t="shared" si="57"/>
        <v>0</v>
      </c>
      <c r="X47" s="1466">
        <f>'[20]Oct midyear LFNO'!E47</f>
        <v>0</v>
      </c>
      <c r="Y47" s="1444">
        <f t="shared" si="45"/>
        <v>0</v>
      </c>
      <c r="Z47" s="1466">
        <f>'[20]Feb midyear LFNO '!E47</f>
        <v>0</v>
      </c>
      <c r="AA47" s="1444">
        <f t="shared" si="46"/>
        <v>0</v>
      </c>
      <c r="AB47" s="1444">
        <f t="shared" si="47"/>
        <v>0</v>
      </c>
      <c r="AC47" s="973">
        <f t="shared" si="48"/>
        <v>0</v>
      </c>
      <c r="AD47" s="1089">
        <f t="shared" si="49"/>
        <v>0</v>
      </c>
      <c r="AE47" s="973">
        <f t="shared" si="50"/>
        <v>0</v>
      </c>
      <c r="AF47" s="973">
        <v>0</v>
      </c>
      <c r="AG47" s="973">
        <f t="shared" si="51"/>
        <v>0</v>
      </c>
      <c r="AH47" s="973">
        <v>0</v>
      </c>
      <c r="AI47" s="1214">
        <f t="shared" si="52"/>
        <v>0</v>
      </c>
      <c r="AJ47" s="1214">
        <f t="shared" si="53"/>
        <v>0</v>
      </c>
      <c r="AK47" s="974">
        <f t="shared" si="54"/>
        <v>0</v>
      </c>
      <c r="AL47" s="974">
        <f t="shared" si="58"/>
        <v>0</v>
      </c>
      <c r="AN47" s="49">
        <f t="shared" si="55"/>
        <v>0</v>
      </c>
      <c r="AO47" s="49">
        <f>-'[22]Table 5C1E-LFNO'!AL47</f>
        <v>0</v>
      </c>
      <c r="AP47">
        <f>-'[21]Table 5C1E-LFNO'!P47</f>
        <v>0</v>
      </c>
      <c r="AQ47" s="49">
        <f t="shared" si="56"/>
        <v>0</v>
      </c>
    </row>
    <row r="48" spans="1:43">
      <c r="A48" s="975">
        <v>42</v>
      </c>
      <c r="B48" s="976" t="s">
        <v>143</v>
      </c>
      <c r="C48" s="1171">
        <f>'Table 8 2.1.12 MFP Funded'!Y45</f>
        <v>0</v>
      </c>
      <c r="D48" s="984">
        <f>'Table 3 Levels 1&amp;2'!AL49</f>
        <v>5259.3837602759822</v>
      </c>
      <c r="E48" s="1074">
        <f t="shared" si="34"/>
        <v>0</v>
      </c>
      <c r="F48" s="1074">
        <f>'Table 4 Level 3'!P47</f>
        <v>534.28</v>
      </c>
      <c r="G48" s="1074">
        <f t="shared" si="35"/>
        <v>0</v>
      </c>
      <c r="H48" s="1037">
        <f t="shared" si="36"/>
        <v>0</v>
      </c>
      <c r="I48" s="1417">
        <f>'[1]Oct midyear LFNO'!K48</f>
        <v>0</v>
      </c>
      <c r="J48" s="1417">
        <f>'[1]Feb midyear LFNO '!K48</f>
        <v>0</v>
      </c>
      <c r="K48" s="1417">
        <f t="shared" si="37"/>
        <v>0</v>
      </c>
      <c r="L48" s="1436">
        <f t="shared" si="38"/>
        <v>0</v>
      </c>
      <c r="M48" s="1084">
        <f t="shared" si="39"/>
        <v>0</v>
      </c>
      <c r="N48" s="1037">
        <f t="shared" si="40"/>
        <v>0</v>
      </c>
      <c r="O48" s="1037">
        <v>0</v>
      </c>
      <c r="P48" s="1037">
        <f t="shared" si="41"/>
        <v>0</v>
      </c>
      <c r="Q48" s="1037">
        <v>0</v>
      </c>
      <c r="R48" s="1436">
        <f t="shared" si="42"/>
        <v>0</v>
      </c>
      <c r="S48" s="1436">
        <f t="shared" si="43"/>
        <v>0</v>
      </c>
      <c r="T48" s="1436"/>
      <c r="U48" s="1436">
        <f t="shared" si="44"/>
        <v>0</v>
      </c>
      <c r="V48" s="1029">
        <f>'[14]FY2012-13 Final'!K49</f>
        <v>2881</v>
      </c>
      <c r="W48" s="1031">
        <f t="shared" si="57"/>
        <v>0</v>
      </c>
      <c r="X48" s="1464">
        <f>'[20]Oct midyear LFNO'!E48</f>
        <v>0</v>
      </c>
      <c r="Y48" s="1443">
        <f t="shared" si="45"/>
        <v>0</v>
      </c>
      <c r="Z48" s="1474">
        <f>'[20]Feb midyear LFNO '!E48</f>
        <v>0</v>
      </c>
      <c r="AA48" s="1470">
        <f t="shared" si="46"/>
        <v>0</v>
      </c>
      <c r="AB48" s="1470">
        <f t="shared" si="47"/>
        <v>0</v>
      </c>
      <c r="AC48" s="1031">
        <f t="shared" si="48"/>
        <v>0</v>
      </c>
      <c r="AD48" s="1090">
        <f t="shared" si="49"/>
        <v>0</v>
      </c>
      <c r="AE48" s="1031">
        <f t="shared" si="50"/>
        <v>0</v>
      </c>
      <c r="AF48" s="1031">
        <v>0</v>
      </c>
      <c r="AG48" s="1031">
        <f t="shared" si="51"/>
        <v>0</v>
      </c>
      <c r="AH48" s="1031">
        <v>0</v>
      </c>
      <c r="AI48" s="1448">
        <f t="shared" si="52"/>
        <v>0</v>
      </c>
      <c r="AJ48" s="1448">
        <f t="shared" si="53"/>
        <v>0</v>
      </c>
      <c r="AK48" s="1032">
        <f t="shared" si="54"/>
        <v>0</v>
      </c>
      <c r="AL48" s="1032">
        <f t="shared" si="58"/>
        <v>0</v>
      </c>
      <c r="AN48" s="49">
        <f t="shared" si="55"/>
        <v>0</v>
      </c>
      <c r="AO48" s="49">
        <f>-'[22]Table 5C1E-LFNO'!AL48</f>
        <v>0</v>
      </c>
      <c r="AP48">
        <f>-'[21]Table 5C1E-LFNO'!P48</f>
        <v>0</v>
      </c>
      <c r="AQ48" s="49">
        <f t="shared" si="56"/>
        <v>0</v>
      </c>
    </row>
    <row r="49" spans="1:43">
      <c r="A49" s="975">
        <v>43</v>
      </c>
      <c r="B49" s="976" t="s">
        <v>144</v>
      </c>
      <c r="C49" s="1171">
        <f>'Table 8 2.1.12 MFP Funded'!Y46</f>
        <v>0</v>
      </c>
      <c r="D49" s="984">
        <f>'Table 3 Levels 1&amp;2'!AL50</f>
        <v>5602.7225412254893</v>
      </c>
      <c r="E49" s="1074">
        <f t="shared" si="34"/>
        <v>0</v>
      </c>
      <c r="F49" s="1074">
        <f>'Table 4 Level 3'!P48</f>
        <v>574.6099999999999</v>
      </c>
      <c r="G49" s="1074">
        <f t="shared" si="35"/>
        <v>0</v>
      </c>
      <c r="H49" s="1037">
        <f t="shared" si="36"/>
        <v>0</v>
      </c>
      <c r="I49" s="1417">
        <f>'[1]Oct midyear LFNO'!K49</f>
        <v>0</v>
      </c>
      <c r="J49" s="1417">
        <f>'[1]Feb midyear LFNO '!K49</f>
        <v>0</v>
      </c>
      <c r="K49" s="1417">
        <f t="shared" si="37"/>
        <v>0</v>
      </c>
      <c r="L49" s="1436">
        <f t="shared" si="38"/>
        <v>0</v>
      </c>
      <c r="M49" s="1084">
        <f t="shared" si="39"/>
        <v>0</v>
      </c>
      <c r="N49" s="1037">
        <f t="shared" si="40"/>
        <v>0</v>
      </c>
      <c r="O49" s="1037">
        <v>0</v>
      </c>
      <c r="P49" s="1037">
        <f t="shared" si="41"/>
        <v>0</v>
      </c>
      <c r="Q49" s="1037">
        <v>0</v>
      </c>
      <c r="R49" s="1436">
        <f t="shared" si="42"/>
        <v>0</v>
      </c>
      <c r="S49" s="1436">
        <f t="shared" si="43"/>
        <v>0</v>
      </c>
      <c r="T49" s="1436"/>
      <c r="U49" s="1436">
        <f t="shared" si="44"/>
        <v>0</v>
      </c>
      <c r="V49" s="1029">
        <f>'[14]FY2012-13 Final'!K50</f>
        <v>5270</v>
      </c>
      <c r="W49" s="1031">
        <f t="shared" si="57"/>
        <v>0</v>
      </c>
      <c r="X49" s="1464">
        <f>'[20]Oct midyear LFNO'!E49</f>
        <v>0</v>
      </c>
      <c r="Y49" s="1443">
        <f t="shared" si="45"/>
        <v>0</v>
      </c>
      <c r="Z49" s="1474">
        <f>'[20]Feb midyear LFNO '!E49</f>
        <v>0</v>
      </c>
      <c r="AA49" s="1470">
        <f t="shared" si="46"/>
        <v>0</v>
      </c>
      <c r="AB49" s="1470">
        <f t="shared" si="47"/>
        <v>0</v>
      </c>
      <c r="AC49" s="1031">
        <f t="shared" si="48"/>
        <v>0</v>
      </c>
      <c r="AD49" s="1090">
        <f t="shared" si="49"/>
        <v>0</v>
      </c>
      <c r="AE49" s="1031">
        <f t="shared" si="50"/>
        <v>0</v>
      </c>
      <c r="AF49" s="1031">
        <v>0</v>
      </c>
      <c r="AG49" s="1031">
        <f t="shared" si="51"/>
        <v>0</v>
      </c>
      <c r="AH49" s="1031">
        <v>0</v>
      </c>
      <c r="AI49" s="1448">
        <f t="shared" si="52"/>
        <v>0</v>
      </c>
      <c r="AJ49" s="1448">
        <f t="shared" si="53"/>
        <v>0</v>
      </c>
      <c r="AK49" s="1032">
        <f t="shared" si="54"/>
        <v>0</v>
      </c>
      <c r="AL49" s="1032">
        <f t="shared" si="58"/>
        <v>0</v>
      </c>
      <c r="AN49" s="49">
        <f t="shared" si="55"/>
        <v>0</v>
      </c>
      <c r="AO49" s="49">
        <f>-'[22]Table 5C1E-LFNO'!AL49</f>
        <v>0</v>
      </c>
      <c r="AP49">
        <f>-'[21]Table 5C1E-LFNO'!P49</f>
        <v>0</v>
      </c>
      <c r="AQ49" s="49">
        <f t="shared" si="56"/>
        <v>0</v>
      </c>
    </row>
    <row r="50" spans="1:43">
      <c r="A50" s="975">
        <v>44</v>
      </c>
      <c r="B50" s="976" t="s">
        <v>145</v>
      </c>
      <c r="C50" s="1171">
        <f>'Table 8 2.1.12 MFP Funded'!Y47</f>
        <v>0</v>
      </c>
      <c r="D50" s="984">
        <f>'Table 3 Levels 1&amp;2'!AL51</f>
        <v>4123.0310925034155</v>
      </c>
      <c r="E50" s="1074">
        <f t="shared" si="34"/>
        <v>0</v>
      </c>
      <c r="F50" s="1074">
        <f>'Table 4 Level 3'!P49</f>
        <v>663.16000000000008</v>
      </c>
      <c r="G50" s="1074">
        <f t="shared" si="35"/>
        <v>0</v>
      </c>
      <c r="H50" s="1037">
        <f t="shared" si="36"/>
        <v>0</v>
      </c>
      <c r="I50" s="1417">
        <f>'[1]Oct midyear LFNO'!K50</f>
        <v>9572.3821850068307</v>
      </c>
      <c r="J50" s="1417">
        <f>'[1]Feb midyear LFNO '!K50</f>
        <v>0</v>
      </c>
      <c r="K50" s="1417">
        <f t="shared" si="37"/>
        <v>9572.3821850068307</v>
      </c>
      <c r="L50" s="1436">
        <f t="shared" si="38"/>
        <v>9572.3821850068307</v>
      </c>
      <c r="M50" s="1084">
        <f t="shared" si="39"/>
        <v>-23.930955462517076</v>
      </c>
      <c r="N50" s="1037">
        <f t="shared" si="40"/>
        <v>9548.4512295443128</v>
      </c>
      <c r="O50" s="1037">
        <v>0</v>
      </c>
      <c r="P50" s="1037">
        <f t="shared" si="41"/>
        <v>9548.4512295443128</v>
      </c>
      <c r="Q50" s="1037">
        <f>866*7+867+867</f>
        <v>7796</v>
      </c>
      <c r="R50" s="1436">
        <f t="shared" si="42"/>
        <v>1752.4512295443128</v>
      </c>
      <c r="S50" s="1436">
        <f t="shared" si="43"/>
        <v>876.2256147721564</v>
      </c>
      <c r="T50" s="1436"/>
      <c r="U50" s="1436">
        <f t="shared" si="44"/>
        <v>9548.4512295443128</v>
      </c>
      <c r="V50" s="1029">
        <f>'[14]FY2012-13 Final'!K51</f>
        <v>4133</v>
      </c>
      <c r="W50" s="1031">
        <f t="shared" si="57"/>
        <v>0</v>
      </c>
      <c r="X50" s="1464">
        <f>'[20]Oct midyear LFNO'!E50</f>
        <v>2</v>
      </c>
      <c r="Y50" s="1443">
        <f t="shared" si="45"/>
        <v>8266</v>
      </c>
      <c r="Z50" s="1474">
        <f>'[20]Feb midyear LFNO '!E50</f>
        <v>0</v>
      </c>
      <c r="AA50" s="1470">
        <f t="shared" si="46"/>
        <v>0</v>
      </c>
      <c r="AB50" s="1470">
        <f t="shared" si="47"/>
        <v>8266</v>
      </c>
      <c r="AC50" s="1031">
        <f t="shared" si="48"/>
        <v>8266</v>
      </c>
      <c r="AD50" s="1090">
        <f t="shared" si="49"/>
        <v>-20.664999999999999</v>
      </c>
      <c r="AE50" s="1031">
        <f t="shared" si="50"/>
        <v>8245.3349999999991</v>
      </c>
      <c r="AF50" s="1031">
        <v>0</v>
      </c>
      <c r="AG50" s="1031">
        <f t="shared" si="51"/>
        <v>8245.3349999999991</v>
      </c>
      <c r="AH50" s="1031">
        <f>845*7+571+571</f>
        <v>7057</v>
      </c>
      <c r="AI50" s="1448">
        <f t="shared" si="52"/>
        <v>1188.3349999999991</v>
      </c>
      <c r="AJ50" s="1448">
        <f t="shared" si="53"/>
        <v>594.16749999999956</v>
      </c>
      <c r="AK50" s="1032">
        <f t="shared" si="54"/>
        <v>17793.786229544312</v>
      </c>
      <c r="AL50" s="1032">
        <f t="shared" si="58"/>
        <v>1470.393114772156</v>
      </c>
      <c r="AN50" s="49">
        <f t="shared" si="55"/>
        <v>-20.664999999999999</v>
      </c>
      <c r="AO50" s="49">
        <f>-'[22]Table 5C1E-LFNO'!AL50</f>
        <v>20.545000000000002</v>
      </c>
      <c r="AP50">
        <f>-'[21]Table 5C1E-LFNO'!P50</f>
        <v>0</v>
      </c>
      <c r="AQ50" s="49">
        <f t="shared" si="56"/>
        <v>-0.11999999999999744</v>
      </c>
    </row>
    <row r="51" spans="1:43">
      <c r="A51" s="979">
        <v>45</v>
      </c>
      <c r="B51" s="980" t="s">
        <v>146</v>
      </c>
      <c r="C51" s="1172">
        <f>'Table 8 2.1.12 MFP Funded'!Y48</f>
        <v>0</v>
      </c>
      <c r="D51" s="986">
        <f>'Table 3 Levels 1&amp;2'!AL52</f>
        <v>2428.6757675555082</v>
      </c>
      <c r="E51" s="1075">
        <f t="shared" si="34"/>
        <v>0</v>
      </c>
      <c r="F51" s="1075">
        <f>'Table 4 Level 3'!P50</f>
        <v>753.96000000000015</v>
      </c>
      <c r="G51" s="1075">
        <f t="shared" si="35"/>
        <v>0</v>
      </c>
      <c r="H51" s="1038">
        <f t="shared" si="36"/>
        <v>0</v>
      </c>
      <c r="I51" s="1418">
        <f>'[1]Oct midyear LFNO'!K51</f>
        <v>3182.6357675555082</v>
      </c>
      <c r="J51" s="1418">
        <f>'[1]Feb midyear LFNO '!K51</f>
        <v>0</v>
      </c>
      <c r="K51" s="1418">
        <f t="shared" si="37"/>
        <v>3182.6357675555082</v>
      </c>
      <c r="L51" s="1437">
        <f t="shared" si="38"/>
        <v>3182.6357675555082</v>
      </c>
      <c r="M51" s="1085">
        <f t="shared" si="39"/>
        <v>-7.9565894188887709</v>
      </c>
      <c r="N51" s="1038">
        <f t="shared" si="40"/>
        <v>3174.6791781366196</v>
      </c>
      <c r="O51" s="1038">
        <v>0</v>
      </c>
      <c r="P51" s="1038">
        <f t="shared" si="41"/>
        <v>3174.6791781366196</v>
      </c>
      <c r="Q51" s="1038">
        <f>287*7+288+288</f>
        <v>2585</v>
      </c>
      <c r="R51" s="1437">
        <f t="shared" si="42"/>
        <v>589.67917813661961</v>
      </c>
      <c r="S51" s="1437">
        <f t="shared" si="43"/>
        <v>294.83958906830981</v>
      </c>
      <c r="T51" s="1437"/>
      <c r="U51" s="1437">
        <f t="shared" si="44"/>
        <v>3174.6791781366196</v>
      </c>
      <c r="V51" s="1034">
        <f>'[14]FY2012-13 Final'!K52</f>
        <v>12446</v>
      </c>
      <c r="W51" s="1035">
        <f t="shared" si="57"/>
        <v>0</v>
      </c>
      <c r="X51" s="1465">
        <f>'[20]Oct midyear LFNO'!E51</f>
        <v>1</v>
      </c>
      <c r="Y51" s="1445">
        <f t="shared" si="45"/>
        <v>12446</v>
      </c>
      <c r="Z51" s="1475">
        <f>'[20]Feb midyear LFNO '!E51</f>
        <v>0</v>
      </c>
      <c r="AA51" s="1471">
        <f t="shared" si="46"/>
        <v>0</v>
      </c>
      <c r="AB51" s="1471">
        <f t="shared" si="47"/>
        <v>12446</v>
      </c>
      <c r="AC51" s="1035">
        <f t="shared" si="48"/>
        <v>12446</v>
      </c>
      <c r="AD51" s="1091">
        <f t="shared" si="49"/>
        <v>-31.115000000000002</v>
      </c>
      <c r="AE51" s="1035">
        <f t="shared" si="50"/>
        <v>12414.885</v>
      </c>
      <c r="AF51" s="1035">
        <v>0</v>
      </c>
      <c r="AG51" s="1035">
        <f t="shared" si="51"/>
        <v>12414.885</v>
      </c>
      <c r="AH51" s="1035">
        <f>1056*7+1251+1251</f>
        <v>9894</v>
      </c>
      <c r="AI51" s="1450">
        <f t="shared" si="52"/>
        <v>2520.8850000000002</v>
      </c>
      <c r="AJ51" s="1450">
        <f t="shared" si="53"/>
        <v>1260.4425000000001</v>
      </c>
      <c r="AK51" s="1036">
        <f t="shared" si="54"/>
        <v>15589.564178136619</v>
      </c>
      <c r="AL51" s="1036">
        <f t="shared" si="58"/>
        <v>1555.2820890683099</v>
      </c>
      <c r="AN51" s="49">
        <f t="shared" si="55"/>
        <v>-31.115000000000002</v>
      </c>
      <c r="AO51" s="49">
        <f>-'[22]Table 5C1E-LFNO'!AL51</f>
        <v>31.067499999999999</v>
      </c>
      <c r="AP51">
        <f>-'[21]Table 5C1E-LFNO'!P51</f>
        <v>0</v>
      </c>
      <c r="AQ51" s="49">
        <f t="shared" si="56"/>
        <v>-4.7500000000002984E-2</v>
      </c>
    </row>
    <row r="52" spans="1:43">
      <c r="A52" s="968">
        <v>46</v>
      </c>
      <c r="B52" s="969" t="s">
        <v>147</v>
      </c>
      <c r="C52" s="1173">
        <f>'Table 8 2.1.12 MFP Funded'!Y49</f>
        <v>0</v>
      </c>
      <c r="D52" s="988">
        <f>'Table 3 Levels 1&amp;2'!AL53</f>
        <v>5783.612845780598</v>
      </c>
      <c r="E52" s="1076">
        <f t="shared" si="34"/>
        <v>0</v>
      </c>
      <c r="F52" s="1076">
        <f>'Table 4 Level 3'!P51</f>
        <v>728.06</v>
      </c>
      <c r="G52" s="1076">
        <f t="shared" si="35"/>
        <v>0</v>
      </c>
      <c r="H52" s="1039">
        <f t="shared" si="36"/>
        <v>0</v>
      </c>
      <c r="I52" s="1419">
        <f>'[1]Oct midyear LFNO'!K52</f>
        <v>0</v>
      </c>
      <c r="J52" s="1419">
        <f>'[1]Feb midyear LFNO '!K52</f>
        <v>0</v>
      </c>
      <c r="K52" s="1419">
        <f t="shared" si="37"/>
        <v>0</v>
      </c>
      <c r="L52" s="1211">
        <f t="shared" si="38"/>
        <v>0</v>
      </c>
      <c r="M52" s="1086">
        <f t="shared" si="39"/>
        <v>0</v>
      </c>
      <c r="N52" s="1039">
        <f t="shared" si="40"/>
        <v>0</v>
      </c>
      <c r="O52" s="1039">
        <v>0</v>
      </c>
      <c r="P52" s="1039">
        <f t="shared" si="41"/>
        <v>0</v>
      </c>
      <c r="Q52" s="1039">
        <v>0</v>
      </c>
      <c r="R52" s="1211">
        <f t="shared" si="42"/>
        <v>0</v>
      </c>
      <c r="S52" s="1211">
        <f t="shared" si="43"/>
        <v>0</v>
      </c>
      <c r="T52" s="1211"/>
      <c r="U52" s="1211">
        <f t="shared" si="44"/>
        <v>0</v>
      </c>
      <c r="V52" s="1029">
        <f>'[14]FY2012-13 Final'!K53</f>
        <v>1976</v>
      </c>
      <c r="W52" s="973">
        <f t="shared" si="57"/>
        <v>0</v>
      </c>
      <c r="X52" s="1466">
        <f>'[20]Oct midyear LFNO'!E52</f>
        <v>0</v>
      </c>
      <c r="Y52" s="1444">
        <f t="shared" si="45"/>
        <v>0</v>
      </c>
      <c r="Z52" s="1466">
        <f>'[20]Feb midyear LFNO '!E52</f>
        <v>0</v>
      </c>
      <c r="AA52" s="1444">
        <f t="shared" si="46"/>
        <v>0</v>
      </c>
      <c r="AB52" s="1444">
        <f t="shared" si="47"/>
        <v>0</v>
      </c>
      <c r="AC52" s="973">
        <f t="shared" si="48"/>
        <v>0</v>
      </c>
      <c r="AD52" s="1089">
        <f t="shared" si="49"/>
        <v>0</v>
      </c>
      <c r="AE52" s="973">
        <f t="shared" si="50"/>
        <v>0</v>
      </c>
      <c r="AF52" s="973">
        <v>0</v>
      </c>
      <c r="AG52" s="973">
        <f t="shared" si="51"/>
        <v>0</v>
      </c>
      <c r="AH52" s="973">
        <v>0</v>
      </c>
      <c r="AI52" s="1214">
        <f t="shared" si="52"/>
        <v>0</v>
      </c>
      <c r="AJ52" s="1214">
        <f t="shared" si="53"/>
        <v>0</v>
      </c>
      <c r="AK52" s="974">
        <f t="shared" si="54"/>
        <v>0</v>
      </c>
      <c r="AL52" s="974">
        <f t="shared" si="58"/>
        <v>0</v>
      </c>
      <c r="AN52" s="49">
        <f t="shared" si="55"/>
        <v>0</v>
      </c>
      <c r="AO52" s="49">
        <f>-'[22]Table 5C1E-LFNO'!AL52</f>
        <v>0</v>
      </c>
      <c r="AP52">
        <f>-'[21]Table 5C1E-LFNO'!P52</f>
        <v>0</v>
      </c>
      <c r="AQ52" s="49">
        <f t="shared" si="56"/>
        <v>0</v>
      </c>
    </row>
    <row r="53" spans="1:43">
      <c r="A53" s="975">
        <v>47</v>
      </c>
      <c r="B53" s="976" t="s">
        <v>148</v>
      </c>
      <c r="C53" s="1171">
        <f>'Table 8 2.1.12 MFP Funded'!Y50</f>
        <v>0</v>
      </c>
      <c r="D53" s="984">
        <f>'Table 3 Levels 1&amp;2'!AL54</f>
        <v>3209.8138023141523</v>
      </c>
      <c r="E53" s="1074">
        <f t="shared" si="34"/>
        <v>0</v>
      </c>
      <c r="F53" s="1074">
        <f>'Table 4 Level 3'!P52</f>
        <v>910.76</v>
      </c>
      <c r="G53" s="1074">
        <f t="shared" si="35"/>
        <v>0</v>
      </c>
      <c r="H53" s="1037">
        <f t="shared" si="36"/>
        <v>0</v>
      </c>
      <c r="I53" s="1417">
        <f>'[1]Oct midyear LFNO'!K53</f>
        <v>0</v>
      </c>
      <c r="J53" s="1417">
        <f>'[1]Feb midyear LFNO '!K53</f>
        <v>0</v>
      </c>
      <c r="K53" s="1417">
        <f t="shared" si="37"/>
        <v>0</v>
      </c>
      <c r="L53" s="1436">
        <f t="shared" si="38"/>
        <v>0</v>
      </c>
      <c r="M53" s="1084">
        <f t="shared" si="39"/>
        <v>0</v>
      </c>
      <c r="N53" s="1037">
        <f t="shared" si="40"/>
        <v>0</v>
      </c>
      <c r="O53" s="1037">
        <v>0</v>
      </c>
      <c r="P53" s="1037">
        <f t="shared" si="41"/>
        <v>0</v>
      </c>
      <c r="Q53" s="1037">
        <v>0</v>
      </c>
      <c r="R53" s="1436">
        <f t="shared" si="42"/>
        <v>0</v>
      </c>
      <c r="S53" s="1436">
        <f t="shared" si="43"/>
        <v>0</v>
      </c>
      <c r="T53" s="1436"/>
      <c r="U53" s="1436">
        <f t="shared" si="44"/>
        <v>0</v>
      </c>
      <c r="V53" s="1029">
        <f>'[14]FY2012-13 Final'!K54</f>
        <v>10067</v>
      </c>
      <c r="W53" s="1031">
        <f t="shared" si="57"/>
        <v>0</v>
      </c>
      <c r="X53" s="1464">
        <f>'[20]Oct midyear LFNO'!E53</f>
        <v>0</v>
      </c>
      <c r="Y53" s="1443">
        <f t="shared" si="45"/>
        <v>0</v>
      </c>
      <c r="Z53" s="1474">
        <f>'[20]Feb midyear LFNO '!E53</f>
        <v>0</v>
      </c>
      <c r="AA53" s="1470">
        <f t="shared" si="46"/>
        <v>0</v>
      </c>
      <c r="AB53" s="1470">
        <f t="shared" si="47"/>
        <v>0</v>
      </c>
      <c r="AC53" s="1031">
        <f t="shared" si="48"/>
        <v>0</v>
      </c>
      <c r="AD53" s="1090">
        <f t="shared" si="49"/>
        <v>0</v>
      </c>
      <c r="AE53" s="1031">
        <f t="shared" si="50"/>
        <v>0</v>
      </c>
      <c r="AF53" s="1031">
        <v>0</v>
      </c>
      <c r="AG53" s="1031">
        <f t="shared" si="51"/>
        <v>0</v>
      </c>
      <c r="AH53" s="1031">
        <v>0</v>
      </c>
      <c r="AI53" s="1448">
        <f t="shared" si="52"/>
        <v>0</v>
      </c>
      <c r="AJ53" s="1448">
        <f t="shared" si="53"/>
        <v>0</v>
      </c>
      <c r="AK53" s="1032">
        <f t="shared" si="54"/>
        <v>0</v>
      </c>
      <c r="AL53" s="1032">
        <f t="shared" si="58"/>
        <v>0</v>
      </c>
      <c r="AN53" s="49">
        <f t="shared" si="55"/>
        <v>0</v>
      </c>
      <c r="AO53" s="49">
        <f>-'[22]Table 5C1E-LFNO'!AL53</f>
        <v>0</v>
      </c>
      <c r="AP53">
        <f>-'[21]Table 5C1E-LFNO'!P53</f>
        <v>0</v>
      </c>
      <c r="AQ53" s="49">
        <f t="shared" si="56"/>
        <v>0</v>
      </c>
    </row>
    <row r="54" spans="1:43">
      <c r="A54" s="975">
        <v>48</v>
      </c>
      <c r="B54" s="976" t="s">
        <v>217</v>
      </c>
      <c r="C54" s="1171">
        <f>'Table 8 2.1.12 MFP Funded'!Y51</f>
        <v>0</v>
      </c>
      <c r="D54" s="984">
        <f>'Table 3 Levels 1&amp;2'!AL55</f>
        <v>4278.1956772731837</v>
      </c>
      <c r="E54" s="1074">
        <f t="shared" si="34"/>
        <v>0</v>
      </c>
      <c r="F54" s="1074">
        <f>'Table 4 Level 3'!P53</f>
        <v>871.07</v>
      </c>
      <c r="G54" s="1074">
        <f t="shared" si="35"/>
        <v>0</v>
      </c>
      <c r="H54" s="1037">
        <f t="shared" si="36"/>
        <v>0</v>
      </c>
      <c r="I54" s="1417">
        <f>'[1]Oct midyear LFNO'!K54</f>
        <v>0</v>
      </c>
      <c r="J54" s="1417">
        <f>'[1]Feb midyear LFNO '!K54</f>
        <v>0</v>
      </c>
      <c r="K54" s="1417">
        <f t="shared" si="37"/>
        <v>0</v>
      </c>
      <c r="L54" s="1436">
        <f t="shared" si="38"/>
        <v>0</v>
      </c>
      <c r="M54" s="1084">
        <f t="shared" si="39"/>
        <v>0</v>
      </c>
      <c r="N54" s="1037">
        <f t="shared" si="40"/>
        <v>0</v>
      </c>
      <c r="O54" s="1037">
        <v>0</v>
      </c>
      <c r="P54" s="1037">
        <f t="shared" si="41"/>
        <v>0</v>
      </c>
      <c r="Q54" s="1037">
        <v>0</v>
      </c>
      <c r="R54" s="1436">
        <f t="shared" si="42"/>
        <v>0</v>
      </c>
      <c r="S54" s="1436">
        <f t="shared" si="43"/>
        <v>0</v>
      </c>
      <c r="T54" s="1436"/>
      <c r="U54" s="1436">
        <f t="shared" si="44"/>
        <v>0</v>
      </c>
      <c r="V54" s="1029">
        <f>'[14]FY2012-13 Final'!K55</f>
        <v>5849</v>
      </c>
      <c r="W54" s="1031">
        <f t="shared" si="57"/>
        <v>0</v>
      </c>
      <c r="X54" s="1464">
        <f>'[20]Oct midyear LFNO'!E54</f>
        <v>0</v>
      </c>
      <c r="Y54" s="1443">
        <f t="shared" si="45"/>
        <v>0</v>
      </c>
      <c r="Z54" s="1474">
        <f>'[20]Feb midyear LFNO '!E54</f>
        <v>0</v>
      </c>
      <c r="AA54" s="1470">
        <f t="shared" si="46"/>
        <v>0</v>
      </c>
      <c r="AB54" s="1470">
        <f t="shared" si="47"/>
        <v>0</v>
      </c>
      <c r="AC54" s="1031">
        <f t="shared" si="48"/>
        <v>0</v>
      </c>
      <c r="AD54" s="1090">
        <f t="shared" si="49"/>
        <v>0</v>
      </c>
      <c r="AE54" s="1031">
        <f t="shared" si="50"/>
        <v>0</v>
      </c>
      <c r="AF54" s="1031">
        <v>0</v>
      </c>
      <c r="AG54" s="1031">
        <f t="shared" si="51"/>
        <v>0</v>
      </c>
      <c r="AH54" s="1031">
        <v>0</v>
      </c>
      <c r="AI54" s="1448">
        <f t="shared" si="52"/>
        <v>0</v>
      </c>
      <c r="AJ54" s="1448">
        <f t="shared" si="53"/>
        <v>0</v>
      </c>
      <c r="AK54" s="1032">
        <f t="shared" si="54"/>
        <v>0</v>
      </c>
      <c r="AL54" s="1032">
        <f t="shared" si="58"/>
        <v>0</v>
      </c>
      <c r="AN54" s="49">
        <f t="shared" si="55"/>
        <v>0</v>
      </c>
      <c r="AO54" s="49">
        <f>-'[22]Table 5C1E-LFNO'!AL54</f>
        <v>0</v>
      </c>
      <c r="AP54">
        <f>-'[21]Table 5C1E-LFNO'!P54</f>
        <v>0</v>
      </c>
      <c r="AQ54" s="49">
        <f t="shared" si="56"/>
        <v>0</v>
      </c>
    </row>
    <row r="55" spans="1:43">
      <c r="A55" s="975">
        <v>49</v>
      </c>
      <c r="B55" s="976" t="s">
        <v>149</v>
      </c>
      <c r="C55" s="1171">
        <f>'Table 8 2.1.12 MFP Funded'!Y52</f>
        <v>0</v>
      </c>
      <c r="D55" s="984">
        <f>'Table 3 Levels 1&amp;2'!AL56</f>
        <v>4819.172186397177</v>
      </c>
      <c r="E55" s="1074">
        <f t="shared" si="34"/>
        <v>0</v>
      </c>
      <c r="F55" s="1074">
        <f>'Table 4 Level 3'!P54</f>
        <v>574.43999999999994</v>
      </c>
      <c r="G55" s="1074">
        <f t="shared" si="35"/>
        <v>0</v>
      </c>
      <c r="H55" s="1037">
        <f t="shared" si="36"/>
        <v>0</v>
      </c>
      <c r="I55" s="1417">
        <f>'[1]Oct midyear LFNO'!K55</f>
        <v>0</v>
      </c>
      <c r="J55" s="1417">
        <f>'[1]Feb midyear LFNO '!K55</f>
        <v>0</v>
      </c>
      <c r="K55" s="1417">
        <f t="shared" si="37"/>
        <v>0</v>
      </c>
      <c r="L55" s="1436">
        <f t="shared" si="38"/>
        <v>0</v>
      </c>
      <c r="M55" s="1084">
        <f t="shared" si="39"/>
        <v>0</v>
      </c>
      <c r="N55" s="1037">
        <f t="shared" si="40"/>
        <v>0</v>
      </c>
      <c r="O55" s="1037">
        <v>0</v>
      </c>
      <c r="P55" s="1037">
        <f t="shared" si="41"/>
        <v>0</v>
      </c>
      <c r="Q55" s="1037">
        <v>0</v>
      </c>
      <c r="R55" s="1436">
        <f t="shared" si="42"/>
        <v>0</v>
      </c>
      <c r="S55" s="1436">
        <f t="shared" si="43"/>
        <v>0</v>
      </c>
      <c r="T55" s="1436"/>
      <c r="U55" s="1436">
        <f t="shared" si="44"/>
        <v>0</v>
      </c>
      <c r="V55" s="1029">
        <f>'[14]FY2012-13 Final'!K56</f>
        <v>2345</v>
      </c>
      <c r="W55" s="1031">
        <f t="shared" si="57"/>
        <v>0</v>
      </c>
      <c r="X55" s="1464">
        <f>'[20]Oct midyear LFNO'!E55</f>
        <v>0</v>
      </c>
      <c r="Y55" s="1443">
        <f t="shared" si="45"/>
        <v>0</v>
      </c>
      <c r="Z55" s="1474">
        <f>'[20]Feb midyear LFNO '!E55</f>
        <v>0</v>
      </c>
      <c r="AA55" s="1470">
        <f t="shared" si="46"/>
        <v>0</v>
      </c>
      <c r="AB55" s="1470">
        <f t="shared" si="47"/>
        <v>0</v>
      </c>
      <c r="AC55" s="1031">
        <f t="shared" si="48"/>
        <v>0</v>
      </c>
      <c r="AD55" s="1090">
        <f t="shared" si="49"/>
        <v>0</v>
      </c>
      <c r="AE55" s="1031">
        <f t="shared" si="50"/>
        <v>0</v>
      </c>
      <c r="AF55" s="1031">
        <v>0</v>
      </c>
      <c r="AG55" s="1031">
        <f t="shared" si="51"/>
        <v>0</v>
      </c>
      <c r="AH55" s="1031">
        <v>0</v>
      </c>
      <c r="AI55" s="1448">
        <f t="shared" si="52"/>
        <v>0</v>
      </c>
      <c r="AJ55" s="1448">
        <f t="shared" si="53"/>
        <v>0</v>
      </c>
      <c r="AK55" s="1032">
        <f t="shared" si="54"/>
        <v>0</v>
      </c>
      <c r="AL55" s="1032">
        <f t="shared" si="58"/>
        <v>0</v>
      </c>
      <c r="AN55" s="49">
        <f t="shared" si="55"/>
        <v>0</v>
      </c>
      <c r="AO55" s="49">
        <f>-'[22]Table 5C1E-LFNO'!AL55</f>
        <v>0</v>
      </c>
      <c r="AP55">
        <f>-'[21]Table 5C1E-LFNO'!P55</f>
        <v>0</v>
      </c>
      <c r="AQ55" s="49">
        <f t="shared" si="56"/>
        <v>0</v>
      </c>
    </row>
    <row r="56" spans="1:43">
      <c r="A56" s="979">
        <v>50</v>
      </c>
      <c r="B56" s="980" t="s">
        <v>150</v>
      </c>
      <c r="C56" s="1172">
        <f>'Table 8 2.1.12 MFP Funded'!Y53</f>
        <v>0</v>
      </c>
      <c r="D56" s="986">
        <f>'Table 3 Levels 1&amp;2'!AL57</f>
        <v>5078.3381494368732</v>
      </c>
      <c r="E56" s="1075">
        <f t="shared" si="34"/>
        <v>0</v>
      </c>
      <c r="F56" s="1075">
        <f>'Table 4 Level 3'!P55</f>
        <v>634.46</v>
      </c>
      <c r="G56" s="1075">
        <f t="shared" si="35"/>
        <v>0</v>
      </c>
      <c r="H56" s="1038">
        <f t="shared" si="36"/>
        <v>0</v>
      </c>
      <c r="I56" s="1418">
        <f>'[1]Oct midyear LFNO'!K56</f>
        <v>0</v>
      </c>
      <c r="J56" s="1418">
        <f>'[1]Feb midyear LFNO '!K56</f>
        <v>0</v>
      </c>
      <c r="K56" s="1418">
        <f t="shared" si="37"/>
        <v>0</v>
      </c>
      <c r="L56" s="1437">
        <f t="shared" si="38"/>
        <v>0</v>
      </c>
      <c r="M56" s="1085">
        <f t="shared" si="39"/>
        <v>0</v>
      </c>
      <c r="N56" s="1038">
        <f t="shared" si="40"/>
        <v>0</v>
      </c>
      <c r="O56" s="1038">
        <v>0</v>
      </c>
      <c r="P56" s="1038">
        <f t="shared" si="41"/>
        <v>0</v>
      </c>
      <c r="Q56" s="1038">
        <v>0</v>
      </c>
      <c r="R56" s="1437">
        <f t="shared" si="42"/>
        <v>0</v>
      </c>
      <c r="S56" s="1437">
        <f t="shared" si="43"/>
        <v>0</v>
      </c>
      <c r="T56" s="1437"/>
      <c r="U56" s="1437">
        <f t="shared" si="44"/>
        <v>0</v>
      </c>
      <c r="V56" s="1034">
        <f>'[14]FY2012-13 Final'!K57</f>
        <v>2810</v>
      </c>
      <c r="W56" s="1035">
        <f t="shared" si="57"/>
        <v>0</v>
      </c>
      <c r="X56" s="1465">
        <f>'[20]Oct midyear LFNO'!E56</f>
        <v>0</v>
      </c>
      <c r="Y56" s="1445">
        <f t="shared" si="45"/>
        <v>0</v>
      </c>
      <c r="Z56" s="1475">
        <f>'[20]Feb midyear LFNO '!E56</f>
        <v>0</v>
      </c>
      <c r="AA56" s="1471">
        <f t="shared" si="46"/>
        <v>0</v>
      </c>
      <c r="AB56" s="1471">
        <f t="shared" si="47"/>
        <v>0</v>
      </c>
      <c r="AC56" s="1035">
        <f t="shared" si="48"/>
        <v>0</v>
      </c>
      <c r="AD56" s="1091">
        <f t="shared" si="49"/>
        <v>0</v>
      </c>
      <c r="AE56" s="1035">
        <f t="shared" si="50"/>
        <v>0</v>
      </c>
      <c r="AF56" s="1035">
        <v>0</v>
      </c>
      <c r="AG56" s="1035">
        <f t="shared" si="51"/>
        <v>0</v>
      </c>
      <c r="AH56" s="1035">
        <v>0</v>
      </c>
      <c r="AI56" s="1450">
        <f t="shared" si="52"/>
        <v>0</v>
      </c>
      <c r="AJ56" s="1450">
        <f t="shared" si="53"/>
        <v>0</v>
      </c>
      <c r="AK56" s="1036">
        <f t="shared" si="54"/>
        <v>0</v>
      </c>
      <c r="AL56" s="1036">
        <f t="shared" si="58"/>
        <v>0</v>
      </c>
      <c r="AN56" s="49">
        <f t="shared" si="55"/>
        <v>0</v>
      </c>
      <c r="AO56" s="49">
        <f>-'[22]Table 5C1E-LFNO'!AL56</f>
        <v>0</v>
      </c>
      <c r="AP56">
        <f>-'[21]Table 5C1E-LFNO'!P56</f>
        <v>0</v>
      </c>
      <c r="AQ56" s="49">
        <f t="shared" si="56"/>
        <v>0</v>
      </c>
    </row>
    <row r="57" spans="1:43">
      <c r="A57" s="968">
        <v>51</v>
      </c>
      <c r="B57" s="969" t="s">
        <v>151</v>
      </c>
      <c r="C57" s="1173">
        <f>'Table 8 2.1.12 MFP Funded'!Y54</f>
        <v>0</v>
      </c>
      <c r="D57" s="988">
        <f>'Table 3 Levels 1&amp;2'!AL58</f>
        <v>4327.8748353683095</v>
      </c>
      <c r="E57" s="1076">
        <f t="shared" si="34"/>
        <v>0</v>
      </c>
      <c r="F57" s="1076">
        <f>'Table 4 Level 3'!P56</f>
        <v>706.66</v>
      </c>
      <c r="G57" s="1076">
        <f t="shared" si="35"/>
        <v>0</v>
      </c>
      <c r="H57" s="1039">
        <f t="shared" si="36"/>
        <v>0</v>
      </c>
      <c r="I57" s="1419">
        <f>'[1]Oct midyear LFNO'!K57</f>
        <v>0</v>
      </c>
      <c r="J57" s="1419">
        <f>'[1]Feb midyear LFNO '!K57</f>
        <v>0</v>
      </c>
      <c r="K57" s="1419">
        <f t="shared" si="37"/>
        <v>0</v>
      </c>
      <c r="L57" s="1211">
        <f t="shared" si="38"/>
        <v>0</v>
      </c>
      <c r="M57" s="1086">
        <f t="shared" si="39"/>
        <v>0</v>
      </c>
      <c r="N57" s="1039">
        <f t="shared" si="40"/>
        <v>0</v>
      </c>
      <c r="O57" s="1039">
        <v>0</v>
      </c>
      <c r="P57" s="1039">
        <f t="shared" si="41"/>
        <v>0</v>
      </c>
      <c r="Q57" s="1039">
        <v>0</v>
      </c>
      <c r="R57" s="1211">
        <f t="shared" si="42"/>
        <v>0</v>
      </c>
      <c r="S57" s="1211">
        <f t="shared" si="43"/>
        <v>0</v>
      </c>
      <c r="T57" s="1211"/>
      <c r="U57" s="1211">
        <f t="shared" si="44"/>
        <v>0</v>
      </c>
      <c r="V57" s="1029">
        <f>'[14]FY2012-13 Final'!K58</f>
        <v>4191</v>
      </c>
      <c r="W57" s="973">
        <f t="shared" si="57"/>
        <v>0</v>
      </c>
      <c r="X57" s="1466">
        <f>'[20]Oct midyear LFNO'!E57</f>
        <v>0</v>
      </c>
      <c r="Y57" s="1444">
        <f t="shared" si="45"/>
        <v>0</v>
      </c>
      <c r="Z57" s="1466">
        <f>'[20]Feb midyear LFNO '!E57</f>
        <v>0</v>
      </c>
      <c r="AA57" s="1444">
        <f t="shared" si="46"/>
        <v>0</v>
      </c>
      <c r="AB57" s="1444">
        <f t="shared" si="47"/>
        <v>0</v>
      </c>
      <c r="AC57" s="973">
        <f t="shared" si="48"/>
        <v>0</v>
      </c>
      <c r="AD57" s="1089">
        <f t="shared" si="49"/>
        <v>0</v>
      </c>
      <c r="AE57" s="973">
        <f t="shared" si="50"/>
        <v>0</v>
      </c>
      <c r="AF57" s="973">
        <v>0</v>
      </c>
      <c r="AG57" s="973">
        <f t="shared" si="51"/>
        <v>0</v>
      </c>
      <c r="AH57" s="973">
        <v>0</v>
      </c>
      <c r="AI57" s="1214">
        <f t="shared" si="52"/>
        <v>0</v>
      </c>
      <c r="AJ57" s="1214">
        <f t="shared" si="53"/>
        <v>0</v>
      </c>
      <c r="AK57" s="974">
        <f t="shared" si="54"/>
        <v>0</v>
      </c>
      <c r="AL57" s="974">
        <f t="shared" si="58"/>
        <v>0</v>
      </c>
      <c r="AN57" s="49">
        <f t="shared" si="55"/>
        <v>0</v>
      </c>
      <c r="AO57" s="49">
        <f>-'[22]Table 5C1E-LFNO'!AL57</f>
        <v>0</v>
      </c>
      <c r="AP57">
        <f>-'[21]Table 5C1E-LFNO'!P57</f>
        <v>0</v>
      </c>
      <c r="AQ57" s="49">
        <f t="shared" si="56"/>
        <v>0</v>
      </c>
    </row>
    <row r="58" spans="1:43">
      <c r="A58" s="975">
        <v>52</v>
      </c>
      <c r="B58" s="976" t="s">
        <v>152</v>
      </c>
      <c r="C58" s="1171">
        <f>'Table 8 2.1.12 MFP Funded'!Y55</f>
        <v>0</v>
      </c>
      <c r="D58" s="984">
        <f>'Table 3 Levels 1&amp;2'!AL59</f>
        <v>4936.6461759855838</v>
      </c>
      <c r="E58" s="1074">
        <f t="shared" si="34"/>
        <v>0</v>
      </c>
      <c r="F58" s="1074">
        <f>'Table 4 Level 3'!P57</f>
        <v>658.37</v>
      </c>
      <c r="G58" s="1074">
        <f t="shared" si="35"/>
        <v>0</v>
      </c>
      <c r="H58" s="1037">
        <f t="shared" si="36"/>
        <v>0</v>
      </c>
      <c r="I58" s="1417">
        <f>'[1]Oct midyear LFNO'!K58</f>
        <v>5595.0161759855837</v>
      </c>
      <c r="J58" s="1417">
        <f>'[1]Feb midyear LFNO '!K58</f>
        <v>0</v>
      </c>
      <c r="K58" s="1417">
        <f t="shared" si="37"/>
        <v>5595.0161759855837</v>
      </c>
      <c r="L58" s="1436">
        <f t="shared" si="38"/>
        <v>5595.0161759855837</v>
      </c>
      <c r="M58" s="1084">
        <f t="shared" si="39"/>
        <v>-13.98754043996396</v>
      </c>
      <c r="N58" s="1037">
        <f t="shared" si="40"/>
        <v>5581.0286355456201</v>
      </c>
      <c r="O58" s="1037">
        <v>0</v>
      </c>
      <c r="P58" s="1037">
        <f t="shared" si="41"/>
        <v>5581.0286355456201</v>
      </c>
      <c r="Q58" s="1037">
        <f>506*9</f>
        <v>4554</v>
      </c>
      <c r="R58" s="1436">
        <f t="shared" si="42"/>
        <v>1027.0286355456201</v>
      </c>
      <c r="S58" s="1436">
        <f t="shared" si="43"/>
        <v>513.51431777281005</v>
      </c>
      <c r="T58" s="1436"/>
      <c r="U58" s="1436">
        <f t="shared" si="44"/>
        <v>5581.0286355456201</v>
      </c>
      <c r="V58" s="1029">
        <f>'[14]FY2012-13 Final'!K59</f>
        <v>4895</v>
      </c>
      <c r="W58" s="1031">
        <f t="shared" si="57"/>
        <v>0</v>
      </c>
      <c r="X58" s="1464">
        <f>'[20]Oct midyear LFNO'!E58</f>
        <v>1</v>
      </c>
      <c r="Y58" s="1443">
        <f t="shared" si="45"/>
        <v>4895</v>
      </c>
      <c r="Z58" s="1474">
        <f>'[20]Feb midyear LFNO '!E58</f>
        <v>0</v>
      </c>
      <c r="AA58" s="1470">
        <f t="shared" si="46"/>
        <v>0</v>
      </c>
      <c r="AB58" s="1470">
        <f t="shared" si="47"/>
        <v>4895</v>
      </c>
      <c r="AC58" s="1031">
        <f t="shared" si="48"/>
        <v>4895</v>
      </c>
      <c r="AD58" s="1090">
        <f t="shared" si="49"/>
        <v>-12.237500000000001</v>
      </c>
      <c r="AE58" s="1031">
        <f t="shared" si="50"/>
        <v>4882.7624999999998</v>
      </c>
      <c r="AF58" s="1031">
        <v>0</v>
      </c>
      <c r="AG58" s="1031">
        <f t="shared" si="51"/>
        <v>4882.7624999999998</v>
      </c>
      <c r="AH58" s="1031">
        <f>431*7+464+464</f>
        <v>3945</v>
      </c>
      <c r="AI58" s="1448">
        <f t="shared" si="52"/>
        <v>937.76249999999982</v>
      </c>
      <c r="AJ58" s="1448">
        <f t="shared" si="53"/>
        <v>468.88124999999991</v>
      </c>
      <c r="AK58" s="1032">
        <f t="shared" si="54"/>
        <v>10463.79113554562</v>
      </c>
      <c r="AL58" s="1032">
        <f t="shared" si="58"/>
        <v>982.39556777280995</v>
      </c>
      <c r="AN58" s="49">
        <f t="shared" si="55"/>
        <v>-12.237500000000001</v>
      </c>
      <c r="AO58" s="49">
        <f>-'[22]Table 5C1E-LFNO'!AL58</f>
        <v>12.215</v>
      </c>
      <c r="AP58">
        <f>-'[21]Table 5C1E-LFNO'!P58</f>
        <v>0</v>
      </c>
      <c r="AQ58" s="49">
        <f t="shared" si="56"/>
        <v>-2.2500000000000853E-2</v>
      </c>
    </row>
    <row r="59" spans="1:43">
      <c r="A59" s="975">
        <v>53</v>
      </c>
      <c r="B59" s="976" t="s">
        <v>153</v>
      </c>
      <c r="C59" s="1171">
        <f>'Table 8 2.1.12 MFP Funded'!Y56</f>
        <v>0</v>
      </c>
      <c r="D59" s="984">
        <f>'Table 3 Levels 1&amp;2'!AL60</f>
        <v>4800.3207499962118</v>
      </c>
      <c r="E59" s="1074">
        <f t="shared" si="34"/>
        <v>0</v>
      </c>
      <c r="F59" s="1074">
        <f>'Table 4 Level 3'!P58</f>
        <v>689.74</v>
      </c>
      <c r="G59" s="1074">
        <f t="shared" si="35"/>
        <v>0</v>
      </c>
      <c r="H59" s="1037">
        <f t="shared" si="36"/>
        <v>0</v>
      </c>
      <c r="I59" s="1417">
        <f>'[1]Oct midyear LFNO'!K59</f>
        <v>0</v>
      </c>
      <c r="J59" s="1417">
        <f>'[1]Feb midyear LFNO '!K59</f>
        <v>0</v>
      </c>
      <c r="K59" s="1417">
        <f t="shared" si="37"/>
        <v>0</v>
      </c>
      <c r="L59" s="1436">
        <f t="shared" si="38"/>
        <v>0</v>
      </c>
      <c r="M59" s="1084">
        <f t="shared" si="39"/>
        <v>0</v>
      </c>
      <c r="N59" s="1037">
        <f t="shared" si="40"/>
        <v>0</v>
      </c>
      <c r="O59" s="1037">
        <v>0</v>
      </c>
      <c r="P59" s="1037">
        <f t="shared" si="41"/>
        <v>0</v>
      </c>
      <c r="Q59" s="1037">
        <f>496*7-868-868</f>
        <v>1736</v>
      </c>
      <c r="R59" s="1436">
        <f t="shared" si="42"/>
        <v>-1736</v>
      </c>
      <c r="S59" s="1436">
        <f t="shared" si="43"/>
        <v>-868</v>
      </c>
      <c r="T59" s="1436"/>
      <c r="U59" s="1436">
        <f t="shared" si="44"/>
        <v>0</v>
      </c>
      <c r="V59" s="1029">
        <f>'[14]FY2012-13 Final'!K60</f>
        <v>1935</v>
      </c>
      <c r="W59" s="1031">
        <f t="shared" si="57"/>
        <v>0</v>
      </c>
      <c r="X59" s="1464">
        <f>'[20]Oct midyear LFNO'!E59</f>
        <v>0</v>
      </c>
      <c r="Y59" s="1443">
        <f t="shared" si="45"/>
        <v>0</v>
      </c>
      <c r="Z59" s="1474">
        <f>'[20]Feb midyear LFNO '!E59</f>
        <v>0</v>
      </c>
      <c r="AA59" s="1470">
        <f t="shared" si="46"/>
        <v>0</v>
      </c>
      <c r="AB59" s="1470">
        <f t="shared" si="47"/>
        <v>0</v>
      </c>
      <c r="AC59" s="1031">
        <f t="shared" si="48"/>
        <v>0</v>
      </c>
      <c r="AD59" s="1090">
        <f t="shared" si="49"/>
        <v>0</v>
      </c>
      <c r="AE59" s="1031">
        <f t="shared" si="50"/>
        <v>0</v>
      </c>
      <c r="AF59" s="1031">
        <v>0</v>
      </c>
      <c r="AG59" s="1031">
        <f t="shared" si="51"/>
        <v>0</v>
      </c>
      <c r="AH59" s="1031">
        <f>173+174+174+174+174+174+174-304-304</f>
        <v>609</v>
      </c>
      <c r="AI59" s="1448">
        <f t="shared" si="52"/>
        <v>-609</v>
      </c>
      <c r="AJ59" s="1448">
        <f t="shared" si="53"/>
        <v>-304.5</v>
      </c>
      <c r="AK59" s="1032">
        <f t="shared" si="54"/>
        <v>0</v>
      </c>
      <c r="AL59" s="1032">
        <f t="shared" si="58"/>
        <v>-1172.5</v>
      </c>
      <c r="AN59" s="49">
        <f t="shared" si="55"/>
        <v>0</v>
      </c>
      <c r="AO59" s="49">
        <f>-'[22]Table 5C1E-LFNO'!AL59</f>
        <v>0</v>
      </c>
      <c r="AP59">
        <f>-'[21]Table 5C1E-LFNO'!P59</f>
        <v>0</v>
      </c>
      <c r="AQ59" s="49">
        <f t="shared" si="56"/>
        <v>0</v>
      </c>
    </row>
    <row r="60" spans="1:43">
      <c r="A60" s="975">
        <v>54</v>
      </c>
      <c r="B60" s="976" t="s">
        <v>154</v>
      </c>
      <c r="C60" s="1171">
        <f>'Table 8 2.1.12 MFP Funded'!Y57</f>
        <v>0</v>
      </c>
      <c r="D60" s="984">
        <f>'Table 3 Levels 1&amp;2'!AL61</f>
        <v>6010.7753360515026</v>
      </c>
      <c r="E60" s="1074">
        <f t="shared" si="34"/>
        <v>0</v>
      </c>
      <c r="F60" s="1074">
        <f>'Table 4 Level 3'!P59</f>
        <v>951.45</v>
      </c>
      <c r="G60" s="1074">
        <f t="shared" si="35"/>
        <v>0</v>
      </c>
      <c r="H60" s="1037">
        <f t="shared" si="36"/>
        <v>0</v>
      </c>
      <c r="I60" s="1417">
        <f>'[1]Oct midyear LFNO'!K60</f>
        <v>0</v>
      </c>
      <c r="J60" s="1417">
        <f>'[1]Feb midyear LFNO '!K60</f>
        <v>0</v>
      </c>
      <c r="K60" s="1417">
        <f t="shared" si="37"/>
        <v>0</v>
      </c>
      <c r="L60" s="1436">
        <f t="shared" si="38"/>
        <v>0</v>
      </c>
      <c r="M60" s="1084">
        <f t="shared" si="39"/>
        <v>0</v>
      </c>
      <c r="N60" s="1037">
        <f t="shared" si="40"/>
        <v>0</v>
      </c>
      <c r="O60" s="1037">
        <v>0</v>
      </c>
      <c r="P60" s="1037">
        <f t="shared" si="41"/>
        <v>0</v>
      </c>
      <c r="Q60" s="1037">
        <v>0</v>
      </c>
      <c r="R60" s="1436">
        <f t="shared" si="42"/>
        <v>0</v>
      </c>
      <c r="S60" s="1436">
        <f t="shared" si="43"/>
        <v>0</v>
      </c>
      <c r="T60" s="1436"/>
      <c r="U60" s="1436">
        <f t="shared" si="44"/>
        <v>0</v>
      </c>
      <c r="V60" s="1029">
        <f>'[14]FY2012-13 Final'!K61</f>
        <v>3397</v>
      </c>
      <c r="W60" s="1031">
        <f t="shared" si="57"/>
        <v>0</v>
      </c>
      <c r="X60" s="1464">
        <f>'[20]Oct midyear LFNO'!E60</f>
        <v>0</v>
      </c>
      <c r="Y60" s="1443">
        <f t="shared" si="45"/>
        <v>0</v>
      </c>
      <c r="Z60" s="1474">
        <f>'[20]Feb midyear LFNO '!E60</f>
        <v>0</v>
      </c>
      <c r="AA60" s="1470">
        <f t="shared" si="46"/>
        <v>0</v>
      </c>
      <c r="AB60" s="1470">
        <f t="shared" si="47"/>
        <v>0</v>
      </c>
      <c r="AC60" s="1031">
        <f t="shared" si="48"/>
        <v>0</v>
      </c>
      <c r="AD60" s="1090">
        <f t="shared" si="49"/>
        <v>0</v>
      </c>
      <c r="AE60" s="1031">
        <f t="shared" si="50"/>
        <v>0</v>
      </c>
      <c r="AF60" s="1031">
        <v>0</v>
      </c>
      <c r="AG60" s="1031">
        <f t="shared" si="51"/>
        <v>0</v>
      </c>
      <c r="AH60" s="1031">
        <v>0</v>
      </c>
      <c r="AI60" s="1448">
        <f t="shared" si="52"/>
        <v>0</v>
      </c>
      <c r="AJ60" s="1448">
        <f t="shared" si="53"/>
        <v>0</v>
      </c>
      <c r="AK60" s="1032">
        <f t="shared" si="54"/>
        <v>0</v>
      </c>
      <c r="AL60" s="1032">
        <f t="shared" si="58"/>
        <v>0</v>
      </c>
      <c r="AN60" s="49">
        <f t="shared" si="55"/>
        <v>0</v>
      </c>
      <c r="AO60" s="49">
        <f>-'[22]Table 5C1E-LFNO'!AL60</f>
        <v>0</v>
      </c>
      <c r="AP60">
        <f>-'[21]Table 5C1E-LFNO'!P60</f>
        <v>0</v>
      </c>
      <c r="AQ60" s="49">
        <f t="shared" si="56"/>
        <v>0</v>
      </c>
    </row>
    <row r="61" spans="1:43">
      <c r="A61" s="979">
        <v>55</v>
      </c>
      <c r="B61" s="980" t="s">
        <v>155</v>
      </c>
      <c r="C61" s="1172">
        <f>'Table 8 2.1.12 MFP Funded'!Y58</f>
        <v>0</v>
      </c>
      <c r="D61" s="986">
        <f>'Table 3 Levels 1&amp;2'!AL62</f>
        <v>4103.7453851303217</v>
      </c>
      <c r="E61" s="1075">
        <f t="shared" si="34"/>
        <v>0</v>
      </c>
      <c r="F61" s="1075">
        <f>'Table 4 Level 3'!P60</f>
        <v>795.14</v>
      </c>
      <c r="G61" s="1075">
        <f t="shared" si="35"/>
        <v>0</v>
      </c>
      <c r="H61" s="1038">
        <f t="shared" si="36"/>
        <v>0</v>
      </c>
      <c r="I61" s="1418">
        <f>'[1]Oct midyear LFNO'!K61</f>
        <v>0</v>
      </c>
      <c r="J61" s="1418">
        <f>'[1]Feb midyear LFNO '!K61</f>
        <v>0</v>
      </c>
      <c r="K61" s="1418">
        <f t="shared" si="37"/>
        <v>0</v>
      </c>
      <c r="L61" s="1437">
        <f t="shared" si="38"/>
        <v>0</v>
      </c>
      <c r="M61" s="1085">
        <f t="shared" si="39"/>
        <v>0</v>
      </c>
      <c r="N61" s="1038">
        <f t="shared" si="40"/>
        <v>0</v>
      </c>
      <c r="O61" s="1038">
        <v>0</v>
      </c>
      <c r="P61" s="1038">
        <f t="shared" si="41"/>
        <v>0</v>
      </c>
      <c r="Q61" s="1038">
        <v>0</v>
      </c>
      <c r="R61" s="1437">
        <f t="shared" si="42"/>
        <v>0</v>
      </c>
      <c r="S61" s="1437">
        <f t="shared" si="43"/>
        <v>0</v>
      </c>
      <c r="T61" s="1437"/>
      <c r="U61" s="1437">
        <f t="shared" si="44"/>
        <v>0</v>
      </c>
      <c r="V61" s="1034">
        <f>'[14]FY2012-13 Final'!K62</f>
        <v>3139</v>
      </c>
      <c r="W61" s="1035">
        <f t="shared" si="57"/>
        <v>0</v>
      </c>
      <c r="X61" s="1465">
        <f>'[20]Oct midyear LFNO'!E61</f>
        <v>0</v>
      </c>
      <c r="Y61" s="1445">
        <f t="shared" si="45"/>
        <v>0</v>
      </c>
      <c r="Z61" s="1475">
        <f>'[20]Feb midyear LFNO '!E61</f>
        <v>0</v>
      </c>
      <c r="AA61" s="1471">
        <f t="shared" si="46"/>
        <v>0</v>
      </c>
      <c r="AB61" s="1471">
        <f t="shared" si="47"/>
        <v>0</v>
      </c>
      <c r="AC61" s="1035">
        <f t="shared" si="48"/>
        <v>0</v>
      </c>
      <c r="AD61" s="1091">
        <f t="shared" si="49"/>
        <v>0</v>
      </c>
      <c r="AE61" s="1035">
        <f t="shared" si="50"/>
        <v>0</v>
      </c>
      <c r="AF61" s="1035">
        <v>0</v>
      </c>
      <c r="AG61" s="1035">
        <f t="shared" si="51"/>
        <v>0</v>
      </c>
      <c r="AH61" s="1035">
        <v>0</v>
      </c>
      <c r="AI61" s="1450">
        <f t="shared" si="52"/>
        <v>0</v>
      </c>
      <c r="AJ61" s="1450">
        <f t="shared" si="53"/>
        <v>0</v>
      </c>
      <c r="AK61" s="1036">
        <f t="shared" si="54"/>
        <v>0</v>
      </c>
      <c r="AL61" s="1036">
        <f t="shared" si="58"/>
        <v>0</v>
      </c>
      <c r="AN61" s="49">
        <f t="shared" si="55"/>
        <v>0</v>
      </c>
      <c r="AO61" s="49">
        <f>-'[22]Table 5C1E-LFNO'!AL61</f>
        <v>0</v>
      </c>
      <c r="AP61">
        <f>-'[21]Table 5C1E-LFNO'!P61</f>
        <v>0</v>
      </c>
      <c r="AQ61" s="49">
        <f t="shared" si="56"/>
        <v>0</v>
      </c>
    </row>
    <row r="62" spans="1:43">
      <c r="A62" s="968">
        <v>56</v>
      </c>
      <c r="B62" s="969" t="s">
        <v>156</v>
      </c>
      <c r="C62" s="1173">
        <f>'Table 8 2.1.12 MFP Funded'!Y59</f>
        <v>0</v>
      </c>
      <c r="D62" s="988">
        <f>'Table 3 Levels 1&amp;2'!AL63</f>
        <v>5076.2407002640311</v>
      </c>
      <c r="E62" s="1076">
        <f t="shared" si="34"/>
        <v>0</v>
      </c>
      <c r="F62" s="1076">
        <f>'Table 4 Level 3'!P61</f>
        <v>614.66000000000008</v>
      </c>
      <c r="G62" s="1076">
        <f t="shared" si="35"/>
        <v>0</v>
      </c>
      <c r="H62" s="1039">
        <f t="shared" si="36"/>
        <v>0</v>
      </c>
      <c r="I62" s="1419">
        <f>'[1]Oct midyear LFNO'!K62</f>
        <v>0</v>
      </c>
      <c r="J62" s="1419">
        <f>'[1]Feb midyear LFNO '!K62</f>
        <v>0</v>
      </c>
      <c r="K62" s="1419">
        <f t="shared" si="37"/>
        <v>0</v>
      </c>
      <c r="L62" s="1211">
        <f t="shared" si="38"/>
        <v>0</v>
      </c>
      <c r="M62" s="1086">
        <f t="shared" si="39"/>
        <v>0</v>
      </c>
      <c r="N62" s="1039">
        <f t="shared" si="40"/>
        <v>0</v>
      </c>
      <c r="O62" s="1039">
        <v>0</v>
      </c>
      <c r="P62" s="1039">
        <f t="shared" si="41"/>
        <v>0</v>
      </c>
      <c r="Q62" s="1039">
        <v>0</v>
      </c>
      <c r="R62" s="1211">
        <f t="shared" si="42"/>
        <v>0</v>
      </c>
      <c r="S62" s="1211">
        <f t="shared" si="43"/>
        <v>0</v>
      </c>
      <c r="T62" s="1211"/>
      <c r="U62" s="1211">
        <f t="shared" si="44"/>
        <v>0</v>
      </c>
      <c r="V62" s="1029">
        <f>'[14]FY2012-13 Final'!K63</f>
        <v>2781</v>
      </c>
      <c r="W62" s="973">
        <f t="shared" si="57"/>
        <v>0</v>
      </c>
      <c r="X62" s="1466">
        <f>'[20]Oct midyear LFNO'!E62</f>
        <v>0</v>
      </c>
      <c r="Y62" s="1444">
        <f t="shared" si="45"/>
        <v>0</v>
      </c>
      <c r="Z62" s="1466">
        <f>'[20]Feb midyear LFNO '!E62</f>
        <v>0</v>
      </c>
      <c r="AA62" s="1444">
        <f t="shared" si="46"/>
        <v>0</v>
      </c>
      <c r="AB62" s="1444">
        <f t="shared" si="47"/>
        <v>0</v>
      </c>
      <c r="AC62" s="973">
        <f t="shared" si="48"/>
        <v>0</v>
      </c>
      <c r="AD62" s="1089">
        <f t="shared" si="49"/>
        <v>0</v>
      </c>
      <c r="AE62" s="973">
        <f t="shared" si="50"/>
        <v>0</v>
      </c>
      <c r="AF62" s="973">
        <v>0</v>
      </c>
      <c r="AG62" s="973">
        <f t="shared" si="51"/>
        <v>0</v>
      </c>
      <c r="AH62" s="973">
        <v>0</v>
      </c>
      <c r="AI62" s="1214">
        <f t="shared" si="52"/>
        <v>0</v>
      </c>
      <c r="AJ62" s="1214">
        <f t="shared" si="53"/>
        <v>0</v>
      </c>
      <c r="AK62" s="974">
        <f t="shared" si="54"/>
        <v>0</v>
      </c>
      <c r="AL62" s="974">
        <f t="shared" si="58"/>
        <v>0</v>
      </c>
      <c r="AN62" s="49">
        <f t="shared" si="55"/>
        <v>0</v>
      </c>
      <c r="AO62" s="49">
        <f>-'[22]Table 5C1E-LFNO'!AL62</f>
        <v>0</v>
      </c>
      <c r="AP62">
        <f>-'[21]Table 5C1E-LFNO'!P62</f>
        <v>0</v>
      </c>
      <c r="AQ62" s="49">
        <f t="shared" si="56"/>
        <v>0</v>
      </c>
    </row>
    <row r="63" spans="1:43">
      <c r="A63" s="975">
        <v>57</v>
      </c>
      <c r="B63" s="976" t="s">
        <v>157</v>
      </c>
      <c r="C63" s="1171">
        <f>'Table 8 2.1.12 MFP Funded'!Y60</f>
        <v>0</v>
      </c>
      <c r="D63" s="984">
        <f>'Table 3 Levels 1&amp;2'!AL64</f>
        <v>4409.0708210621269</v>
      </c>
      <c r="E63" s="1074">
        <f t="shared" si="34"/>
        <v>0</v>
      </c>
      <c r="F63" s="1074">
        <f>'Table 4 Level 3'!P62</f>
        <v>764.51</v>
      </c>
      <c r="G63" s="1074">
        <f t="shared" si="35"/>
        <v>0</v>
      </c>
      <c r="H63" s="1037">
        <f t="shared" si="36"/>
        <v>0</v>
      </c>
      <c r="I63" s="1417">
        <f>'[1]Oct midyear LFNO'!K63</f>
        <v>0</v>
      </c>
      <c r="J63" s="1417">
        <f>'[1]Feb midyear LFNO '!K63</f>
        <v>0</v>
      </c>
      <c r="K63" s="1417">
        <f t="shared" si="37"/>
        <v>0</v>
      </c>
      <c r="L63" s="1436">
        <f t="shared" si="38"/>
        <v>0</v>
      </c>
      <c r="M63" s="1084">
        <f t="shared" si="39"/>
        <v>0</v>
      </c>
      <c r="N63" s="1037">
        <f t="shared" si="40"/>
        <v>0</v>
      </c>
      <c r="O63" s="1037">
        <v>0</v>
      </c>
      <c r="P63" s="1037">
        <f t="shared" si="41"/>
        <v>0</v>
      </c>
      <c r="Q63" s="1037">
        <v>0</v>
      </c>
      <c r="R63" s="1436">
        <f t="shared" si="42"/>
        <v>0</v>
      </c>
      <c r="S63" s="1436">
        <f t="shared" si="43"/>
        <v>0</v>
      </c>
      <c r="T63" s="1436"/>
      <c r="U63" s="1436">
        <f t="shared" si="44"/>
        <v>0</v>
      </c>
      <c r="V63" s="1029">
        <f>'[14]FY2012-13 Final'!K64</f>
        <v>2991</v>
      </c>
      <c r="W63" s="1031">
        <f t="shared" si="57"/>
        <v>0</v>
      </c>
      <c r="X63" s="1464">
        <f>'[20]Oct midyear LFNO'!E63</f>
        <v>0</v>
      </c>
      <c r="Y63" s="1443">
        <f t="shared" si="45"/>
        <v>0</v>
      </c>
      <c r="Z63" s="1474">
        <f>'[20]Feb midyear LFNO '!E63</f>
        <v>0</v>
      </c>
      <c r="AA63" s="1470">
        <f t="shared" si="46"/>
        <v>0</v>
      </c>
      <c r="AB63" s="1470">
        <f t="shared" si="47"/>
        <v>0</v>
      </c>
      <c r="AC63" s="1031">
        <f t="shared" si="48"/>
        <v>0</v>
      </c>
      <c r="AD63" s="1090">
        <f t="shared" si="49"/>
        <v>0</v>
      </c>
      <c r="AE63" s="1031">
        <f t="shared" si="50"/>
        <v>0</v>
      </c>
      <c r="AF63" s="1031">
        <v>0</v>
      </c>
      <c r="AG63" s="1031">
        <f t="shared" si="51"/>
        <v>0</v>
      </c>
      <c r="AH63" s="1031">
        <v>0</v>
      </c>
      <c r="AI63" s="1448">
        <f t="shared" si="52"/>
        <v>0</v>
      </c>
      <c r="AJ63" s="1448">
        <f t="shared" si="53"/>
        <v>0</v>
      </c>
      <c r="AK63" s="1032">
        <f t="shared" si="54"/>
        <v>0</v>
      </c>
      <c r="AL63" s="1032">
        <f t="shared" si="58"/>
        <v>0</v>
      </c>
      <c r="AN63" s="49">
        <f t="shared" si="55"/>
        <v>0</v>
      </c>
      <c r="AO63" s="49">
        <f>-'[22]Table 5C1E-LFNO'!AL63</f>
        <v>0</v>
      </c>
      <c r="AP63">
        <f>-'[21]Table 5C1E-LFNO'!P63</f>
        <v>0</v>
      </c>
      <c r="AQ63" s="49">
        <f t="shared" si="56"/>
        <v>0</v>
      </c>
    </row>
    <row r="64" spans="1:43">
      <c r="A64" s="975">
        <v>58</v>
      </c>
      <c r="B64" s="976" t="s">
        <v>158</v>
      </c>
      <c r="C64" s="1171">
        <f>'Table 8 2.1.12 MFP Funded'!Y61</f>
        <v>0</v>
      </c>
      <c r="D64" s="984">
        <f>'Table 3 Levels 1&amp;2'!AL65</f>
        <v>5341.4512666086594</v>
      </c>
      <c r="E64" s="1074">
        <f t="shared" si="34"/>
        <v>0</v>
      </c>
      <c r="F64" s="1074">
        <f>'Table 4 Level 3'!P63</f>
        <v>697.04</v>
      </c>
      <c r="G64" s="1074">
        <f t="shared" si="35"/>
        <v>0</v>
      </c>
      <c r="H64" s="1037">
        <f t="shared" si="36"/>
        <v>0</v>
      </c>
      <c r="I64" s="1417">
        <f>'[1]Oct midyear LFNO'!K64</f>
        <v>0</v>
      </c>
      <c r="J64" s="1417">
        <f>'[1]Feb midyear LFNO '!K64</f>
        <v>0</v>
      </c>
      <c r="K64" s="1417">
        <f t="shared" si="37"/>
        <v>0</v>
      </c>
      <c r="L64" s="1436">
        <f t="shared" si="38"/>
        <v>0</v>
      </c>
      <c r="M64" s="1084">
        <f t="shared" si="39"/>
        <v>0</v>
      </c>
      <c r="N64" s="1037">
        <f t="shared" si="40"/>
        <v>0</v>
      </c>
      <c r="O64" s="1037">
        <v>0</v>
      </c>
      <c r="P64" s="1037">
        <f t="shared" si="41"/>
        <v>0</v>
      </c>
      <c r="Q64" s="1037">
        <v>0</v>
      </c>
      <c r="R64" s="1436">
        <f t="shared" si="42"/>
        <v>0</v>
      </c>
      <c r="S64" s="1436">
        <f t="shared" si="43"/>
        <v>0</v>
      </c>
      <c r="T64" s="1436"/>
      <c r="U64" s="1436">
        <f t="shared" si="44"/>
        <v>0</v>
      </c>
      <c r="V64" s="1029">
        <f>'[14]FY2012-13 Final'!K65</f>
        <v>2057</v>
      </c>
      <c r="W64" s="1031">
        <f t="shared" si="57"/>
        <v>0</v>
      </c>
      <c r="X64" s="1464">
        <f>'[20]Oct midyear LFNO'!E64</f>
        <v>0</v>
      </c>
      <c r="Y64" s="1443">
        <f t="shared" si="45"/>
        <v>0</v>
      </c>
      <c r="Z64" s="1474">
        <f>'[20]Feb midyear LFNO '!E64</f>
        <v>0</v>
      </c>
      <c r="AA64" s="1470">
        <f t="shared" si="46"/>
        <v>0</v>
      </c>
      <c r="AB64" s="1470">
        <f t="shared" si="47"/>
        <v>0</v>
      </c>
      <c r="AC64" s="1031">
        <f t="shared" si="48"/>
        <v>0</v>
      </c>
      <c r="AD64" s="1090">
        <f t="shared" si="49"/>
        <v>0</v>
      </c>
      <c r="AE64" s="1031">
        <f t="shared" si="50"/>
        <v>0</v>
      </c>
      <c r="AF64" s="1031">
        <v>0</v>
      </c>
      <c r="AG64" s="1031">
        <f t="shared" si="51"/>
        <v>0</v>
      </c>
      <c r="AH64" s="1031">
        <v>0</v>
      </c>
      <c r="AI64" s="1448">
        <f t="shared" si="52"/>
        <v>0</v>
      </c>
      <c r="AJ64" s="1448">
        <f t="shared" si="53"/>
        <v>0</v>
      </c>
      <c r="AK64" s="1032">
        <f t="shared" si="54"/>
        <v>0</v>
      </c>
      <c r="AL64" s="1032">
        <f t="shared" si="58"/>
        <v>0</v>
      </c>
      <c r="AN64" s="49">
        <f t="shared" si="55"/>
        <v>0</v>
      </c>
      <c r="AO64" s="49">
        <f>-'[22]Table 5C1E-LFNO'!AL64</f>
        <v>0</v>
      </c>
      <c r="AP64">
        <f>-'[21]Table 5C1E-LFNO'!P64</f>
        <v>0</v>
      </c>
      <c r="AQ64" s="49">
        <f t="shared" si="56"/>
        <v>0</v>
      </c>
    </row>
    <row r="65" spans="1:46">
      <c r="A65" s="975">
        <v>59</v>
      </c>
      <c r="B65" s="976" t="s">
        <v>159</v>
      </c>
      <c r="C65" s="1171">
        <f>'Table 8 2.1.12 MFP Funded'!Y62</f>
        <v>0</v>
      </c>
      <c r="D65" s="984">
        <f>'Table 3 Levels 1&amp;2'!AL66</f>
        <v>6342.1695127641487</v>
      </c>
      <c r="E65" s="1074">
        <f t="shared" si="34"/>
        <v>0</v>
      </c>
      <c r="F65" s="1074">
        <f>'Table 4 Level 3'!P64</f>
        <v>689.52</v>
      </c>
      <c r="G65" s="1074">
        <f t="shared" si="35"/>
        <v>0</v>
      </c>
      <c r="H65" s="1037">
        <f t="shared" si="36"/>
        <v>0</v>
      </c>
      <c r="I65" s="1417">
        <f>'[1]Oct midyear LFNO'!K65</f>
        <v>0</v>
      </c>
      <c r="J65" s="1417">
        <f>'[1]Feb midyear LFNO '!K65</f>
        <v>0</v>
      </c>
      <c r="K65" s="1417">
        <f t="shared" si="37"/>
        <v>0</v>
      </c>
      <c r="L65" s="1436">
        <f t="shared" si="38"/>
        <v>0</v>
      </c>
      <c r="M65" s="1084">
        <f t="shared" si="39"/>
        <v>0</v>
      </c>
      <c r="N65" s="1037">
        <f t="shared" si="40"/>
        <v>0</v>
      </c>
      <c r="O65" s="1037">
        <v>0</v>
      </c>
      <c r="P65" s="1037">
        <f t="shared" si="41"/>
        <v>0</v>
      </c>
      <c r="Q65" s="1037">
        <v>0</v>
      </c>
      <c r="R65" s="1436">
        <f t="shared" si="42"/>
        <v>0</v>
      </c>
      <c r="S65" s="1436">
        <f t="shared" si="43"/>
        <v>0</v>
      </c>
      <c r="T65" s="1436"/>
      <c r="U65" s="1436">
        <f t="shared" si="44"/>
        <v>0</v>
      </c>
      <c r="V65" s="1029">
        <f>'[14]FY2012-13 Final'!K66</f>
        <v>1530</v>
      </c>
      <c r="W65" s="1031">
        <f t="shared" si="57"/>
        <v>0</v>
      </c>
      <c r="X65" s="1464">
        <f>'[20]Oct midyear LFNO'!E65</f>
        <v>0</v>
      </c>
      <c r="Y65" s="1443">
        <f t="shared" si="45"/>
        <v>0</v>
      </c>
      <c r="Z65" s="1474">
        <f>'[20]Feb midyear LFNO '!E65</f>
        <v>0</v>
      </c>
      <c r="AA65" s="1470">
        <f t="shared" si="46"/>
        <v>0</v>
      </c>
      <c r="AB65" s="1470">
        <f t="shared" si="47"/>
        <v>0</v>
      </c>
      <c r="AC65" s="1031">
        <f t="shared" si="48"/>
        <v>0</v>
      </c>
      <c r="AD65" s="1090">
        <f t="shared" si="49"/>
        <v>0</v>
      </c>
      <c r="AE65" s="1031">
        <f t="shared" si="50"/>
        <v>0</v>
      </c>
      <c r="AF65" s="1031">
        <v>0</v>
      </c>
      <c r="AG65" s="1031">
        <f t="shared" si="51"/>
        <v>0</v>
      </c>
      <c r="AH65" s="1031">
        <v>0</v>
      </c>
      <c r="AI65" s="1448">
        <f t="shared" si="52"/>
        <v>0</v>
      </c>
      <c r="AJ65" s="1448">
        <f t="shared" si="53"/>
        <v>0</v>
      </c>
      <c r="AK65" s="1032">
        <f t="shared" si="54"/>
        <v>0</v>
      </c>
      <c r="AL65" s="1032">
        <f t="shared" si="58"/>
        <v>0</v>
      </c>
      <c r="AN65" s="49">
        <f t="shared" si="55"/>
        <v>0</v>
      </c>
      <c r="AO65" s="49">
        <f>-'[22]Table 5C1E-LFNO'!AL65</f>
        <v>0</v>
      </c>
      <c r="AP65">
        <f>-'[21]Table 5C1E-LFNO'!P65</f>
        <v>0</v>
      </c>
      <c r="AQ65" s="49">
        <f t="shared" si="56"/>
        <v>0</v>
      </c>
    </row>
    <row r="66" spans="1:46">
      <c r="A66" s="979">
        <v>60</v>
      </c>
      <c r="B66" s="980" t="s">
        <v>160</v>
      </c>
      <c r="C66" s="1172">
        <f>'Table 8 2.1.12 MFP Funded'!Y63</f>
        <v>0</v>
      </c>
      <c r="D66" s="986">
        <f>'Table 3 Levels 1&amp;2'!AL67</f>
        <v>4836.7830262372299</v>
      </c>
      <c r="E66" s="1075">
        <f t="shared" si="34"/>
        <v>0</v>
      </c>
      <c r="F66" s="1075">
        <f>'Table 4 Level 3'!P65</f>
        <v>594.04</v>
      </c>
      <c r="G66" s="1075">
        <f t="shared" si="35"/>
        <v>0</v>
      </c>
      <c r="H66" s="1038">
        <f t="shared" si="36"/>
        <v>0</v>
      </c>
      <c r="I66" s="1418">
        <f>'[1]Oct midyear LFNO'!K66</f>
        <v>0</v>
      </c>
      <c r="J66" s="1418">
        <f>'[1]Feb midyear LFNO '!K66</f>
        <v>0</v>
      </c>
      <c r="K66" s="1418">
        <f t="shared" si="37"/>
        <v>0</v>
      </c>
      <c r="L66" s="1437">
        <f t="shared" si="38"/>
        <v>0</v>
      </c>
      <c r="M66" s="1085">
        <f t="shared" si="39"/>
        <v>0</v>
      </c>
      <c r="N66" s="1038">
        <f t="shared" si="40"/>
        <v>0</v>
      </c>
      <c r="O66" s="1038">
        <v>0</v>
      </c>
      <c r="P66" s="1038">
        <f t="shared" si="41"/>
        <v>0</v>
      </c>
      <c r="Q66" s="1038">
        <v>0</v>
      </c>
      <c r="R66" s="1437">
        <f t="shared" si="42"/>
        <v>0</v>
      </c>
      <c r="S66" s="1437">
        <f t="shared" si="43"/>
        <v>0</v>
      </c>
      <c r="T66" s="1437"/>
      <c r="U66" s="1437">
        <f t="shared" si="44"/>
        <v>0</v>
      </c>
      <c r="V66" s="1034">
        <f>'[14]FY2012-13 Final'!K67</f>
        <v>3925</v>
      </c>
      <c r="W66" s="1035">
        <f t="shared" si="57"/>
        <v>0</v>
      </c>
      <c r="X66" s="1465">
        <f>'[20]Oct midyear LFNO'!E66</f>
        <v>0</v>
      </c>
      <c r="Y66" s="1445">
        <f t="shared" si="45"/>
        <v>0</v>
      </c>
      <c r="Z66" s="1475">
        <f>'[20]Feb midyear LFNO '!E66</f>
        <v>0</v>
      </c>
      <c r="AA66" s="1471">
        <f t="shared" si="46"/>
        <v>0</v>
      </c>
      <c r="AB66" s="1471">
        <f t="shared" si="47"/>
        <v>0</v>
      </c>
      <c r="AC66" s="1035">
        <f t="shared" si="48"/>
        <v>0</v>
      </c>
      <c r="AD66" s="1091">
        <f t="shared" si="49"/>
        <v>0</v>
      </c>
      <c r="AE66" s="1035">
        <f t="shared" si="50"/>
        <v>0</v>
      </c>
      <c r="AF66" s="1035">
        <v>0</v>
      </c>
      <c r="AG66" s="1035">
        <f t="shared" si="51"/>
        <v>0</v>
      </c>
      <c r="AH66" s="1035">
        <v>0</v>
      </c>
      <c r="AI66" s="1450">
        <f t="shared" si="52"/>
        <v>0</v>
      </c>
      <c r="AJ66" s="1450">
        <f t="shared" si="53"/>
        <v>0</v>
      </c>
      <c r="AK66" s="1036">
        <f t="shared" si="54"/>
        <v>0</v>
      </c>
      <c r="AL66" s="1036">
        <f t="shared" si="58"/>
        <v>0</v>
      </c>
      <c r="AN66" s="49">
        <f t="shared" si="55"/>
        <v>0</v>
      </c>
      <c r="AO66" s="49">
        <f>-'[22]Table 5C1E-LFNO'!AL66</f>
        <v>0</v>
      </c>
      <c r="AP66">
        <f>-'[21]Table 5C1E-LFNO'!P66</f>
        <v>0</v>
      </c>
      <c r="AQ66" s="49">
        <f t="shared" si="56"/>
        <v>0</v>
      </c>
    </row>
    <row r="67" spans="1:46">
      <c r="A67" s="968">
        <v>61</v>
      </c>
      <c r="B67" s="969" t="s">
        <v>161</v>
      </c>
      <c r="C67" s="1173">
        <f>'Table 8 2.1.12 MFP Funded'!Y64</f>
        <v>0</v>
      </c>
      <c r="D67" s="988">
        <f>'Table 3 Levels 1&amp;2'!AL68</f>
        <v>3068.5254213785697</v>
      </c>
      <c r="E67" s="1076">
        <f t="shared" si="34"/>
        <v>0</v>
      </c>
      <c r="F67" s="1076">
        <f>'Table 4 Level 3'!P66</f>
        <v>833.70999999999992</v>
      </c>
      <c r="G67" s="1076">
        <f t="shared" si="35"/>
        <v>0</v>
      </c>
      <c r="H67" s="1039">
        <f t="shared" si="36"/>
        <v>0</v>
      </c>
      <c r="I67" s="1419">
        <f>'[1]Oct midyear LFNO'!K67</f>
        <v>0</v>
      </c>
      <c r="J67" s="1419">
        <f>'[1]Feb midyear LFNO '!K67</f>
        <v>0</v>
      </c>
      <c r="K67" s="1419">
        <f t="shared" si="37"/>
        <v>0</v>
      </c>
      <c r="L67" s="1211">
        <f t="shared" si="38"/>
        <v>0</v>
      </c>
      <c r="M67" s="1086">
        <f t="shared" si="39"/>
        <v>0</v>
      </c>
      <c r="N67" s="1039">
        <f t="shared" si="40"/>
        <v>0</v>
      </c>
      <c r="O67" s="1039">
        <v>0</v>
      </c>
      <c r="P67" s="1039">
        <f t="shared" si="41"/>
        <v>0</v>
      </c>
      <c r="Q67" s="1039">
        <v>0</v>
      </c>
      <c r="R67" s="1211">
        <f t="shared" si="42"/>
        <v>0</v>
      </c>
      <c r="S67" s="1211">
        <f t="shared" si="43"/>
        <v>0</v>
      </c>
      <c r="T67" s="1211"/>
      <c r="U67" s="1211">
        <f t="shared" si="44"/>
        <v>0</v>
      </c>
      <c r="V67" s="1029">
        <f>'[14]FY2012-13 Final'!K68</f>
        <v>6698</v>
      </c>
      <c r="W67" s="973">
        <f t="shared" si="57"/>
        <v>0</v>
      </c>
      <c r="X67" s="1466">
        <f>'[20]Oct midyear LFNO'!E67</f>
        <v>0</v>
      </c>
      <c r="Y67" s="1444">
        <f t="shared" si="45"/>
        <v>0</v>
      </c>
      <c r="Z67" s="1466">
        <f>'[20]Feb midyear LFNO '!E67</f>
        <v>0</v>
      </c>
      <c r="AA67" s="1444">
        <f t="shared" si="46"/>
        <v>0</v>
      </c>
      <c r="AB67" s="1444">
        <f t="shared" si="47"/>
        <v>0</v>
      </c>
      <c r="AC67" s="973">
        <f t="shared" si="48"/>
        <v>0</v>
      </c>
      <c r="AD67" s="1089">
        <f t="shared" si="49"/>
        <v>0</v>
      </c>
      <c r="AE67" s="973">
        <f t="shared" si="50"/>
        <v>0</v>
      </c>
      <c r="AF67" s="973">
        <v>0</v>
      </c>
      <c r="AG67" s="973">
        <f t="shared" si="51"/>
        <v>0</v>
      </c>
      <c r="AH67" s="973">
        <v>0</v>
      </c>
      <c r="AI67" s="1214">
        <f t="shared" si="52"/>
        <v>0</v>
      </c>
      <c r="AJ67" s="1214">
        <f t="shared" si="53"/>
        <v>0</v>
      </c>
      <c r="AK67" s="974">
        <f t="shared" si="54"/>
        <v>0</v>
      </c>
      <c r="AL67" s="974">
        <f t="shared" si="58"/>
        <v>0</v>
      </c>
      <c r="AN67" s="49">
        <f t="shared" si="55"/>
        <v>0</v>
      </c>
      <c r="AO67" s="49">
        <f>-'[22]Table 5C1E-LFNO'!AL67</f>
        <v>0</v>
      </c>
      <c r="AP67">
        <f>-'[21]Table 5C1E-LFNO'!P67</f>
        <v>0</v>
      </c>
      <c r="AQ67" s="49">
        <f t="shared" si="56"/>
        <v>0</v>
      </c>
    </row>
    <row r="68" spans="1:46">
      <c r="A68" s="975">
        <v>62</v>
      </c>
      <c r="B68" s="976" t="s">
        <v>162</v>
      </c>
      <c r="C68" s="1171">
        <f>'Table 8 2.1.12 MFP Funded'!Y65</f>
        <v>0</v>
      </c>
      <c r="D68" s="984">
        <f>'Table 3 Levels 1&amp;2'!AL69</f>
        <v>5577.0282124990472</v>
      </c>
      <c r="E68" s="1074">
        <f t="shared" si="34"/>
        <v>0</v>
      </c>
      <c r="F68" s="1074">
        <f>'Table 4 Level 3'!P67</f>
        <v>516.08000000000004</v>
      </c>
      <c r="G68" s="1074">
        <f t="shared" si="35"/>
        <v>0</v>
      </c>
      <c r="H68" s="1037">
        <f t="shared" si="36"/>
        <v>0</v>
      </c>
      <c r="I68" s="1417">
        <f>'[1]Oct midyear LFNO'!K68</f>
        <v>0</v>
      </c>
      <c r="J68" s="1417">
        <f>'[1]Feb midyear LFNO '!K68</f>
        <v>0</v>
      </c>
      <c r="K68" s="1417">
        <f t="shared" si="37"/>
        <v>0</v>
      </c>
      <c r="L68" s="1436">
        <f t="shared" si="38"/>
        <v>0</v>
      </c>
      <c r="M68" s="1084">
        <f t="shared" si="39"/>
        <v>0</v>
      </c>
      <c r="N68" s="1037">
        <f t="shared" si="40"/>
        <v>0</v>
      </c>
      <c r="O68" s="1037">
        <v>0</v>
      </c>
      <c r="P68" s="1037">
        <f t="shared" si="41"/>
        <v>0</v>
      </c>
      <c r="Q68" s="1037">
        <v>0</v>
      </c>
      <c r="R68" s="1436">
        <f t="shared" si="42"/>
        <v>0</v>
      </c>
      <c r="S68" s="1436">
        <f t="shared" si="43"/>
        <v>0</v>
      </c>
      <c r="T68" s="1436"/>
      <c r="U68" s="1436">
        <f t="shared" si="44"/>
        <v>0</v>
      </c>
      <c r="V68" s="1029">
        <f>'[14]FY2012-13 Final'!K69</f>
        <v>1785</v>
      </c>
      <c r="W68" s="1031">
        <f t="shared" si="57"/>
        <v>0</v>
      </c>
      <c r="X68" s="1464">
        <f>'[20]Oct midyear LFNO'!E68</f>
        <v>0</v>
      </c>
      <c r="Y68" s="1443">
        <f t="shared" si="45"/>
        <v>0</v>
      </c>
      <c r="Z68" s="1474">
        <f>'[20]Feb midyear LFNO '!E68</f>
        <v>0</v>
      </c>
      <c r="AA68" s="1470">
        <f t="shared" si="46"/>
        <v>0</v>
      </c>
      <c r="AB68" s="1470">
        <f t="shared" si="47"/>
        <v>0</v>
      </c>
      <c r="AC68" s="1031">
        <f t="shared" si="48"/>
        <v>0</v>
      </c>
      <c r="AD68" s="1090">
        <f t="shared" si="49"/>
        <v>0</v>
      </c>
      <c r="AE68" s="1031">
        <f t="shared" si="50"/>
        <v>0</v>
      </c>
      <c r="AF68" s="1031">
        <v>0</v>
      </c>
      <c r="AG68" s="1031">
        <f t="shared" si="51"/>
        <v>0</v>
      </c>
      <c r="AH68" s="1031">
        <v>0</v>
      </c>
      <c r="AI68" s="1448">
        <f t="shared" si="52"/>
        <v>0</v>
      </c>
      <c r="AJ68" s="1448">
        <f t="shared" si="53"/>
        <v>0</v>
      </c>
      <c r="AK68" s="1032">
        <f t="shared" si="54"/>
        <v>0</v>
      </c>
      <c r="AL68" s="1032">
        <f t="shared" si="58"/>
        <v>0</v>
      </c>
      <c r="AN68" s="49">
        <f t="shared" si="55"/>
        <v>0</v>
      </c>
      <c r="AO68" s="49">
        <f>-'[22]Table 5C1E-LFNO'!AL68</f>
        <v>0</v>
      </c>
      <c r="AP68">
        <f>-'[21]Table 5C1E-LFNO'!P68</f>
        <v>0</v>
      </c>
      <c r="AQ68" s="49">
        <f t="shared" si="56"/>
        <v>0</v>
      </c>
    </row>
    <row r="69" spans="1:46">
      <c r="A69" s="975">
        <v>63</v>
      </c>
      <c r="B69" s="976" t="s">
        <v>163</v>
      </c>
      <c r="C69" s="1171">
        <f>'Table 8 2.1.12 MFP Funded'!Y66</f>
        <v>0</v>
      </c>
      <c r="D69" s="984">
        <f>'Table 3 Levels 1&amp;2'!AL70</f>
        <v>4427.207711317601</v>
      </c>
      <c r="E69" s="1074">
        <f t="shared" si="34"/>
        <v>0</v>
      </c>
      <c r="F69" s="1074">
        <f>'Table 4 Level 3'!P68</f>
        <v>756.79</v>
      </c>
      <c r="G69" s="1074">
        <f t="shared" si="35"/>
        <v>0</v>
      </c>
      <c r="H69" s="1037">
        <f t="shared" si="36"/>
        <v>0</v>
      </c>
      <c r="I69" s="1417">
        <f>'[1]Oct midyear LFNO'!K69</f>
        <v>0</v>
      </c>
      <c r="J69" s="1417">
        <f>'[1]Feb midyear LFNO '!K69</f>
        <v>0</v>
      </c>
      <c r="K69" s="1417">
        <f t="shared" si="37"/>
        <v>0</v>
      </c>
      <c r="L69" s="1436">
        <f t="shared" si="38"/>
        <v>0</v>
      </c>
      <c r="M69" s="1084">
        <f t="shared" si="39"/>
        <v>0</v>
      </c>
      <c r="N69" s="1037">
        <f t="shared" si="40"/>
        <v>0</v>
      </c>
      <c r="O69" s="1037">
        <v>0</v>
      </c>
      <c r="P69" s="1037">
        <f t="shared" si="41"/>
        <v>0</v>
      </c>
      <c r="Q69" s="1037">
        <v>0</v>
      </c>
      <c r="R69" s="1436">
        <f t="shared" si="42"/>
        <v>0</v>
      </c>
      <c r="S69" s="1436">
        <f t="shared" si="43"/>
        <v>0</v>
      </c>
      <c r="T69" s="1436"/>
      <c r="U69" s="1436">
        <f t="shared" si="44"/>
        <v>0</v>
      </c>
      <c r="V69" s="1029">
        <f>'[14]FY2012-13 Final'!K70</f>
        <v>7190</v>
      </c>
      <c r="W69" s="1031">
        <f t="shared" si="57"/>
        <v>0</v>
      </c>
      <c r="X69" s="1464">
        <f>'[20]Oct midyear LFNO'!E69</f>
        <v>0</v>
      </c>
      <c r="Y69" s="1443">
        <f t="shared" si="45"/>
        <v>0</v>
      </c>
      <c r="Z69" s="1474">
        <f>'[20]Feb midyear LFNO '!E69</f>
        <v>0</v>
      </c>
      <c r="AA69" s="1470">
        <f t="shared" si="46"/>
        <v>0</v>
      </c>
      <c r="AB69" s="1470">
        <f t="shared" si="47"/>
        <v>0</v>
      </c>
      <c r="AC69" s="1031">
        <f t="shared" si="48"/>
        <v>0</v>
      </c>
      <c r="AD69" s="1090">
        <f t="shared" si="49"/>
        <v>0</v>
      </c>
      <c r="AE69" s="1031">
        <f t="shared" si="50"/>
        <v>0</v>
      </c>
      <c r="AF69" s="1031">
        <v>0</v>
      </c>
      <c r="AG69" s="1031">
        <f t="shared" si="51"/>
        <v>0</v>
      </c>
      <c r="AH69" s="1031">
        <v>0</v>
      </c>
      <c r="AI69" s="1448">
        <f t="shared" si="52"/>
        <v>0</v>
      </c>
      <c r="AJ69" s="1448">
        <f t="shared" si="53"/>
        <v>0</v>
      </c>
      <c r="AK69" s="1032">
        <f t="shared" si="54"/>
        <v>0</v>
      </c>
      <c r="AL69" s="1032">
        <f t="shared" si="58"/>
        <v>0</v>
      </c>
      <c r="AN69" s="49">
        <f t="shared" si="55"/>
        <v>0</v>
      </c>
      <c r="AO69" s="49">
        <f>-'[22]Table 5C1E-LFNO'!AL69</f>
        <v>0</v>
      </c>
      <c r="AP69">
        <f>-'[21]Table 5C1E-LFNO'!P69</f>
        <v>0</v>
      </c>
      <c r="AQ69" s="49">
        <f t="shared" si="56"/>
        <v>0</v>
      </c>
    </row>
    <row r="70" spans="1:46">
      <c r="A70" s="975">
        <v>64</v>
      </c>
      <c r="B70" s="976" t="s">
        <v>164</v>
      </c>
      <c r="C70" s="1171">
        <f>'Table 8 2.1.12 MFP Funded'!Y67</f>
        <v>0</v>
      </c>
      <c r="D70" s="984">
        <f>'Table 3 Levels 1&amp;2'!AL71</f>
        <v>5888.4725850181812</v>
      </c>
      <c r="E70" s="1074">
        <f t="shared" si="34"/>
        <v>0</v>
      </c>
      <c r="F70" s="1074">
        <f>'Table 4 Level 3'!P69</f>
        <v>592.66</v>
      </c>
      <c r="G70" s="1074">
        <f t="shared" si="35"/>
        <v>0</v>
      </c>
      <c r="H70" s="1037">
        <f t="shared" si="36"/>
        <v>0</v>
      </c>
      <c r="I70" s="1417">
        <f>'[1]Oct midyear LFNO'!K70</f>
        <v>0</v>
      </c>
      <c r="J70" s="1417">
        <f>'[1]Feb midyear LFNO '!K70</f>
        <v>0</v>
      </c>
      <c r="K70" s="1417">
        <f t="shared" si="37"/>
        <v>0</v>
      </c>
      <c r="L70" s="1436">
        <f t="shared" si="38"/>
        <v>0</v>
      </c>
      <c r="M70" s="1084">
        <f t="shared" si="39"/>
        <v>0</v>
      </c>
      <c r="N70" s="1037">
        <f t="shared" si="40"/>
        <v>0</v>
      </c>
      <c r="O70" s="1037">
        <v>0</v>
      </c>
      <c r="P70" s="1037">
        <f t="shared" si="41"/>
        <v>0</v>
      </c>
      <c r="Q70" s="1037">
        <v>0</v>
      </c>
      <c r="R70" s="1436">
        <f t="shared" si="42"/>
        <v>0</v>
      </c>
      <c r="S70" s="1436">
        <f t="shared" si="43"/>
        <v>0</v>
      </c>
      <c r="T70" s="1436"/>
      <c r="U70" s="1436">
        <f t="shared" si="44"/>
        <v>0</v>
      </c>
      <c r="V70" s="1029">
        <f>'[14]FY2012-13 Final'!K71</f>
        <v>2702</v>
      </c>
      <c r="W70" s="1031">
        <f t="shared" si="57"/>
        <v>0</v>
      </c>
      <c r="X70" s="1464">
        <f>'[20]Oct midyear LFNO'!E70</f>
        <v>0</v>
      </c>
      <c r="Y70" s="1443">
        <f t="shared" si="45"/>
        <v>0</v>
      </c>
      <c r="Z70" s="1474">
        <f>'[20]Feb midyear LFNO '!E70</f>
        <v>0</v>
      </c>
      <c r="AA70" s="1470">
        <f t="shared" si="46"/>
        <v>0</v>
      </c>
      <c r="AB70" s="1470">
        <f t="shared" si="47"/>
        <v>0</v>
      </c>
      <c r="AC70" s="1031">
        <f t="shared" si="48"/>
        <v>0</v>
      </c>
      <c r="AD70" s="1090">
        <f t="shared" si="49"/>
        <v>0</v>
      </c>
      <c r="AE70" s="1031">
        <f t="shared" si="50"/>
        <v>0</v>
      </c>
      <c r="AF70" s="1031">
        <v>0</v>
      </c>
      <c r="AG70" s="1031">
        <f t="shared" si="51"/>
        <v>0</v>
      </c>
      <c r="AH70" s="1031">
        <v>0</v>
      </c>
      <c r="AI70" s="1448">
        <f t="shared" si="52"/>
        <v>0</v>
      </c>
      <c r="AJ70" s="1448">
        <f t="shared" si="53"/>
        <v>0</v>
      </c>
      <c r="AK70" s="1032">
        <f t="shared" si="54"/>
        <v>0</v>
      </c>
      <c r="AL70" s="1032">
        <f t="shared" si="58"/>
        <v>0</v>
      </c>
      <c r="AN70" s="49">
        <f t="shared" si="55"/>
        <v>0</v>
      </c>
      <c r="AO70" s="49">
        <f>-'[22]Table 5C1E-LFNO'!AL70</f>
        <v>0</v>
      </c>
      <c r="AP70">
        <f>-'[21]Table 5C1E-LFNO'!P70</f>
        <v>0</v>
      </c>
      <c r="AQ70" s="49">
        <f t="shared" si="56"/>
        <v>0</v>
      </c>
    </row>
    <row r="71" spans="1:46">
      <c r="A71" s="979">
        <v>65</v>
      </c>
      <c r="B71" s="980" t="s">
        <v>165</v>
      </c>
      <c r="C71" s="1172">
        <f>'Table 8 2.1.12 MFP Funded'!Y68</f>
        <v>0</v>
      </c>
      <c r="D71" s="986">
        <f>'Table 3 Levels 1&amp;2'!AL72</f>
        <v>4583.9609010774066</v>
      </c>
      <c r="E71" s="1075">
        <f t="shared" si="34"/>
        <v>0</v>
      </c>
      <c r="F71" s="1075">
        <f>'Table 4 Level 3'!P70</f>
        <v>829.12</v>
      </c>
      <c r="G71" s="1075">
        <f t="shared" si="35"/>
        <v>0</v>
      </c>
      <c r="H71" s="1038">
        <f t="shared" si="36"/>
        <v>0</v>
      </c>
      <c r="I71" s="1418">
        <f>'[1]Oct midyear LFNO'!K71</f>
        <v>0</v>
      </c>
      <c r="J71" s="1418">
        <f>'[1]Feb midyear LFNO '!K71</f>
        <v>0</v>
      </c>
      <c r="K71" s="1418">
        <f t="shared" si="37"/>
        <v>0</v>
      </c>
      <c r="L71" s="1437">
        <f t="shared" si="38"/>
        <v>0</v>
      </c>
      <c r="M71" s="1085">
        <f t="shared" si="39"/>
        <v>0</v>
      </c>
      <c r="N71" s="1038">
        <f t="shared" si="40"/>
        <v>0</v>
      </c>
      <c r="O71" s="1038">
        <v>0</v>
      </c>
      <c r="P71" s="1038">
        <f t="shared" si="41"/>
        <v>0</v>
      </c>
      <c r="Q71" s="1038">
        <v>0</v>
      </c>
      <c r="R71" s="1437">
        <f t="shared" si="42"/>
        <v>0</v>
      </c>
      <c r="S71" s="1437">
        <f t="shared" si="43"/>
        <v>0</v>
      </c>
      <c r="T71" s="1437"/>
      <c r="U71" s="1437">
        <f t="shared" si="44"/>
        <v>0</v>
      </c>
      <c r="V71" s="1034">
        <f>'[14]FY2012-13 Final'!K72</f>
        <v>4936</v>
      </c>
      <c r="W71" s="1035">
        <f t="shared" ref="W71:W75" si="59">C71*V71</f>
        <v>0</v>
      </c>
      <c r="X71" s="1465">
        <f>'[20]Oct midyear LFNO'!E71</f>
        <v>0</v>
      </c>
      <c r="Y71" s="1445">
        <f t="shared" si="45"/>
        <v>0</v>
      </c>
      <c r="Z71" s="1475">
        <f>'[20]Feb midyear LFNO '!E71</f>
        <v>0</v>
      </c>
      <c r="AA71" s="1471">
        <f t="shared" si="46"/>
        <v>0</v>
      </c>
      <c r="AB71" s="1471">
        <f t="shared" si="47"/>
        <v>0</v>
      </c>
      <c r="AC71" s="1035">
        <f t="shared" si="48"/>
        <v>0</v>
      </c>
      <c r="AD71" s="1091">
        <f t="shared" si="49"/>
        <v>0</v>
      </c>
      <c r="AE71" s="1035">
        <f t="shared" si="50"/>
        <v>0</v>
      </c>
      <c r="AF71" s="1035">
        <v>0</v>
      </c>
      <c r="AG71" s="1035">
        <f t="shared" si="51"/>
        <v>0</v>
      </c>
      <c r="AH71" s="1035">
        <v>0</v>
      </c>
      <c r="AI71" s="1450">
        <f t="shared" si="52"/>
        <v>0</v>
      </c>
      <c r="AJ71" s="1450">
        <f t="shared" si="53"/>
        <v>0</v>
      </c>
      <c r="AK71" s="1036">
        <f t="shared" si="54"/>
        <v>0</v>
      </c>
      <c r="AL71" s="1036">
        <f t="shared" si="58"/>
        <v>0</v>
      </c>
      <c r="AN71" s="49">
        <f t="shared" si="55"/>
        <v>0</v>
      </c>
      <c r="AO71" s="49">
        <f>-'[22]Table 5C1E-LFNO'!AL71</f>
        <v>0</v>
      </c>
      <c r="AP71">
        <f>-'[21]Table 5C1E-LFNO'!P71</f>
        <v>0</v>
      </c>
      <c r="AQ71" s="49">
        <f t="shared" si="56"/>
        <v>0</v>
      </c>
    </row>
    <row r="72" spans="1:46">
      <c r="A72" s="968">
        <v>66</v>
      </c>
      <c r="B72" s="969" t="s">
        <v>166</v>
      </c>
      <c r="C72" s="1173">
        <f>'Table 8 2.1.12 MFP Funded'!Y69</f>
        <v>0</v>
      </c>
      <c r="D72" s="988">
        <f>'Table 3 Levels 1&amp;2'!AL73</f>
        <v>6262.4784859426345</v>
      </c>
      <c r="E72" s="1076">
        <f t="shared" ref="E72:E75" si="60">C72*D72</f>
        <v>0</v>
      </c>
      <c r="F72" s="1076">
        <f>'Table 4 Level 3'!P71</f>
        <v>730.06</v>
      </c>
      <c r="G72" s="1076">
        <f t="shared" ref="G72:G75" si="61">C72*F72</f>
        <v>0</v>
      </c>
      <c r="H72" s="1039">
        <f t="shared" ref="H72:H75" si="62">E72+G72</f>
        <v>0</v>
      </c>
      <c r="I72" s="1419">
        <f>'[1]Oct midyear LFNO'!K72</f>
        <v>0</v>
      </c>
      <c r="J72" s="1419">
        <f>'[1]Feb midyear LFNO '!K72</f>
        <v>0</v>
      </c>
      <c r="K72" s="1419">
        <f t="shared" ref="K72:K76" si="63">I72+J72</f>
        <v>0</v>
      </c>
      <c r="L72" s="1211">
        <f t="shared" ref="L72:L76" si="64">H72+K72</f>
        <v>0</v>
      </c>
      <c r="M72" s="1086">
        <f t="shared" ref="M72:M76" si="65">-(0.25%*L72)</f>
        <v>0</v>
      </c>
      <c r="N72" s="1039">
        <f t="shared" ref="N72:N76" si="66">SUM(L72:M72)</f>
        <v>0</v>
      </c>
      <c r="O72" s="1039">
        <v>0</v>
      </c>
      <c r="P72" s="1039">
        <f t="shared" ref="P72:P75" si="67">SUM(N72:O72)</f>
        <v>0</v>
      </c>
      <c r="Q72" s="1039">
        <v>0</v>
      </c>
      <c r="R72" s="1211">
        <f t="shared" ref="R72:R75" si="68">P72-Q72</f>
        <v>0</v>
      </c>
      <c r="S72" s="1211">
        <f t="shared" ref="S72:S75" si="69">R72/2</f>
        <v>0</v>
      </c>
      <c r="T72" s="1211"/>
      <c r="U72" s="1211">
        <f t="shared" ref="U72:U75" si="70">P72+T72</f>
        <v>0</v>
      </c>
      <c r="V72" s="1029">
        <f>'[14]FY2012-13 Final'!K73</f>
        <v>3528</v>
      </c>
      <c r="W72" s="973">
        <f t="shared" si="59"/>
        <v>0</v>
      </c>
      <c r="X72" s="1466">
        <f>'[20]Oct midyear LFNO'!E72</f>
        <v>0</v>
      </c>
      <c r="Y72" s="1444">
        <f t="shared" ref="Y72:Y75" si="71">X72*V72</f>
        <v>0</v>
      </c>
      <c r="Z72" s="1466">
        <f>'[20]Feb midyear LFNO '!E72</f>
        <v>0</v>
      </c>
      <c r="AA72" s="1444">
        <f t="shared" ref="AA72:AA75" si="72">Z72*(V72*0.5)</f>
        <v>0</v>
      </c>
      <c r="AB72" s="1444">
        <f t="shared" ref="AB72:AB75" si="73">Y72+AA72</f>
        <v>0</v>
      </c>
      <c r="AC72" s="973">
        <f t="shared" ref="AC72:AC75" si="74">W72+AB72</f>
        <v>0</v>
      </c>
      <c r="AD72" s="1089">
        <f t="shared" ref="AD72:AD75" si="75">-(0.25%*AC72)</f>
        <v>0</v>
      </c>
      <c r="AE72" s="973">
        <f t="shared" ref="AE72:AE75" si="76">SUM(AC72:AD72)</f>
        <v>0</v>
      </c>
      <c r="AF72" s="973">
        <v>0</v>
      </c>
      <c r="AG72" s="973">
        <f t="shared" ref="AG72:AG75" si="77">SUM(AE72:AF72)</f>
        <v>0</v>
      </c>
      <c r="AH72" s="973">
        <v>0</v>
      </c>
      <c r="AI72" s="1214">
        <f t="shared" ref="AI72:AI75" si="78">AG72-AH72</f>
        <v>0</v>
      </c>
      <c r="AJ72" s="1214">
        <f t="shared" ref="AJ72:AJ75" si="79">AI72/2</f>
        <v>0</v>
      </c>
      <c r="AK72" s="974">
        <f t="shared" ref="AK72:AK75" si="80">U72+AG72</f>
        <v>0</v>
      </c>
      <c r="AL72" s="974">
        <f t="shared" si="58"/>
        <v>0</v>
      </c>
      <c r="AN72" s="49">
        <f t="shared" ref="AN72:AN75" si="81">AD72</f>
        <v>0</v>
      </c>
      <c r="AO72" s="49">
        <f>-'[22]Table 5C1E-LFNO'!AL72</f>
        <v>0</v>
      </c>
      <c r="AP72">
        <f>-'[21]Table 5C1E-LFNO'!P72</f>
        <v>0</v>
      </c>
      <c r="AQ72" s="49">
        <f t="shared" ref="AQ72:AQ75" si="82">SUM(AN72:AO72)</f>
        <v>0</v>
      </c>
    </row>
    <row r="73" spans="1:46">
      <c r="A73" s="975">
        <v>67</v>
      </c>
      <c r="B73" s="976" t="s">
        <v>33</v>
      </c>
      <c r="C73" s="1171">
        <f>'Table 8 2.1.12 MFP Funded'!Y70</f>
        <v>0</v>
      </c>
      <c r="D73" s="984">
        <f>'Table 3 Levels 1&amp;2'!AL74</f>
        <v>5059.3528695821524</v>
      </c>
      <c r="E73" s="1074">
        <f t="shared" si="60"/>
        <v>0</v>
      </c>
      <c r="F73" s="1074">
        <f>'Table 4 Level 3'!P72</f>
        <v>715.61</v>
      </c>
      <c r="G73" s="1074">
        <f t="shared" si="61"/>
        <v>0</v>
      </c>
      <c r="H73" s="1037">
        <f t="shared" si="62"/>
        <v>0</v>
      </c>
      <c r="I73" s="1417">
        <f>'[1]Oct midyear LFNO'!K73</f>
        <v>0</v>
      </c>
      <c r="J73" s="1417">
        <f>'[1]Feb midyear LFNO '!K73</f>
        <v>0</v>
      </c>
      <c r="K73" s="1417">
        <f t="shared" si="63"/>
        <v>0</v>
      </c>
      <c r="L73" s="1436">
        <f t="shared" si="64"/>
        <v>0</v>
      </c>
      <c r="M73" s="1084">
        <f t="shared" si="65"/>
        <v>0</v>
      </c>
      <c r="N73" s="1037">
        <f t="shared" si="66"/>
        <v>0</v>
      </c>
      <c r="O73" s="1037">
        <v>0</v>
      </c>
      <c r="P73" s="1037">
        <f t="shared" si="67"/>
        <v>0</v>
      </c>
      <c r="Q73" s="1037">
        <v>0</v>
      </c>
      <c r="R73" s="1436">
        <f t="shared" si="68"/>
        <v>0</v>
      </c>
      <c r="S73" s="1436">
        <f t="shared" si="69"/>
        <v>0</v>
      </c>
      <c r="T73" s="1436"/>
      <c r="U73" s="1436">
        <f t="shared" si="70"/>
        <v>0</v>
      </c>
      <c r="V73" s="1029">
        <f>'[14]FY2012-13 Final'!K74</f>
        <v>5055</v>
      </c>
      <c r="W73" s="1031">
        <f t="shared" si="59"/>
        <v>0</v>
      </c>
      <c r="X73" s="1464">
        <f>'[20]Oct midyear LFNO'!E73</f>
        <v>0</v>
      </c>
      <c r="Y73" s="1443">
        <f t="shared" si="71"/>
        <v>0</v>
      </c>
      <c r="Z73" s="1474">
        <f>'[20]Feb midyear LFNO '!E73</f>
        <v>0</v>
      </c>
      <c r="AA73" s="1470">
        <f t="shared" si="72"/>
        <v>0</v>
      </c>
      <c r="AB73" s="1470">
        <f t="shared" si="73"/>
        <v>0</v>
      </c>
      <c r="AC73" s="1031">
        <f t="shared" si="74"/>
        <v>0</v>
      </c>
      <c r="AD73" s="1090">
        <f t="shared" si="75"/>
        <v>0</v>
      </c>
      <c r="AE73" s="1031">
        <f t="shared" si="76"/>
        <v>0</v>
      </c>
      <c r="AF73" s="1031">
        <v>0</v>
      </c>
      <c r="AG73" s="1031">
        <f t="shared" si="77"/>
        <v>0</v>
      </c>
      <c r="AH73" s="1031">
        <v>0</v>
      </c>
      <c r="AI73" s="1448">
        <f t="shared" si="78"/>
        <v>0</v>
      </c>
      <c r="AJ73" s="1448">
        <f t="shared" si="79"/>
        <v>0</v>
      </c>
      <c r="AK73" s="1032">
        <f t="shared" si="80"/>
        <v>0</v>
      </c>
      <c r="AL73" s="1032">
        <f t="shared" si="58"/>
        <v>0</v>
      </c>
      <c r="AN73" s="49">
        <f t="shared" si="81"/>
        <v>0</v>
      </c>
      <c r="AO73" s="49">
        <f>-'[22]Table 5C1E-LFNO'!AL73</f>
        <v>0</v>
      </c>
      <c r="AP73">
        <f>-'[21]Table 5C1E-LFNO'!P73</f>
        <v>0</v>
      </c>
      <c r="AQ73" s="49">
        <f t="shared" si="82"/>
        <v>0</v>
      </c>
    </row>
    <row r="74" spans="1:46">
      <c r="A74" s="975">
        <v>68</v>
      </c>
      <c r="B74" s="976" t="s">
        <v>31</v>
      </c>
      <c r="C74" s="1171">
        <f>'Table 8 2.1.12 MFP Funded'!Y71</f>
        <v>0</v>
      </c>
      <c r="D74" s="984">
        <f>'Table 3 Levels 1&amp;2'!AL75</f>
        <v>5863.2815891318614</v>
      </c>
      <c r="E74" s="1074">
        <f t="shared" si="60"/>
        <v>0</v>
      </c>
      <c r="F74" s="1074">
        <f>'Table 4 Level 3'!P73</f>
        <v>798.7</v>
      </c>
      <c r="G74" s="1074">
        <f t="shared" si="61"/>
        <v>0</v>
      </c>
      <c r="H74" s="1037">
        <f t="shared" si="62"/>
        <v>0</v>
      </c>
      <c r="I74" s="1417">
        <f>'[1]Oct midyear LFNO'!K74</f>
        <v>0</v>
      </c>
      <c r="J74" s="1417">
        <f>'[1]Feb midyear LFNO '!K74</f>
        <v>0</v>
      </c>
      <c r="K74" s="1417">
        <f t="shared" si="63"/>
        <v>0</v>
      </c>
      <c r="L74" s="1436">
        <f t="shared" si="64"/>
        <v>0</v>
      </c>
      <c r="M74" s="1084">
        <f t="shared" si="65"/>
        <v>0</v>
      </c>
      <c r="N74" s="1037">
        <f t="shared" si="66"/>
        <v>0</v>
      </c>
      <c r="O74" s="1037">
        <v>0</v>
      </c>
      <c r="P74" s="1037">
        <f t="shared" si="67"/>
        <v>0</v>
      </c>
      <c r="Q74" s="1037">
        <v>0</v>
      </c>
      <c r="R74" s="1436">
        <f t="shared" si="68"/>
        <v>0</v>
      </c>
      <c r="S74" s="1436">
        <f t="shared" si="69"/>
        <v>0</v>
      </c>
      <c r="T74" s="1436"/>
      <c r="U74" s="1436">
        <f t="shared" si="70"/>
        <v>0</v>
      </c>
      <c r="V74" s="1029">
        <f>'[14]FY2012-13 Final'!K75</f>
        <v>2809</v>
      </c>
      <c r="W74" s="1031">
        <f t="shared" si="59"/>
        <v>0</v>
      </c>
      <c r="X74" s="1464">
        <f>'[20]Oct midyear LFNO'!E74</f>
        <v>0</v>
      </c>
      <c r="Y74" s="1443">
        <f t="shared" si="71"/>
        <v>0</v>
      </c>
      <c r="Z74" s="1474">
        <f>'[20]Feb midyear LFNO '!E74</f>
        <v>0</v>
      </c>
      <c r="AA74" s="1470">
        <f t="shared" si="72"/>
        <v>0</v>
      </c>
      <c r="AB74" s="1470">
        <f t="shared" si="73"/>
        <v>0</v>
      </c>
      <c r="AC74" s="1031">
        <f t="shared" si="74"/>
        <v>0</v>
      </c>
      <c r="AD74" s="1090">
        <f t="shared" si="75"/>
        <v>0</v>
      </c>
      <c r="AE74" s="1031">
        <f t="shared" si="76"/>
        <v>0</v>
      </c>
      <c r="AF74" s="1031">
        <v>0</v>
      </c>
      <c r="AG74" s="1031">
        <f t="shared" si="77"/>
        <v>0</v>
      </c>
      <c r="AH74" s="1031">
        <v>0</v>
      </c>
      <c r="AI74" s="1448">
        <f t="shared" si="78"/>
        <v>0</v>
      </c>
      <c r="AJ74" s="1448">
        <f t="shared" si="79"/>
        <v>0</v>
      </c>
      <c r="AK74" s="1032">
        <f t="shared" si="80"/>
        <v>0</v>
      </c>
      <c r="AL74" s="1032">
        <f t="shared" si="58"/>
        <v>0</v>
      </c>
      <c r="AN74" s="49">
        <f t="shared" si="81"/>
        <v>0</v>
      </c>
      <c r="AO74" s="49">
        <f>-'[22]Table 5C1E-LFNO'!AL74</f>
        <v>0</v>
      </c>
      <c r="AP74">
        <f>-'[21]Table 5C1E-LFNO'!P74</f>
        <v>0</v>
      </c>
      <c r="AQ74" s="49">
        <f t="shared" si="82"/>
        <v>0</v>
      </c>
    </row>
    <row r="75" spans="1:46">
      <c r="A75" s="989">
        <v>69</v>
      </c>
      <c r="B75" s="990" t="s">
        <v>229</v>
      </c>
      <c r="C75" s="1174">
        <f>'Table 8 2.1.12 MFP Funded'!Y72</f>
        <v>0</v>
      </c>
      <c r="D75" s="992">
        <f>'Table 3 Levels 1&amp;2'!AL76</f>
        <v>5520.7940729790862</v>
      </c>
      <c r="E75" s="1077">
        <f t="shared" si="60"/>
        <v>0</v>
      </c>
      <c r="F75" s="1077">
        <f>'Table 4 Level 3'!P74</f>
        <v>705.67</v>
      </c>
      <c r="G75" s="1077">
        <f t="shared" si="61"/>
        <v>0</v>
      </c>
      <c r="H75" s="1040">
        <f t="shared" si="62"/>
        <v>0</v>
      </c>
      <c r="I75" s="1420">
        <f>'[1]Oct midyear LFNO'!K75</f>
        <v>0</v>
      </c>
      <c r="J75" s="1420">
        <f>'[1]Feb midyear LFNO '!K75</f>
        <v>0</v>
      </c>
      <c r="K75" s="1420">
        <f t="shared" si="63"/>
        <v>0</v>
      </c>
      <c r="L75" s="1438">
        <f t="shared" si="64"/>
        <v>0</v>
      </c>
      <c r="M75" s="1087">
        <f t="shared" si="65"/>
        <v>0</v>
      </c>
      <c r="N75" s="1040">
        <f t="shared" si="66"/>
        <v>0</v>
      </c>
      <c r="O75" s="1040">
        <v>0</v>
      </c>
      <c r="P75" s="1040">
        <f t="shared" si="67"/>
        <v>0</v>
      </c>
      <c r="Q75" s="1040">
        <v>0</v>
      </c>
      <c r="R75" s="1438">
        <f t="shared" si="68"/>
        <v>0</v>
      </c>
      <c r="S75" s="1438">
        <f t="shared" si="69"/>
        <v>0</v>
      </c>
      <c r="T75" s="1438"/>
      <c r="U75" s="1438">
        <f t="shared" si="70"/>
        <v>0</v>
      </c>
      <c r="V75" s="1029">
        <f>'[14]FY2012-13 Final'!K76</f>
        <v>3329</v>
      </c>
      <c r="W75" s="1041">
        <f t="shared" si="59"/>
        <v>0</v>
      </c>
      <c r="X75" s="1467">
        <f>'[20]Oct midyear LFNO'!E75</f>
        <v>0</v>
      </c>
      <c r="Y75" s="1446">
        <f t="shared" si="71"/>
        <v>0</v>
      </c>
      <c r="Z75" s="1476">
        <f>'[20]Feb midyear LFNO '!E75</f>
        <v>0</v>
      </c>
      <c r="AA75" s="1472">
        <f t="shared" si="72"/>
        <v>0</v>
      </c>
      <c r="AB75" s="1472">
        <f t="shared" si="73"/>
        <v>0</v>
      </c>
      <c r="AC75" s="1041">
        <f t="shared" si="74"/>
        <v>0</v>
      </c>
      <c r="AD75" s="1092">
        <f t="shared" si="75"/>
        <v>0</v>
      </c>
      <c r="AE75" s="1041">
        <f t="shared" si="76"/>
        <v>0</v>
      </c>
      <c r="AF75" s="1041">
        <v>0</v>
      </c>
      <c r="AG75" s="1041">
        <f t="shared" si="77"/>
        <v>0</v>
      </c>
      <c r="AH75" s="1041">
        <v>0</v>
      </c>
      <c r="AI75" s="1041">
        <f t="shared" si="78"/>
        <v>0</v>
      </c>
      <c r="AJ75" s="1041">
        <f t="shared" si="79"/>
        <v>0</v>
      </c>
      <c r="AK75" s="1042">
        <f t="shared" si="80"/>
        <v>0</v>
      </c>
      <c r="AL75" s="1042">
        <f t="shared" si="58"/>
        <v>0</v>
      </c>
      <c r="AN75" s="49">
        <f t="shared" si="81"/>
        <v>0</v>
      </c>
      <c r="AO75" s="49">
        <f>-'[22]Table 5C1E-LFNO'!AL75</f>
        <v>0</v>
      </c>
      <c r="AP75">
        <f>-'[21]Table 5C1E-LFNO'!P75</f>
        <v>0</v>
      </c>
      <c r="AQ75" s="49">
        <f t="shared" si="82"/>
        <v>0</v>
      </c>
    </row>
    <row r="76" spans="1:46" ht="13.5" thickBot="1">
      <c r="A76" s="993"/>
      <c r="B76" s="994" t="s">
        <v>167</v>
      </c>
      <c r="C76" s="995">
        <f>SUM(C7:C75)</f>
        <v>55</v>
      </c>
      <c r="D76" s="996">
        <f>'Table 3 Levels 1&amp;2'!AL77</f>
        <v>4336.5032257801222</v>
      </c>
      <c r="E76" s="1078">
        <f>SUM(E7:E75)</f>
        <v>185609.35579085574</v>
      </c>
      <c r="F76" s="1078">
        <f>'Table 4 Level 3'!P75</f>
        <v>703.90028204588873</v>
      </c>
      <c r="G76" s="1078">
        <f t="shared" ref="G76:R76" si="83">SUM(G7:G75)</f>
        <v>42121.403150684935</v>
      </c>
      <c r="H76" s="997">
        <f t="shared" si="83"/>
        <v>227730.75894154067</v>
      </c>
      <c r="I76" s="1421">
        <f t="shared" si="83"/>
        <v>641912.77932094957</v>
      </c>
      <c r="J76" s="1421">
        <f t="shared" ref="J76" si="84">SUM(J7:J75)</f>
        <v>-17965.348931122338</v>
      </c>
      <c r="K76" s="1421">
        <f t="shared" si="63"/>
        <v>623947.43038982723</v>
      </c>
      <c r="L76" s="1212">
        <f t="shared" si="64"/>
        <v>851678.18933136784</v>
      </c>
      <c r="M76" s="1088">
        <f t="shared" si="65"/>
        <v>-2129.1954733284197</v>
      </c>
      <c r="N76" s="997">
        <f t="shared" si="66"/>
        <v>849548.99385803938</v>
      </c>
      <c r="O76" s="997">
        <f t="shared" si="83"/>
        <v>0</v>
      </c>
      <c r="P76" s="997">
        <f t="shared" si="83"/>
        <v>849548.9938580395</v>
      </c>
      <c r="Q76" s="997">
        <f t="shared" si="83"/>
        <v>705955</v>
      </c>
      <c r="R76" s="997">
        <f t="shared" si="83"/>
        <v>143593.99385803938</v>
      </c>
      <c r="S76" s="997">
        <f>SUM(S7:S75)</f>
        <v>71796.99692901969</v>
      </c>
      <c r="T76" s="997">
        <f t="shared" ref="T76:U76" si="85">SUM(T7:T75)</f>
        <v>96000</v>
      </c>
      <c r="U76" s="997">
        <f t="shared" si="85"/>
        <v>945548.9938580395</v>
      </c>
      <c r="V76" s="1043"/>
      <c r="W76" s="998">
        <f t="shared" ref="W76:AL76" si="86">SUM(W7:W75)</f>
        <v>272436</v>
      </c>
      <c r="X76" s="1485">
        <f>SUM(X7:X75)</f>
        <v>156</v>
      </c>
      <c r="Y76" s="1478">
        <f t="shared" ref="Y76:AC76" si="87">SUM(Y7:Y75)</f>
        <v>800429</v>
      </c>
      <c r="Z76" s="1484">
        <f>SUM(Z7:Z75)</f>
        <v>-9</v>
      </c>
      <c r="AA76" s="1486">
        <f>SUM(AA7:AA75)</f>
        <v>-23250</v>
      </c>
      <c r="AB76" s="1473">
        <f>SUM(AB7:AB75)</f>
        <v>777179</v>
      </c>
      <c r="AC76" s="1352">
        <f t="shared" si="87"/>
        <v>1049615</v>
      </c>
      <c r="AD76" s="1093">
        <f t="shared" si="86"/>
        <v>-2624.0374999999999</v>
      </c>
      <c r="AE76" s="998">
        <f t="shared" si="86"/>
        <v>1046990.9624999999</v>
      </c>
      <c r="AF76" s="998">
        <f t="shared" si="86"/>
        <v>0</v>
      </c>
      <c r="AG76" s="998">
        <f t="shared" si="86"/>
        <v>1046990.9624999999</v>
      </c>
      <c r="AH76" s="998">
        <f t="shared" si="86"/>
        <v>818270</v>
      </c>
      <c r="AI76" s="998">
        <f t="shared" si="86"/>
        <v>228720.96249999999</v>
      </c>
      <c r="AJ76" s="998">
        <f t="shared" si="86"/>
        <v>114360.48125</v>
      </c>
      <c r="AK76" s="999">
        <f t="shared" si="86"/>
        <v>1992539.9563580391</v>
      </c>
      <c r="AL76" s="999">
        <f t="shared" si="86"/>
        <v>186157.4781790197</v>
      </c>
      <c r="AN76" s="49">
        <f>SUM(AN7:AN75)</f>
        <v>-2624.0374999999999</v>
      </c>
      <c r="AO76" s="49">
        <f>SUM(AO7:AO75)</f>
        <v>2497.2487500000002</v>
      </c>
      <c r="AP76" s="1542">
        <f>SUM(AP7:AP75)</f>
        <v>670.29750000000001</v>
      </c>
      <c r="AQ76" s="49">
        <f>SUM(AQ7:AQ75)</f>
        <v>-126.78875000000002</v>
      </c>
    </row>
    <row r="77" spans="1:46" ht="13.5" hidden="1" thickTop="1">
      <c r="D77">
        <f>'Table 3 Levels 1&amp;2'!AL77</f>
        <v>4336.5032257801222</v>
      </c>
      <c r="I77" s="8"/>
      <c r="J77" s="8"/>
      <c r="K77" s="8"/>
      <c r="L77" s="1424"/>
      <c r="AR77" s="1542"/>
      <c r="AS77" s="1542"/>
      <c r="AT77" s="1542"/>
    </row>
    <row r="78" spans="1:46" hidden="1">
      <c r="M78" s="804" t="s">
        <v>1416</v>
      </c>
      <c r="N78" s="49">
        <f>M76</f>
        <v>-2129.1954733284197</v>
      </c>
    </row>
    <row r="79" spans="1:46" hidden="1">
      <c r="M79" s="804" t="s">
        <v>1274</v>
      </c>
      <c r="N79" s="49">
        <f>-'[22]Table 5C1E-LFNO'!$N$78</f>
        <v>2148.841629268059</v>
      </c>
    </row>
    <row r="80" spans="1:46" hidden="1">
      <c r="M80" s="804" t="s">
        <v>1275</v>
      </c>
      <c r="N80" s="49">
        <f>-'[21]Table 5C1E-LFNO'!$I$76</f>
        <v>575.22820067720681</v>
      </c>
    </row>
    <row r="81" spans="13:14" hidden="1">
      <c r="M81" s="804" t="s">
        <v>1276</v>
      </c>
      <c r="N81" s="49">
        <f>SUM(N78:N79)</f>
        <v>19.646155939639357</v>
      </c>
    </row>
    <row r="82" spans="13:14" hidden="1"/>
    <row r="83" spans="13:14" ht="13.5" thickTop="1"/>
  </sheetData>
  <mergeCells count="36">
    <mergeCell ref="A2:B4"/>
    <mergeCell ref="C2:S2"/>
    <mergeCell ref="V2:AJ2"/>
    <mergeCell ref="L3:L4"/>
    <mergeCell ref="X3:X4"/>
    <mergeCell ref="Y3:Y4"/>
    <mergeCell ref="AC3:AC4"/>
    <mergeCell ref="Q3:Q4"/>
    <mergeCell ref="R3:R4"/>
    <mergeCell ref="AA3:AA4"/>
    <mergeCell ref="AB3:AB4"/>
    <mergeCell ref="Z3:Z4"/>
    <mergeCell ref="AH3:AH4"/>
    <mergeCell ref="AI3:AI4"/>
    <mergeCell ref="P3:P4"/>
    <mergeCell ref="V3:V4"/>
    <mergeCell ref="AK2:AK4"/>
    <mergeCell ref="AL2:AL4"/>
    <mergeCell ref="AE3:AE4"/>
    <mergeCell ref="AF3:AF4"/>
    <mergeCell ref="AG3:AG4"/>
    <mergeCell ref="AJ3:AJ4"/>
    <mergeCell ref="C3:C4"/>
    <mergeCell ref="D3:D4"/>
    <mergeCell ref="E3:E4"/>
    <mergeCell ref="F3:F4"/>
    <mergeCell ref="G3:G4"/>
    <mergeCell ref="T3:T4"/>
    <mergeCell ref="U3:U4"/>
    <mergeCell ref="H3:H4"/>
    <mergeCell ref="N3:N4"/>
    <mergeCell ref="O3:O4"/>
    <mergeCell ref="I3:I4"/>
    <mergeCell ref="S3:S4"/>
    <mergeCell ref="K3:K4"/>
    <mergeCell ref="J3:J4"/>
  </mergeCells>
  <pageMargins left="0.38" right="0.34" top="0.75" bottom="0.75" header="0.3" footer="0.3"/>
  <pageSetup paperSize="5" scale="60" firstPageNumber="58" orientation="portrait" useFirstPageNumber="1" r:id="rId1"/>
  <headerFooter>
    <oddHeader>&amp;L&amp;"Arial,Bold"&amp;20Table 5C1-E: FY2012-13 MFP Budget Letter
Lycee Francais de la Nouvelle Orleans (May 2013)</oddHeader>
    <oddFooter>&amp;R&amp;P</oddFooter>
  </headerFooter>
  <colBreaks count="2" manualBreakCount="2">
    <brk id="12" min="1" max="75" man="1"/>
    <brk id="2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85"/>
  <sheetViews>
    <sheetView view="pageBreakPreview" zoomScaleNormal="75" zoomScaleSheetLayoutView="100" workbookViewId="0">
      <pane xSplit="2" ySplit="6" topLeftCell="C10" activePane="bottomRight" state="frozen"/>
      <selection activeCell="AP8" sqref="AP8:AP75"/>
      <selection pane="topRight" activeCell="AP8" sqref="AP8:AP75"/>
      <selection pane="bottomLeft" activeCell="AP8" sqref="AP8:AP75"/>
      <selection pane="bottomRight" activeCell="B2" sqref="B2:B5"/>
    </sheetView>
  </sheetViews>
  <sheetFormatPr defaultRowHeight="12.75"/>
  <cols>
    <col min="1" max="1" width="4.140625" customWidth="1"/>
    <col min="2" max="2" width="17.28515625" customWidth="1"/>
    <col min="3" max="3" width="19.140625" customWidth="1"/>
    <col min="4" max="4" width="14.85546875" customWidth="1"/>
    <col min="5" max="5" width="15.28515625" customWidth="1"/>
    <col min="6" max="6" width="15.5703125" customWidth="1"/>
    <col min="7" max="7" width="15" customWidth="1"/>
    <col min="8" max="11" width="16.140625" customWidth="1"/>
    <col min="12" max="12" width="13.28515625" customWidth="1"/>
    <col min="13" max="17" width="11.7109375" customWidth="1"/>
    <col min="18" max="18" width="12.140625" customWidth="1"/>
    <col min="19" max="19" width="12.28515625" customWidth="1"/>
    <col min="20" max="20" width="12.140625" bestFit="1" customWidth="1"/>
    <col min="21" max="21" width="13.42578125" bestFit="1" customWidth="1"/>
    <col min="22" max="22" width="15" bestFit="1" customWidth="1"/>
    <col min="23" max="23" width="16.140625" customWidth="1"/>
    <col min="24" max="24" width="9.85546875" bestFit="1" customWidth="1"/>
    <col min="25" max="25" width="10.7109375" bestFit="1" customWidth="1"/>
    <col min="26" max="26" width="16.140625" customWidth="1"/>
    <col min="27" max="27" width="13.7109375" customWidth="1"/>
    <col min="28" max="31" width="9.7109375" bestFit="1" customWidth="1"/>
    <col min="32" max="34" width="11.28515625" bestFit="1" customWidth="1"/>
    <col min="35" max="35" width="9.7109375" bestFit="1" customWidth="1"/>
    <col min="36" max="37" width="11.28515625" bestFit="1" customWidth="1"/>
    <col min="38" max="38" width="9.7109375" bestFit="1" customWidth="1"/>
    <col min="39" max="39" width="11.28515625" bestFit="1" customWidth="1"/>
    <col min="40" max="40" width="11.7109375" bestFit="1" customWidth="1"/>
    <col min="41" max="41" width="12.28515625" bestFit="1" customWidth="1"/>
    <col min="42" max="42" width="12.7109375" bestFit="1" customWidth="1"/>
    <col min="43" max="43" width="13.85546875" customWidth="1"/>
    <col min="44" max="44" width="11.5703125" customWidth="1"/>
    <col min="45" max="45" width="16.5703125" customWidth="1"/>
    <col min="46" max="46" width="0" hidden="1" customWidth="1"/>
    <col min="47" max="47" width="15.42578125" hidden="1" customWidth="1"/>
    <col min="48" max="48" width="14.5703125" hidden="1" customWidth="1"/>
    <col min="49" max="49" width="13.140625" hidden="1" customWidth="1"/>
    <col min="50" max="51" width="0" hidden="1" customWidth="1"/>
  </cols>
  <sheetData>
    <row r="1" spans="1:49" ht="21" customHeight="1">
      <c r="D1" s="1813" t="s">
        <v>68</v>
      </c>
      <c r="E1" s="1814"/>
      <c r="F1" s="1814"/>
      <c r="G1" s="1814"/>
      <c r="H1" s="1815"/>
      <c r="I1" s="1781" t="s">
        <v>1188</v>
      </c>
      <c r="J1" s="1782"/>
      <c r="K1" s="1783"/>
    </row>
    <row r="2" spans="1:49" ht="12.75" customHeight="1" thickBot="1">
      <c r="A2" s="1806" t="s">
        <v>203</v>
      </c>
      <c r="B2" s="1812" t="s">
        <v>275</v>
      </c>
      <c r="C2" s="1810" t="s">
        <v>803</v>
      </c>
      <c r="D2" s="1811" t="s">
        <v>644</v>
      </c>
      <c r="E2" s="1811" t="s">
        <v>709</v>
      </c>
      <c r="F2" s="1811" t="s">
        <v>1140</v>
      </c>
      <c r="G2" s="1809" t="s">
        <v>276</v>
      </c>
      <c r="H2" s="1809"/>
      <c r="I2" s="1816" t="s">
        <v>1383</v>
      </c>
      <c r="J2" s="1795" t="s">
        <v>1384</v>
      </c>
      <c r="K2" s="1817" t="s">
        <v>1385</v>
      </c>
      <c r="L2" s="1794" t="s">
        <v>1087</v>
      </c>
      <c r="M2" s="1794" t="s">
        <v>1088</v>
      </c>
      <c r="N2" s="1794" t="s">
        <v>1089</v>
      </c>
      <c r="O2" s="1794" t="s">
        <v>1090</v>
      </c>
      <c r="P2" s="1794" t="s">
        <v>1091</v>
      </c>
      <c r="Q2" s="1794" t="s">
        <v>1092</v>
      </c>
      <c r="R2" s="1794" t="s">
        <v>1093</v>
      </c>
      <c r="S2" s="1794" t="s">
        <v>1094</v>
      </c>
      <c r="T2" s="1794" t="s">
        <v>1095</v>
      </c>
      <c r="U2" s="1794" t="s">
        <v>1393</v>
      </c>
      <c r="V2" s="1805" t="s">
        <v>1096</v>
      </c>
      <c r="W2" s="1798" t="s">
        <v>1394</v>
      </c>
      <c r="X2" s="1798" t="s">
        <v>1395</v>
      </c>
      <c r="Y2" s="1798" t="s">
        <v>1396</v>
      </c>
      <c r="Z2" s="1798" t="s">
        <v>1397</v>
      </c>
      <c r="AA2" s="1798" t="s">
        <v>1451</v>
      </c>
      <c r="AB2" s="1801" t="s">
        <v>1452</v>
      </c>
      <c r="AC2" s="1801" t="s">
        <v>1453</v>
      </c>
      <c r="AD2" s="1801" t="s">
        <v>1454</v>
      </c>
      <c r="AE2" s="1801" t="s">
        <v>1455</v>
      </c>
      <c r="AF2" s="1820" t="s">
        <v>1456</v>
      </c>
      <c r="AG2" s="1820" t="s">
        <v>1457</v>
      </c>
      <c r="AH2" s="1820" t="s">
        <v>1458</v>
      </c>
      <c r="AI2" s="1820" t="s">
        <v>1459</v>
      </c>
      <c r="AJ2" s="1820" t="s">
        <v>1460</v>
      </c>
      <c r="AK2" s="1820" t="s">
        <v>1461</v>
      </c>
      <c r="AL2" s="1820" t="s">
        <v>1462</v>
      </c>
      <c r="AM2" s="1820" t="s">
        <v>1463</v>
      </c>
      <c r="AN2" s="1817" t="s">
        <v>1464</v>
      </c>
      <c r="AO2" s="1817" t="s">
        <v>1465</v>
      </c>
      <c r="AP2" s="1798" t="s">
        <v>1450</v>
      </c>
      <c r="AQ2" s="1805" t="s">
        <v>1401</v>
      </c>
      <c r="AR2" s="1791" t="s">
        <v>1176</v>
      </c>
      <c r="AS2" s="1805" t="s">
        <v>1185</v>
      </c>
    </row>
    <row r="3" spans="1:49" ht="28.5" customHeight="1" thickBot="1">
      <c r="A3" s="1807"/>
      <c r="B3" s="1807"/>
      <c r="C3" s="1799"/>
      <c r="D3" s="1796"/>
      <c r="E3" s="1796"/>
      <c r="F3" s="1796"/>
      <c r="G3" s="1809"/>
      <c r="H3" s="1809"/>
      <c r="I3" s="1796"/>
      <c r="J3" s="1796"/>
      <c r="K3" s="1818"/>
      <c r="L3" s="1794"/>
      <c r="M3" s="1794"/>
      <c r="N3" s="1794"/>
      <c r="O3" s="1794"/>
      <c r="P3" s="1794"/>
      <c r="Q3" s="1794"/>
      <c r="R3" s="1794"/>
      <c r="S3" s="1794"/>
      <c r="T3" s="1794"/>
      <c r="U3" s="1794"/>
      <c r="V3" s="1805"/>
      <c r="W3" s="1799"/>
      <c r="X3" s="1799"/>
      <c r="Y3" s="1799"/>
      <c r="Z3" s="1799"/>
      <c r="AA3" s="1799"/>
      <c r="AB3" s="1802"/>
      <c r="AC3" s="1802"/>
      <c r="AD3" s="1802"/>
      <c r="AE3" s="1802"/>
      <c r="AF3" s="1821"/>
      <c r="AG3" s="1821"/>
      <c r="AH3" s="1821"/>
      <c r="AI3" s="1821"/>
      <c r="AJ3" s="1821"/>
      <c r="AK3" s="1821"/>
      <c r="AL3" s="1821"/>
      <c r="AM3" s="1821"/>
      <c r="AN3" s="1818"/>
      <c r="AO3" s="1818"/>
      <c r="AP3" s="1799"/>
      <c r="AQ3" s="1805"/>
      <c r="AR3" s="1792"/>
      <c r="AS3" s="1805"/>
      <c r="AU3" s="1785" t="s">
        <v>1085</v>
      </c>
      <c r="AV3" s="1786"/>
      <c r="AW3" s="1787"/>
    </row>
    <row r="4" spans="1:49" ht="60" customHeight="1">
      <c r="A4" s="1807"/>
      <c r="B4" s="1807"/>
      <c r="C4" s="1799"/>
      <c r="D4" s="1796"/>
      <c r="E4" s="1796"/>
      <c r="F4" s="1796"/>
      <c r="G4" s="1809" t="s">
        <v>277</v>
      </c>
      <c r="H4" s="1809" t="s">
        <v>278</v>
      </c>
      <c r="I4" s="1796"/>
      <c r="J4" s="1796"/>
      <c r="K4" s="1818"/>
      <c r="L4" s="1794"/>
      <c r="M4" s="1794"/>
      <c r="N4" s="1794"/>
      <c r="O4" s="1794"/>
      <c r="P4" s="1794"/>
      <c r="Q4" s="1794"/>
      <c r="R4" s="1794"/>
      <c r="S4" s="1794"/>
      <c r="T4" s="1794"/>
      <c r="U4" s="1794"/>
      <c r="V4" s="1805"/>
      <c r="W4" s="1799"/>
      <c r="X4" s="1799"/>
      <c r="Y4" s="1799"/>
      <c r="Z4" s="1799"/>
      <c r="AA4" s="1799"/>
      <c r="AB4" s="1802"/>
      <c r="AC4" s="1802"/>
      <c r="AD4" s="1802"/>
      <c r="AE4" s="1802"/>
      <c r="AF4" s="1821"/>
      <c r="AG4" s="1821"/>
      <c r="AH4" s="1821"/>
      <c r="AI4" s="1821"/>
      <c r="AJ4" s="1821"/>
      <c r="AK4" s="1821"/>
      <c r="AL4" s="1821"/>
      <c r="AM4" s="1821"/>
      <c r="AN4" s="1818"/>
      <c r="AO4" s="1818"/>
      <c r="AP4" s="1799"/>
      <c r="AQ4" s="1805"/>
      <c r="AR4" s="1792"/>
      <c r="AS4" s="1805"/>
      <c r="AV4" s="1788" t="s">
        <v>1086</v>
      </c>
    </row>
    <row r="5" spans="1:49" ht="63.75" customHeight="1">
      <c r="A5" s="1808"/>
      <c r="B5" s="1808"/>
      <c r="C5" s="1800"/>
      <c r="D5" s="1797"/>
      <c r="E5" s="1797"/>
      <c r="F5" s="1797"/>
      <c r="G5" s="1809"/>
      <c r="H5" s="1809"/>
      <c r="I5" s="1797"/>
      <c r="J5" s="1797"/>
      <c r="K5" s="1819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805"/>
      <c r="W5" s="1800"/>
      <c r="X5" s="1800"/>
      <c r="Y5" s="1800"/>
      <c r="Z5" s="1800"/>
      <c r="AA5" s="1800"/>
      <c r="AB5" s="1803"/>
      <c r="AC5" s="1803"/>
      <c r="AD5" s="1803"/>
      <c r="AE5" s="1803"/>
      <c r="AF5" s="1822"/>
      <c r="AG5" s="1822"/>
      <c r="AH5" s="1822"/>
      <c r="AI5" s="1822"/>
      <c r="AJ5" s="1822"/>
      <c r="AK5" s="1822"/>
      <c r="AL5" s="1822"/>
      <c r="AM5" s="1822"/>
      <c r="AN5" s="1819"/>
      <c r="AO5" s="1819"/>
      <c r="AP5" s="1800"/>
      <c r="AQ5" s="1805"/>
      <c r="AR5" s="1793"/>
      <c r="AS5" s="1805"/>
      <c r="AV5" s="1789"/>
    </row>
    <row r="6" spans="1:49" s="47" customFormat="1" ht="12.75" customHeight="1" thickBot="1">
      <c r="A6" s="344"/>
      <c r="B6" s="345"/>
      <c r="C6" s="307">
        <f t="shared" ref="C6:H6" si="0">B6+1</f>
        <v>1</v>
      </c>
      <c r="D6" s="307">
        <f t="shared" si="0"/>
        <v>2</v>
      </c>
      <c r="E6" s="307">
        <f t="shared" si="0"/>
        <v>3</v>
      </c>
      <c r="F6" s="307">
        <f t="shared" si="0"/>
        <v>4</v>
      </c>
      <c r="G6" s="307">
        <f t="shared" si="0"/>
        <v>5</v>
      </c>
      <c r="H6" s="307">
        <f t="shared" si="0"/>
        <v>6</v>
      </c>
      <c r="I6" s="307">
        <f t="shared" ref="I6" si="1">H6+1</f>
        <v>7</v>
      </c>
      <c r="J6" s="307">
        <f t="shared" ref="J6" si="2">I6+1</f>
        <v>8</v>
      </c>
      <c r="K6" s="307">
        <f t="shared" ref="K6" si="3">J6+1</f>
        <v>9</v>
      </c>
      <c r="L6" s="307">
        <f t="shared" ref="L6" si="4">K6+1</f>
        <v>10</v>
      </c>
      <c r="M6" s="307">
        <f t="shared" ref="M6" si="5">L6+1</f>
        <v>11</v>
      </c>
      <c r="N6" s="307">
        <f t="shared" ref="N6" si="6">M6+1</f>
        <v>12</v>
      </c>
      <c r="O6" s="307">
        <f t="shared" ref="O6" si="7">N6+1</f>
        <v>13</v>
      </c>
      <c r="P6" s="307">
        <f t="shared" ref="P6" si="8">O6+1</f>
        <v>14</v>
      </c>
      <c r="Q6" s="307">
        <f t="shared" ref="Q6" si="9">P6+1</f>
        <v>15</v>
      </c>
      <c r="R6" s="307">
        <f t="shared" ref="R6" si="10">Q6+1</f>
        <v>16</v>
      </c>
      <c r="S6" s="307">
        <f t="shared" ref="S6" si="11">R6+1</f>
        <v>17</v>
      </c>
      <c r="T6" s="307">
        <f t="shared" ref="T6" si="12">S6+1</f>
        <v>18</v>
      </c>
      <c r="U6" s="307">
        <f t="shared" ref="U6" si="13">T6+1</f>
        <v>19</v>
      </c>
      <c r="V6" s="307">
        <f t="shared" ref="V6" si="14">U6+1</f>
        <v>20</v>
      </c>
      <c r="W6" s="307">
        <f t="shared" ref="W6" si="15">V6+1</f>
        <v>21</v>
      </c>
      <c r="X6" s="307" t="s">
        <v>1398</v>
      </c>
      <c r="Y6" s="307" t="s">
        <v>1399</v>
      </c>
      <c r="Z6" s="307" t="s">
        <v>1400</v>
      </c>
      <c r="AA6" s="307">
        <v>22</v>
      </c>
      <c r="AB6" s="307">
        <f>AA6+1</f>
        <v>23</v>
      </c>
      <c r="AC6" s="307">
        <f>AB6+1</f>
        <v>24</v>
      </c>
      <c r="AD6" s="307">
        <f t="shared" ref="AD6:AP6" si="16">AC6+1</f>
        <v>25</v>
      </c>
      <c r="AE6" s="307">
        <f t="shared" si="16"/>
        <v>26</v>
      </c>
      <c r="AF6" s="307">
        <f t="shared" si="16"/>
        <v>27</v>
      </c>
      <c r="AG6" s="307">
        <f t="shared" si="16"/>
        <v>28</v>
      </c>
      <c r="AH6" s="307">
        <f t="shared" si="16"/>
        <v>29</v>
      </c>
      <c r="AI6" s="307">
        <f t="shared" si="16"/>
        <v>30</v>
      </c>
      <c r="AJ6" s="307">
        <f t="shared" si="16"/>
        <v>31</v>
      </c>
      <c r="AK6" s="307">
        <f t="shared" si="16"/>
        <v>32</v>
      </c>
      <c r="AL6" s="307">
        <f t="shared" si="16"/>
        <v>33</v>
      </c>
      <c r="AM6" s="307">
        <f t="shared" si="16"/>
        <v>34</v>
      </c>
      <c r="AN6" s="307">
        <f t="shared" si="16"/>
        <v>35</v>
      </c>
      <c r="AO6" s="307">
        <f t="shared" si="16"/>
        <v>36</v>
      </c>
      <c r="AP6" s="307">
        <f t="shared" si="16"/>
        <v>37</v>
      </c>
      <c r="AQ6" s="307">
        <f t="shared" ref="AQ6" si="17">AP6+1</f>
        <v>38</v>
      </c>
      <c r="AR6" s="307">
        <f t="shared" ref="AR6:AS6" si="18">AQ6+1</f>
        <v>39</v>
      </c>
      <c r="AS6" s="307">
        <f t="shared" si="18"/>
        <v>40</v>
      </c>
      <c r="AV6" s="1790"/>
    </row>
    <row r="7" spans="1:49">
      <c r="A7" s="101">
        <v>1</v>
      </c>
      <c r="B7" s="299" t="s">
        <v>102</v>
      </c>
      <c r="C7" s="309">
        <f>'Table 3 Levels 1&amp;2'!AO8</f>
        <v>50609759.975168005</v>
      </c>
      <c r="D7" s="354">
        <f>'[2]Adjusted Amounts'!$C7</f>
        <v>38965.359999999986</v>
      </c>
      <c r="E7" s="354">
        <f>'[2]Adjusted Amounts'!$H7</f>
        <v>455.11080401425443</v>
      </c>
      <c r="F7" s="354">
        <f>SUM(D7:E7)</f>
        <v>39420.470804014243</v>
      </c>
      <c r="G7" s="309">
        <f t="shared" ref="G7:G70" si="19">IF(F7&gt;0,F7,0)</f>
        <v>39420.470804014243</v>
      </c>
      <c r="H7" s="354">
        <f>IF(F7&lt;0,F7,0)</f>
        <v>0</v>
      </c>
      <c r="I7" s="354">
        <f>'[1]Midyear Adjustment Summary'!C5+'[1]Oct midyear Madison Prep'!K7+'[1]Oct midyear DArbonne'!K7+'[1]Oct midyear Intl_VIBE '!K7+'[1]Oct midyear NOMMA'!K7+'[1]Oct midyear LFNO'!K7+'[1]Oct midyear Lake Charles Chtr'!K7+'[1]Oct midyear LA Virtual Admy'!K4+'[1]Oct midyear LA Connections'!K4</f>
        <v>1669567.7295871489</v>
      </c>
      <c r="J7" s="354">
        <f>'[1]Midyear Adjustment Summary'!D5+'[1]Feb midyear Madison Prep'!K7+'[1]Feb midyear DArbonne'!K7+'[1]Feb midyear Intl_VIBE '!K7+'[1]Feb midyear NOMMA'!K7+'[1]Feb midyear LFNO '!K7+'[1]Feb midyear Lake Charles Ch'!K7+'[1]Feb midyear LA Virtual Admy'!K4+'[1]Feb midyear LA Connections'!K4</f>
        <v>-184665.12999974628</v>
      </c>
      <c r="K7" s="354">
        <f>I7+J7</f>
        <v>1484902.5995874025</v>
      </c>
      <c r="L7" s="354"/>
      <c r="M7" s="354">
        <f>-'Table 5C1A-Madison Prep'!L7</f>
        <v>0</v>
      </c>
      <c r="N7" s="354">
        <f>-'Table 5C1B-DArbonne'!L7</f>
        <v>0</v>
      </c>
      <c r="O7" s="354">
        <f>-'Table 5C1C-Intl_VIBE'!L7</f>
        <v>0</v>
      </c>
      <c r="P7" s="354">
        <f>-'Table 5C1D-NOMMA'!L7</f>
        <v>0</v>
      </c>
      <c r="Q7" s="354">
        <f>-'Table 5C1E-LFNO'!L7</f>
        <v>0</v>
      </c>
      <c r="R7" s="356">
        <f>-'Table 5C1F-Lake Charles Charter'!L7</f>
        <v>0</v>
      </c>
      <c r="S7" s="314">
        <f>-'Table 5C2 - LA Virtual Admy'!M5-'Table 5C2 - LA Virtual Admy'!I5</f>
        <v>-83775.111366451354</v>
      </c>
      <c r="T7" s="314">
        <f>-'Table 5C3 - LA Connections EBR'!M5-'Table 5C3 - LA Connections EBR'!I5</f>
        <v>-131358.27284439324</v>
      </c>
      <c r="U7" s="1692">
        <f>SUM(L7:T7)</f>
        <v>-215133.38421084458</v>
      </c>
      <c r="V7" s="560">
        <f>ROUND(C7+F7+I7+J7+L7+M7+N7+O7+P7+Q7+R7+S7+T7,0)</f>
        <v>51918950</v>
      </c>
      <c r="W7" s="560">
        <f>[3]MFP!DT8</f>
        <v>42645466</v>
      </c>
      <c r="X7" s="560">
        <f>AR7</f>
        <v>0</v>
      </c>
      <c r="Y7" s="560">
        <f>'[4]Table 4B Rewards'!G4</f>
        <v>76084.650000000009</v>
      </c>
      <c r="Z7" s="560">
        <f>SUM(W7:Y7)</f>
        <v>42721550.649999999</v>
      </c>
      <c r="AA7" s="1737">
        <f>V7-Z7</f>
        <v>9197399.3500000015</v>
      </c>
      <c r="AB7" s="1741">
        <f>('[5]Table 2A-2 EFT (Monthly)'!Z6+'[5]Table 2A-2 EFT (Monthly)Aug'!Z6+'[5]Table 2A-2 EFT (Monthly) sep'!Z6+'[5]Table 2A-2 EFT (Monthly)oct'!Z6+'[5]Table 2A-2 EFT (Monthly)oct'!Z6+'[5]Table 2A-2 EFT (Monthly)dec'!Z6+'[5]Table 2A-2 EFT (Monthly)jan'!Z6+'[5]Table 2A-2 EFT (Monthly)feb'!Z6+'[5]Table 2A-2 EFT (Monthly) mar'!Z6+'[5]Table 2A-2 EFT (Monthly)apr'!Z6)*-1</f>
        <v>4448</v>
      </c>
      <c r="AC7" s="1741">
        <f>('[5]Table 2A-2 EFT (Monthly)'!AA6+'[5]Table 2A-2 EFT (Monthly)Aug'!AA6+'[5]Table 2A-2 EFT (Monthly) sep'!AA6+'[5]Table 2A-2 EFT (Monthly)oct'!AA6+'[5]Table 2A-2 EFT (Monthly)oct'!AA6+'[5]Table 2A-2 EFT (Monthly)dec'!AA6+'[5]Table 2A-2 EFT (Monthly)jan'!AA6+'[5]Table 2A-2 EFT (Monthly)feb'!AA6+'[5]Table 2A-2 EFT (Monthly) mar'!AA6+'[5]Table 2A-2 EFT (Monthly)apr'!AA6)*-1</f>
        <v>0</v>
      </c>
      <c r="AD7" s="1741">
        <f>('[5]Table 2A-2 EFT (Monthly)'!AB6+'[5]Table 2A-2 EFT (Monthly)Aug'!AB6+'[5]Table 2A-2 EFT (Monthly) sep'!AB6+'[5]Table 2A-2 EFT (Monthly)oct'!AB6+'[5]Table 2A-2 EFT (Monthly)oct'!AB6+'[5]Table 2A-2 EFT (Monthly)dec'!AB6+'[5]Table 2A-2 EFT (Monthly)jan'!AB6+'[5]Table 2A-2 EFT (Monthly)feb'!AB6+'[5]Table 2A-2 EFT (Monthly) mar'!AB6+'[5]Table 2A-2 EFT (Monthly)apr'!AB6)*-1</f>
        <v>4090</v>
      </c>
      <c r="AE7" s="1741">
        <f>('[5]Table 2A-2 EFT (Monthly)'!AC6+'[5]Table 2A-2 EFT (Monthly)Aug'!AC6+'[5]Table 2A-2 EFT (Monthly) sep'!AC6+'[5]Table 2A-2 EFT (Monthly)oct'!AC6+'[5]Table 2A-2 EFT (Monthly)oct'!AC6+'[5]Table 2A-2 EFT (Monthly)dec'!AC6+'[5]Table 2A-2 EFT (Monthly)jan'!AC6+'[5]Table 2A-2 EFT (Monthly)feb'!AC6+'[5]Table 2A-2 EFT (Monthly) mar'!AC6+'[5]Table 2A-2 EFT (Monthly)apr'!AC6)*-1</f>
        <v>6476</v>
      </c>
      <c r="AF7" s="1741">
        <f>('[5]Table 2A-2 EFT (Monthly)'!Q6+'[5]Table 2A-2 EFT (Monthly)Aug'!Q6+'[5]Table 2A-2 EFT (Monthly) sep'!Q6+'[5]Table 2A-2 EFT (Monthly)oct'!Q6+'[5]Table 2A-2 EFT (Monthly)oct'!Q6+'[5]Table 2A-2 EFT (Monthly)dec'!Q6+'[5]Table 2A-2 EFT (Monthly)jan'!Q6+'[5]Table 2A-2 EFT (Monthly)feb'!Q6+'[5]Table 2A-2 EFT (Monthly) mar'!Q6+'[5]Table 2A-2 EFT (Monthly)apr'!Q6+'[5]Table 2A-2 EFT (Monthly)'!AT6+'[5]Table 2A-2 EFT (Monthly) mar'!AT6)*-1</f>
        <v>0</v>
      </c>
      <c r="AG7" s="1741">
        <f>('[5]Table 2A-2 EFT (Monthly)'!R6+'[5]Table 2A-2 EFT (Monthly)Aug'!R6+'[5]Table 2A-2 EFT (Monthly) sep'!R6+'[5]Table 2A-2 EFT (Monthly)oct'!R6+'[5]Table 2A-2 EFT (Monthly)oct'!R6+'[5]Table 2A-2 EFT (Monthly)dec'!R6+'[5]Table 2A-2 EFT (Monthly)jan'!R6+'[5]Table 2A-2 EFT (Monthly)feb'!R6+'[5]Table 2A-2 EFT (Monthly) mar'!R6+'[5]Table 2A-2 EFT (Monthly)apr'!R6+'[5]Table 2A-2 EFT (Monthly)'!AU6+'[5]Table 2A-2 EFT (Monthly) mar'!AU6)*-1</f>
        <v>0</v>
      </c>
      <c r="AH7" s="1741">
        <f>('[5]Table 2A-2 EFT (Monthly)'!S6+'[5]Table 2A-2 EFT (Monthly)Aug'!S6+'[5]Table 2A-2 EFT (Monthly) sep'!S6+'[5]Table 2A-2 EFT (Monthly)oct'!S6+'[5]Table 2A-2 EFT (Monthly)oct'!S6+'[5]Table 2A-2 EFT (Monthly)dec'!S6+'[5]Table 2A-2 EFT (Monthly)jan'!S6+'[5]Table 2A-2 EFT (Monthly)feb'!S6+'[5]Table 2A-2 EFT (Monthly) mar'!S6+'[5]Table 2A-2 EFT (Monthly)apr'!S6+'[5]Table 2A-2 EFT (Monthly)'!AV6+'[5]Table 2A-2 EFT (Monthly) mar'!AV6)*-1</f>
        <v>0</v>
      </c>
      <c r="AI7" s="1741">
        <f>('[5]Table 2A-2 EFT (Monthly)'!T6+'[5]Table 2A-2 EFT (Monthly)Aug'!T6+'[5]Table 2A-2 EFT (Monthly) sep'!T6+'[5]Table 2A-2 EFT (Monthly)oct'!T6+'[5]Table 2A-2 EFT (Monthly)oct'!T6+'[5]Table 2A-2 EFT (Monthly)dec'!T6+'[5]Table 2A-2 EFT (Monthly)jan'!T6+'[5]Table 2A-2 EFT (Monthly)feb'!T6+'[5]Table 2A-2 EFT (Monthly) mar'!T6+'[5]Table 2A-2 EFT (Monthly)apr'!T6+'[5]Table 2A-2 EFT (Monthly)'!AW6+'[5]Table 2A-2 EFT (Monthly) mar'!AW6)*-1</f>
        <v>0</v>
      </c>
      <c r="AJ7" s="1741">
        <f>('[5]Table 2A-2 EFT (Monthly)'!U6+'[5]Table 2A-2 EFT (Monthly)Aug'!U6+'[5]Table 2A-2 EFT (Monthly) sep'!U6+'[5]Table 2A-2 EFT (Monthly)oct'!U6+'[5]Table 2A-2 EFT (Monthly)oct'!U6+'[5]Table 2A-2 EFT (Monthly)dec'!U6+'[5]Table 2A-2 EFT (Monthly)jan'!U6+'[5]Table 2A-2 EFT (Monthly)feb'!U6+'[5]Table 2A-2 EFT (Monthly) mar'!U6+'[5]Table 2A-2 EFT (Monthly)apr'!U6+'[5]Table 2A-2 EFT (Monthly)'!AX6+'[5]Table 2A-2 EFT (Monthly) mar'!AX6)*-1</f>
        <v>0</v>
      </c>
      <c r="AK7" s="1741">
        <f>('[5]Table 2A-2 EFT (Monthly)'!V6+'[5]Table 2A-2 EFT (Monthly)Aug'!V6+'[5]Table 2A-2 EFT (Monthly) sep'!V6+'[5]Table 2A-2 EFT (Monthly)oct'!V6+'[5]Table 2A-2 EFT (Monthly)oct'!V6+'[5]Table 2A-2 EFT (Monthly)dec'!V6+'[5]Table 2A-2 EFT (Monthly)jan'!V6+'[5]Table 2A-2 EFT (Monthly)feb'!V6+'[5]Table 2A-2 EFT (Monthly) mar'!V6+'[5]Table 2A-2 EFT (Monthly)apr'!V6+'[5]Table 2A-2 EFT (Monthly)'!AY6+'[5]Table 2A-2 EFT (Monthly) mar'!AY6)*-1</f>
        <v>0</v>
      </c>
      <c r="AL7" s="1741">
        <f>('[5]Table 2A-2 EFT (Monthly)'!W6+'[5]Table 2A-2 EFT (Monthly)Aug'!W6+'[5]Table 2A-2 EFT (Monthly) sep'!W6+'[5]Table 2A-2 EFT (Monthly)oct'!W6+'[5]Table 2A-2 EFT (Monthly)oct'!W6+'[5]Table 2A-2 EFT (Monthly)dec'!W6+'[5]Table 2A-2 EFT (Monthly)jan'!W6+'[5]Table 2A-2 EFT (Monthly)feb'!W6+'[5]Table 2A-2 EFT (Monthly) mar'!W6+'[5]Table 2A-2 EFT (Monthly)apr'!W6+'[5]Table 2A-2 EFT (Monthly)'!AZ6+'[5]Table 2A-2 EFT (Monthly) mar'!AZ6)*-1</f>
        <v>0</v>
      </c>
      <c r="AM7" s="1741">
        <f>('[5]Table 2A-2 EFT (Monthly)'!X6+'[5]Table 2A-2 EFT (Monthly)Aug'!X6+'[5]Table 2A-2 EFT (Monthly) sep'!X6+'[5]Table 2A-2 EFT (Monthly)oct'!X6+'[5]Table 2A-2 EFT (Monthly)oct'!X6+'[5]Table 2A-2 EFT (Monthly)dec'!X6+'[5]Table 2A-2 EFT (Monthly)jan'!X6+'[5]Table 2A-2 EFT (Monthly)feb'!X6+'[5]Table 2A-2 EFT (Monthly) mar'!X6+'[5]Table 2A-2 EFT (Monthly)apr'!X6+'[5]Table 2A-2 EFT (Monthly)'!BA6+'[5]Table 2A-2 EFT (Monthly) mar'!BA6)*-1</f>
        <v>0</v>
      </c>
      <c r="AN7" s="1741">
        <f>('[5]Table 2A-2 EFT (Monthly) sep'!AD6+'[5]Table 2A-2 EFT (Monthly)dec'!AD6+'[5]Table 2A-2 EFT (Monthly)feb'!AD6)*-1</f>
        <v>4190.73499858375</v>
      </c>
      <c r="AO7" s="1741">
        <f>SUM(AB7:AN7)</f>
        <v>19204.73499858375</v>
      </c>
      <c r="AP7" s="560">
        <f>AA7+AO7</f>
        <v>9216604.0849985853</v>
      </c>
      <c r="AQ7" s="309">
        <f>ROUND(AP7/2,0)</f>
        <v>4608302</v>
      </c>
      <c r="AR7" s="713">
        <f>'Table 4A Stipends'!G4</f>
        <v>0</v>
      </c>
      <c r="AS7" s="309">
        <f t="shared" ref="AS7:AS38" si="20">V7+AR7</f>
        <v>51918950</v>
      </c>
      <c r="AU7" s="1339">
        <f>('Table 8 2.1.12 MFP Funded'!G4*'Table 3 Levels 1&amp;2'!AP8)+'Table 2_State with Midyear Adjs'!F7</f>
        <v>50470481.314880587</v>
      </c>
      <c r="AV7" s="1336">
        <f t="shared" ref="AV7:AV38" si="21">V7-AU7</f>
        <v>1448468.6851194128</v>
      </c>
      <c r="AW7" s="280">
        <f>AV7/AU7</f>
        <v>2.8699323790525255E-2</v>
      </c>
    </row>
    <row r="8" spans="1:49">
      <c r="A8" s="101">
        <v>2</v>
      </c>
      <c r="B8" s="299" t="s">
        <v>103</v>
      </c>
      <c r="C8" s="309">
        <f>'Table 3 Levels 1&amp;2'!AO9</f>
        <v>28155317.533720002</v>
      </c>
      <c r="D8" s="354">
        <f>'[2]Adjusted Amounts'!$C8</f>
        <v>-6857.2225078297706</v>
      </c>
      <c r="E8" s="354">
        <f>'[2]Adjusted Amounts'!$H8</f>
        <v>1483.7499263770296</v>
      </c>
      <c r="F8" s="354">
        <f t="shared" ref="F8:F71" si="22">SUM(D8:E8)</f>
        <v>-5373.472581452741</v>
      </c>
      <c r="G8" s="309">
        <f t="shared" si="19"/>
        <v>0</v>
      </c>
      <c r="H8" s="354">
        <f t="shared" ref="H8:H71" si="23">IF(F8&lt;0,F8,0)</f>
        <v>-5373.472581452741</v>
      </c>
      <c r="I8" s="354">
        <f>'[1]Midyear Adjustment Summary'!C6+'[1]Oct midyear Madison Prep'!K8+'[1]Oct midyear DArbonne'!K8+'[1]Oct midyear Intl_VIBE '!K8+'[1]Oct midyear NOMMA'!K8+'[1]Oct midyear LFNO'!K8+'[1]Oct midyear Lake Charles Chtr'!K8+'[1]Oct midyear LA Virtual Admy'!K5+'[1]Oct midyear LA Connections'!K5</f>
        <v>606893.96241383068</v>
      </c>
      <c r="J8" s="354">
        <f>'[1]Midyear Adjustment Summary'!D6+'[1]Feb midyear Madison Prep'!K8+'[1]Feb midyear DArbonne'!K8+'[1]Feb midyear Intl_VIBE '!K8+'[1]Feb midyear NOMMA'!K8+'[1]Feb midyear LFNO '!K8+'[1]Feb midyear Lake Charles Ch'!K8+'[1]Feb midyear LA Virtual Admy'!K5+'[1]Feb midyear LA Connections'!K5</f>
        <v>-105926.76878536331</v>
      </c>
      <c r="K8" s="354">
        <f t="shared" ref="K8:K71" si="24">I8+J8</f>
        <v>500967.19362846739</v>
      </c>
      <c r="L8" s="354"/>
      <c r="M8" s="354">
        <f>-'Table 5C1A-Madison Prep'!L8</f>
        <v>0</v>
      </c>
      <c r="N8" s="354">
        <f>-'Table 5C1B-DArbonne'!L8</f>
        <v>0</v>
      </c>
      <c r="O8" s="354">
        <f>-'Table 5C1C-Intl_VIBE'!L8</f>
        <v>0</v>
      </c>
      <c r="P8" s="354">
        <f>-'Table 5C1D-NOMMA'!L8</f>
        <v>0</v>
      </c>
      <c r="Q8" s="354">
        <f>-'Table 5C1E-LFNO'!L8</f>
        <v>0</v>
      </c>
      <c r="R8" s="354">
        <f>-'Table 5C1F-Lake Charles Charter'!L8</f>
        <v>0</v>
      </c>
      <c r="S8" s="314">
        <f>-'Table 5C2 - LA Virtual Admy'!M6-'Table 5C2 - LA Virtual Admy'!I6</f>
        <v>-36997.988002703758</v>
      </c>
      <c r="T8" s="314">
        <f>-'Table 5C3 - LA Connections EBR'!M6-'Table 5C3 - LA Connections EBR'!I6</f>
        <v>-29546.966187313141</v>
      </c>
      <c r="U8" s="1692">
        <f t="shared" ref="U8:U71" si="25">SUM(L8:T8)</f>
        <v>-66544.954190016899</v>
      </c>
      <c r="V8" s="560">
        <f t="shared" ref="V8:V71" si="26">ROUND(C8+F8+I8+J8+L8+M8+N8+O8+P8+Q8+R8+S8+T8,0)</f>
        <v>28584366</v>
      </c>
      <c r="W8" s="560">
        <f>[3]MFP!DT9</f>
        <v>23589479</v>
      </c>
      <c r="X8" s="560">
        <f t="shared" ref="X8:X71" si="27">AR8</f>
        <v>0</v>
      </c>
      <c r="Y8" s="560">
        <f>'[4]Table 4B Rewards'!G5</f>
        <v>84538.500000000015</v>
      </c>
      <c r="Z8" s="560">
        <f t="shared" ref="Z8:Z71" si="28">SUM(W8:Y8)</f>
        <v>23674017.5</v>
      </c>
      <c r="AA8" s="1737">
        <f t="shared" ref="AA8:AA71" si="29">V8-Z8</f>
        <v>4910348.5</v>
      </c>
      <c r="AB8" s="1741">
        <f>('[5]Table 2A-2 EFT (Monthly)'!Z7+'[5]Table 2A-2 EFT (Monthly)Aug'!Z7+'[5]Table 2A-2 EFT (Monthly) sep'!Z7+'[5]Table 2A-2 EFT (Monthly)oct'!Z7+'[5]Table 2A-2 EFT (Monthly)oct'!Z7+'[5]Table 2A-2 EFT (Monthly)dec'!Z7+'[5]Table 2A-2 EFT (Monthly)jan'!Z7+'[5]Table 2A-2 EFT (Monthly)feb'!Z7+'[5]Table 2A-2 EFT (Monthly) mar'!Z7+'[5]Table 2A-2 EFT (Monthly)apr'!Z7)*-1</f>
        <v>752</v>
      </c>
      <c r="AC8" s="1741">
        <f>('[5]Table 2A-2 EFT (Monthly)'!AA7+'[5]Table 2A-2 EFT (Monthly)Aug'!AA7+'[5]Table 2A-2 EFT (Monthly) sep'!AA7+'[5]Table 2A-2 EFT (Monthly)oct'!AA7+'[5]Table 2A-2 EFT (Monthly)oct'!AA7+'[5]Table 2A-2 EFT (Monthly)dec'!AA7+'[5]Table 2A-2 EFT (Monthly)jan'!AA7+'[5]Table 2A-2 EFT (Monthly)feb'!AA7+'[5]Table 2A-2 EFT (Monthly) mar'!AA7+'[5]Table 2A-2 EFT (Monthly)apr'!AA7)*-1</f>
        <v>0</v>
      </c>
      <c r="AD8" s="1741">
        <f>('[5]Table 2A-2 EFT (Monthly)'!AB7+'[5]Table 2A-2 EFT (Monthly)Aug'!AB7+'[5]Table 2A-2 EFT (Monthly) sep'!AB7+'[5]Table 2A-2 EFT (Monthly)oct'!AB7+'[5]Table 2A-2 EFT (Monthly)oct'!AB7+'[5]Table 2A-2 EFT (Monthly)dec'!AB7+'[5]Table 2A-2 EFT (Monthly)jan'!AB7+'[5]Table 2A-2 EFT (Monthly)feb'!AB7+'[5]Table 2A-2 EFT (Monthly) mar'!AB7+'[5]Table 2A-2 EFT (Monthly)apr'!AB7)*-1</f>
        <v>0</v>
      </c>
      <c r="AE8" s="1741">
        <f>('[5]Table 2A-2 EFT (Monthly)'!AC7+'[5]Table 2A-2 EFT (Monthly)Aug'!AC7+'[5]Table 2A-2 EFT (Monthly) sep'!AC7+'[5]Table 2A-2 EFT (Monthly)oct'!AC7+'[5]Table 2A-2 EFT (Monthly)oct'!AC7+'[5]Table 2A-2 EFT (Monthly)dec'!AC7+'[5]Table 2A-2 EFT (Monthly)jan'!AC7+'[5]Table 2A-2 EFT (Monthly)feb'!AC7+'[5]Table 2A-2 EFT (Monthly) mar'!AC7+'[5]Table 2A-2 EFT (Monthly)apr'!AC7)*-1</f>
        <v>1526</v>
      </c>
      <c r="AF8" s="1741">
        <f>('[5]Table 2A-2 EFT (Monthly)'!Q7+'[5]Table 2A-2 EFT (Monthly)Aug'!Q7+'[5]Table 2A-2 EFT (Monthly) sep'!Q7+'[5]Table 2A-2 EFT (Monthly)oct'!Q7+'[5]Table 2A-2 EFT (Monthly)oct'!Q7+'[5]Table 2A-2 EFT (Monthly)dec'!Q7+'[5]Table 2A-2 EFT (Monthly)jan'!Q7+'[5]Table 2A-2 EFT (Monthly)feb'!Q7+'[5]Table 2A-2 EFT (Monthly) mar'!Q7+'[5]Table 2A-2 EFT (Monthly)apr'!Q7+'[5]Table 2A-2 EFT (Monthly)'!AT7+'[5]Table 2A-2 EFT (Monthly) mar'!AT7)*-1</f>
        <v>0</v>
      </c>
      <c r="AG8" s="1741">
        <f>('[5]Table 2A-2 EFT (Monthly)'!R7+'[5]Table 2A-2 EFT (Monthly)Aug'!R7+'[5]Table 2A-2 EFT (Monthly) sep'!R7+'[5]Table 2A-2 EFT (Monthly)oct'!R7+'[5]Table 2A-2 EFT (Monthly)oct'!R7+'[5]Table 2A-2 EFT (Monthly)dec'!R7+'[5]Table 2A-2 EFT (Monthly)jan'!R7+'[5]Table 2A-2 EFT (Monthly)feb'!R7+'[5]Table 2A-2 EFT (Monthly) mar'!R7+'[5]Table 2A-2 EFT (Monthly)apr'!R7+'[5]Table 2A-2 EFT (Monthly)'!AU7+'[5]Table 2A-2 EFT (Monthly) mar'!AU7)*-1</f>
        <v>0</v>
      </c>
      <c r="AH8" s="1741">
        <f>('[5]Table 2A-2 EFT (Monthly)'!S7+'[5]Table 2A-2 EFT (Monthly)Aug'!S7+'[5]Table 2A-2 EFT (Monthly) sep'!S7+'[5]Table 2A-2 EFT (Monthly)oct'!S7+'[5]Table 2A-2 EFT (Monthly)oct'!S7+'[5]Table 2A-2 EFT (Monthly)dec'!S7+'[5]Table 2A-2 EFT (Monthly)jan'!S7+'[5]Table 2A-2 EFT (Monthly)feb'!S7+'[5]Table 2A-2 EFT (Monthly) mar'!S7+'[5]Table 2A-2 EFT (Monthly)apr'!S7+'[5]Table 2A-2 EFT (Monthly)'!AV7+'[5]Table 2A-2 EFT (Monthly) mar'!AV7)*-1</f>
        <v>0</v>
      </c>
      <c r="AI8" s="1741">
        <f>('[5]Table 2A-2 EFT (Monthly)'!T7+'[5]Table 2A-2 EFT (Monthly)Aug'!T7+'[5]Table 2A-2 EFT (Monthly) sep'!T7+'[5]Table 2A-2 EFT (Monthly)oct'!T7+'[5]Table 2A-2 EFT (Monthly)oct'!T7+'[5]Table 2A-2 EFT (Monthly)dec'!T7+'[5]Table 2A-2 EFT (Monthly)jan'!T7+'[5]Table 2A-2 EFT (Monthly)feb'!T7+'[5]Table 2A-2 EFT (Monthly) mar'!T7+'[5]Table 2A-2 EFT (Monthly)apr'!T7+'[5]Table 2A-2 EFT (Monthly)'!AW7+'[5]Table 2A-2 EFT (Monthly) mar'!AW7)*-1</f>
        <v>0</v>
      </c>
      <c r="AJ8" s="1741">
        <f>('[5]Table 2A-2 EFT (Monthly)'!U7+'[5]Table 2A-2 EFT (Monthly)Aug'!U7+'[5]Table 2A-2 EFT (Monthly) sep'!U7+'[5]Table 2A-2 EFT (Monthly)oct'!U7+'[5]Table 2A-2 EFT (Monthly)oct'!U7+'[5]Table 2A-2 EFT (Monthly)dec'!U7+'[5]Table 2A-2 EFT (Monthly)jan'!U7+'[5]Table 2A-2 EFT (Monthly)feb'!U7+'[5]Table 2A-2 EFT (Monthly) mar'!U7+'[5]Table 2A-2 EFT (Monthly)apr'!U7+'[5]Table 2A-2 EFT (Monthly)'!AX7+'[5]Table 2A-2 EFT (Monthly) mar'!AX7)*-1</f>
        <v>0</v>
      </c>
      <c r="AK8" s="1741">
        <f>('[5]Table 2A-2 EFT (Monthly)'!V7+'[5]Table 2A-2 EFT (Monthly)Aug'!V7+'[5]Table 2A-2 EFT (Monthly) sep'!V7+'[5]Table 2A-2 EFT (Monthly)oct'!V7+'[5]Table 2A-2 EFT (Monthly)oct'!V7+'[5]Table 2A-2 EFT (Monthly)dec'!V7+'[5]Table 2A-2 EFT (Monthly)jan'!V7+'[5]Table 2A-2 EFT (Monthly)feb'!V7+'[5]Table 2A-2 EFT (Monthly) mar'!V7+'[5]Table 2A-2 EFT (Monthly)apr'!V7+'[5]Table 2A-2 EFT (Monthly)'!AY7+'[5]Table 2A-2 EFT (Monthly) mar'!AY7)*-1</f>
        <v>0</v>
      </c>
      <c r="AL8" s="1741">
        <f>('[5]Table 2A-2 EFT (Monthly)'!W7+'[5]Table 2A-2 EFT (Monthly)Aug'!W7+'[5]Table 2A-2 EFT (Monthly) sep'!W7+'[5]Table 2A-2 EFT (Monthly)oct'!W7+'[5]Table 2A-2 EFT (Monthly)oct'!W7+'[5]Table 2A-2 EFT (Monthly)dec'!W7+'[5]Table 2A-2 EFT (Monthly)jan'!W7+'[5]Table 2A-2 EFT (Monthly)feb'!W7+'[5]Table 2A-2 EFT (Monthly) mar'!W7+'[5]Table 2A-2 EFT (Monthly)apr'!W7+'[5]Table 2A-2 EFT (Monthly)'!AZ7+'[5]Table 2A-2 EFT (Monthly) mar'!AZ7)*-1</f>
        <v>0</v>
      </c>
      <c r="AM8" s="1741">
        <f>('[5]Table 2A-2 EFT (Monthly)'!X7+'[5]Table 2A-2 EFT (Monthly)Aug'!X7+'[5]Table 2A-2 EFT (Monthly) sep'!X7+'[5]Table 2A-2 EFT (Monthly)oct'!X7+'[5]Table 2A-2 EFT (Monthly)oct'!X7+'[5]Table 2A-2 EFT (Monthly)dec'!X7+'[5]Table 2A-2 EFT (Monthly)jan'!X7+'[5]Table 2A-2 EFT (Monthly)feb'!X7+'[5]Table 2A-2 EFT (Monthly) mar'!X7+'[5]Table 2A-2 EFT (Monthly)apr'!X7+'[5]Table 2A-2 EFT (Monthly)'!BA7+'[5]Table 2A-2 EFT (Monthly) mar'!BA7)*-1</f>
        <v>0</v>
      </c>
      <c r="AN8" s="1741">
        <f>('[5]Table 2A-2 EFT (Monthly) sep'!AD7+'[5]Table 2A-2 EFT (Monthly)dec'!AD7+'[5]Table 2A-2 EFT (Monthly)feb'!AD7)*-1</f>
        <v>0</v>
      </c>
      <c r="AO8" s="1741">
        <f t="shared" ref="AO8:AO71" si="30">SUM(AB8:AN8)</f>
        <v>2278</v>
      </c>
      <c r="AP8" s="560">
        <f t="shared" ref="AP8:AP71" si="31">AA8+AO8</f>
        <v>4912626.5</v>
      </c>
      <c r="AQ8" s="309">
        <f t="shared" ref="AQ8:AQ71" si="32">ROUND(AP8/2,0)</f>
        <v>2456313</v>
      </c>
      <c r="AR8" s="713">
        <f>'Table 4A Stipends'!G5</f>
        <v>0</v>
      </c>
      <c r="AS8" s="309">
        <f t="shared" si="20"/>
        <v>28584366</v>
      </c>
      <c r="AU8" s="1339">
        <f>('Table 8 2.1.12 MFP Funded'!G5*'Table 3 Levels 1&amp;2'!AP9)+'Table 2_State with Midyear Adjs'!F8</f>
        <v>28073036.066882048</v>
      </c>
      <c r="AV8" s="959">
        <f t="shared" si="21"/>
        <v>511329.9331179522</v>
      </c>
      <c r="AW8" s="280">
        <f t="shared" ref="AW8:AW42" si="33">AV8/AU8</f>
        <v>1.8214272652938013E-2</v>
      </c>
    </row>
    <row r="9" spans="1:49">
      <c r="A9" s="101">
        <v>3</v>
      </c>
      <c r="B9" s="299" t="s">
        <v>104</v>
      </c>
      <c r="C9" s="309">
        <f>'Table 3 Levels 1&amp;2'!AO10</f>
        <v>99380074.135216013</v>
      </c>
      <c r="D9" s="354">
        <f>'[2]Adjusted Amounts'!$C9</f>
        <v>-11527.619272285694</v>
      </c>
      <c r="E9" s="354">
        <f>'[2]Adjusted Amounts'!$H9</f>
        <v>-39.465096807616646</v>
      </c>
      <c r="F9" s="354">
        <f t="shared" si="22"/>
        <v>-11567.084369093311</v>
      </c>
      <c r="G9" s="309">
        <f t="shared" si="19"/>
        <v>0</v>
      </c>
      <c r="H9" s="354">
        <f t="shared" si="23"/>
        <v>-11567.084369093311</v>
      </c>
      <c r="I9" s="354">
        <f>'[1]Midyear Adjustment Summary'!C7+'[1]Oct midyear Madison Prep'!K9+'[1]Oct midyear DArbonne'!K9+'[1]Oct midyear Intl_VIBE '!K9+'[1]Oct midyear NOMMA'!K9+'[1]Oct midyear LFNO'!K9+'[1]Oct midyear Lake Charles Chtr'!K9+'[1]Oct midyear LA Virtual Admy'!K6+'[1]Oct midyear LA Connections'!K6</f>
        <v>2121270.334343439</v>
      </c>
      <c r="J9" s="354">
        <f>'[1]Midyear Adjustment Summary'!D7+'[1]Feb midyear Madison Prep'!K9+'[1]Feb midyear DArbonne'!K9+'[1]Feb midyear Intl_VIBE '!K9+'[1]Feb midyear NOMMA'!K9+'[1]Feb midyear LFNO '!K9+'[1]Feb midyear Lake Charles Ch'!K9+'[1]Feb midyear LA Virtual Admy'!K6+'[1]Feb midyear LA Connections'!K6</f>
        <v>81720.260785344304</v>
      </c>
      <c r="K9" s="354">
        <f t="shared" si="24"/>
        <v>2202990.5951287835</v>
      </c>
      <c r="L9" s="354"/>
      <c r="M9" s="354">
        <f>-'Table 5C1A-Madison Prep'!L9</f>
        <v>0</v>
      </c>
      <c r="N9" s="354">
        <f>-'Table 5C1B-DArbonne'!L9</f>
        <v>0</v>
      </c>
      <c r="O9" s="354">
        <f>-'Table 5C1C-Intl_VIBE'!L9</f>
        <v>0</v>
      </c>
      <c r="P9" s="354">
        <f>-'Table 5C1D-NOMMA'!L9</f>
        <v>0</v>
      </c>
      <c r="Q9" s="354">
        <f>-'Table 5C1E-LFNO'!L9</f>
        <v>0</v>
      </c>
      <c r="R9" s="354">
        <f>-'Table 5C1F-Lake Charles Charter'!L9</f>
        <v>0</v>
      </c>
      <c r="S9" s="314">
        <f>-'Table 5C2 - LA Virtual Admy'!M7-'Table 5C2 - LA Virtual Admy'!I7</f>
        <v>-218749.19882204779</v>
      </c>
      <c r="T9" s="314">
        <f>-'Table 5C3 - LA Connections EBR'!M7-'Table 5C3 - LA Connections EBR'!I7</f>
        <v>-122541.08969150095</v>
      </c>
      <c r="U9" s="1692">
        <f t="shared" si="25"/>
        <v>-341290.28851354873</v>
      </c>
      <c r="V9" s="560">
        <f t="shared" si="26"/>
        <v>101230207</v>
      </c>
      <c r="W9" s="560">
        <f>[3]MFP!DT10</f>
        <v>83327004</v>
      </c>
      <c r="X9" s="560">
        <f t="shared" si="27"/>
        <v>0</v>
      </c>
      <c r="Y9" s="560">
        <f>'[4]Table 4B Rewards'!G6</f>
        <v>135261.60000000003</v>
      </c>
      <c r="Z9" s="560">
        <f t="shared" si="28"/>
        <v>83462265.599999994</v>
      </c>
      <c r="AA9" s="1737">
        <f t="shared" si="29"/>
        <v>17767941.400000006</v>
      </c>
      <c r="AB9" s="1741">
        <f>('[5]Table 2A-2 EFT (Monthly)'!Z8+'[5]Table 2A-2 EFT (Monthly)Aug'!Z8+'[5]Table 2A-2 EFT (Monthly) sep'!Z8+'[5]Table 2A-2 EFT (Monthly)oct'!Z8+'[5]Table 2A-2 EFT (Monthly)oct'!Z8+'[5]Table 2A-2 EFT (Monthly)dec'!Z8+'[5]Table 2A-2 EFT (Monthly)jan'!Z8+'[5]Table 2A-2 EFT (Monthly)feb'!Z8+'[5]Table 2A-2 EFT (Monthly) mar'!Z8+'[5]Table 2A-2 EFT (Monthly)apr'!Z8)*-1</f>
        <v>25212</v>
      </c>
      <c r="AC9" s="1741">
        <f>('[5]Table 2A-2 EFT (Monthly)'!AA8+'[5]Table 2A-2 EFT (Monthly)Aug'!AA8+'[5]Table 2A-2 EFT (Monthly) sep'!AA8+'[5]Table 2A-2 EFT (Monthly)oct'!AA8+'[5]Table 2A-2 EFT (Monthly)oct'!AA8+'[5]Table 2A-2 EFT (Monthly)dec'!AA8+'[5]Table 2A-2 EFT (Monthly)jan'!AA8+'[5]Table 2A-2 EFT (Monthly)feb'!AA8+'[5]Table 2A-2 EFT (Monthly) mar'!AA8+'[5]Table 2A-2 EFT (Monthly)apr'!AA8)*-1</f>
        <v>814</v>
      </c>
      <c r="AD9" s="1741">
        <f>('[5]Table 2A-2 EFT (Monthly)'!AB8+'[5]Table 2A-2 EFT (Monthly)Aug'!AB8+'[5]Table 2A-2 EFT (Monthly) sep'!AB8+'[5]Table 2A-2 EFT (Monthly)oct'!AB8+'[5]Table 2A-2 EFT (Monthly)oct'!AB8+'[5]Table 2A-2 EFT (Monthly)dec'!AB8+'[5]Table 2A-2 EFT (Monthly)jan'!AB8+'[5]Table 2A-2 EFT (Monthly)feb'!AB8+'[5]Table 2A-2 EFT (Monthly) mar'!AB8+'[5]Table 2A-2 EFT (Monthly)apr'!AB8)*-1</f>
        <v>22952</v>
      </c>
      <c r="AE9" s="1741">
        <f>('[5]Table 2A-2 EFT (Monthly)'!AC8+'[5]Table 2A-2 EFT (Monthly)Aug'!AC8+'[5]Table 2A-2 EFT (Monthly) sep'!AC8+'[5]Table 2A-2 EFT (Monthly)oct'!AC8+'[5]Table 2A-2 EFT (Monthly)oct'!AC8+'[5]Table 2A-2 EFT (Monthly)dec'!AC8+'[5]Table 2A-2 EFT (Monthly)jan'!AC8+'[5]Table 2A-2 EFT (Monthly)feb'!AC8+'[5]Table 2A-2 EFT (Monthly) mar'!AC8+'[5]Table 2A-2 EFT (Monthly)apr'!AC8)*-1</f>
        <v>19312</v>
      </c>
      <c r="AF9" s="1741">
        <f>('[5]Table 2A-2 EFT (Monthly)'!Q8+'[5]Table 2A-2 EFT (Monthly)Aug'!Q8+'[5]Table 2A-2 EFT (Monthly) sep'!Q8+'[5]Table 2A-2 EFT (Monthly)oct'!Q8+'[5]Table 2A-2 EFT (Monthly)oct'!Q8+'[5]Table 2A-2 EFT (Monthly)dec'!Q8+'[5]Table 2A-2 EFT (Monthly)jan'!Q8+'[5]Table 2A-2 EFT (Monthly)feb'!Q8+'[5]Table 2A-2 EFT (Monthly) mar'!Q8+'[5]Table 2A-2 EFT (Monthly)apr'!Q8+'[5]Table 2A-2 EFT (Monthly)'!AT8+'[5]Table 2A-2 EFT (Monthly) mar'!AT8)*-1</f>
        <v>0</v>
      </c>
      <c r="AG9" s="1741">
        <f>('[5]Table 2A-2 EFT (Monthly)'!R8+'[5]Table 2A-2 EFT (Monthly)Aug'!R8+'[5]Table 2A-2 EFT (Monthly) sep'!R8+'[5]Table 2A-2 EFT (Monthly)oct'!R8+'[5]Table 2A-2 EFT (Monthly)oct'!R8+'[5]Table 2A-2 EFT (Monthly)dec'!R8+'[5]Table 2A-2 EFT (Monthly)jan'!R8+'[5]Table 2A-2 EFT (Monthly)feb'!R8+'[5]Table 2A-2 EFT (Monthly) mar'!R8+'[5]Table 2A-2 EFT (Monthly)apr'!R8+'[5]Table 2A-2 EFT (Monthly)'!AU8+'[5]Table 2A-2 EFT (Monthly) mar'!AU8)*-1</f>
        <v>0</v>
      </c>
      <c r="AH9" s="1741">
        <f>('[5]Table 2A-2 EFT (Monthly)'!S8+'[5]Table 2A-2 EFT (Monthly)Aug'!S8+'[5]Table 2A-2 EFT (Monthly) sep'!S8+'[5]Table 2A-2 EFT (Monthly)oct'!S8+'[5]Table 2A-2 EFT (Monthly)oct'!S8+'[5]Table 2A-2 EFT (Monthly)dec'!S8+'[5]Table 2A-2 EFT (Monthly)jan'!S8+'[5]Table 2A-2 EFT (Monthly)feb'!S8+'[5]Table 2A-2 EFT (Monthly) mar'!S8+'[5]Table 2A-2 EFT (Monthly)apr'!S8+'[5]Table 2A-2 EFT (Monthly)'!AV8+'[5]Table 2A-2 EFT (Monthly) mar'!AV8)*-1</f>
        <v>0</v>
      </c>
      <c r="AI9" s="1741">
        <f>('[5]Table 2A-2 EFT (Monthly)'!T8+'[5]Table 2A-2 EFT (Monthly)Aug'!T8+'[5]Table 2A-2 EFT (Monthly) sep'!T8+'[5]Table 2A-2 EFT (Monthly)oct'!T8+'[5]Table 2A-2 EFT (Monthly)oct'!T8+'[5]Table 2A-2 EFT (Monthly)dec'!T8+'[5]Table 2A-2 EFT (Monthly)jan'!T8+'[5]Table 2A-2 EFT (Monthly)feb'!T8+'[5]Table 2A-2 EFT (Monthly) mar'!T8+'[5]Table 2A-2 EFT (Monthly)apr'!T8+'[5]Table 2A-2 EFT (Monthly)'!AW8+'[5]Table 2A-2 EFT (Monthly) mar'!AW8)*-1</f>
        <v>0</v>
      </c>
      <c r="AJ9" s="1741">
        <f>('[5]Table 2A-2 EFT (Monthly)'!U8+'[5]Table 2A-2 EFT (Monthly)Aug'!U8+'[5]Table 2A-2 EFT (Monthly) sep'!U8+'[5]Table 2A-2 EFT (Monthly)oct'!U8+'[5]Table 2A-2 EFT (Monthly)oct'!U8+'[5]Table 2A-2 EFT (Monthly)dec'!U8+'[5]Table 2A-2 EFT (Monthly)jan'!U8+'[5]Table 2A-2 EFT (Monthly)feb'!U8+'[5]Table 2A-2 EFT (Monthly) mar'!U8+'[5]Table 2A-2 EFT (Monthly)apr'!U8+'[5]Table 2A-2 EFT (Monthly)'!AX8+'[5]Table 2A-2 EFT (Monthly) mar'!AX8)*-1</f>
        <v>0</v>
      </c>
      <c r="AK9" s="1741">
        <f>('[5]Table 2A-2 EFT (Monthly)'!V8+'[5]Table 2A-2 EFT (Monthly)Aug'!V8+'[5]Table 2A-2 EFT (Monthly) sep'!V8+'[5]Table 2A-2 EFT (Monthly)oct'!V8+'[5]Table 2A-2 EFT (Monthly)oct'!V8+'[5]Table 2A-2 EFT (Monthly)dec'!V8+'[5]Table 2A-2 EFT (Monthly)jan'!V8+'[5]Table 2A-2 EFT (Monthly)feb'!V8+'[5]Table 2A-2 EFT (Monthly) mar'!V8+'[5]Table 2A-2 EFT (Monthly)apr'!V8+'[5]Table 2A-2 EFT (Monthly)'!AY8+'[5]Table 2A-2 EFT (Monthly) mar'!AY8)*-1</f>
        <v>0</v>
      </c>
      <c r="AL9" s="1741">
        <f>('[5]Table 2A-2 EFT (Monthly)'!W8+'[5]Table 2A-2 EFT (Monthly)Aug'!W8+'[5]Table 2A-2 EFT (Monthly) sep'!W8+'[5]Table 2A-2 EFT (Monthly)oct'!W8+'[5]Table 2A-2 EFT (Monthly)oct'!W8+'[5]Table 2A-2 EFT (Monthly)dec'!W8+'[5]Table 2A-2 EFT (Monthly)jan'!W8+'[5]Table 2A-2 EFT (Monthly)feb'!W8+'[5]Table 2A-2 EFT (Monthly) mar'!W8+'[5]Table 2A-2 EFT (Monthly)apr'!W8+'[5]Table 2A-2 EFT (Monthly)'!AZ8+'[5]Table 2A-2 EFT (Monthly) mar'!AZ8)*-1</f>
        <v>1244.2075</v>
      </c>
      <c r="AM9" s="1741">
        <f>('[5]Table 2A-2 EFT (Monthly)'!X8+'[5]Table 2A-2 EFT (Monthly)Aug'!X8+'[5]Table 2A-2 EFT (Monthly) sep'!X8+'[5]Table 2A-2 EFT (Monthly)oct'!X8+'[5]Table 2A-2 EFT (Monthly)oct'!X8+'[5]Table 2A-2 EFT (Monthly)dec'!X8+'[5]Table 2A-2 EFT (Monthly)jan'!X8+'[5]Table 2A-2 EFT (Monthly)feb'!X8+'[5]Table 2A-2 EFT (Monthly) mar'!X8+'[5]Table 2A-2 EFT (Monthly)apr'!X8+'[5]Table 2A-2 EFT (Monthly)'!BA8+'[5]Table 2A-2 EFT (Monthly) mar'!BA8)*-1</f>
        <v>0</v>
      </c>
      <c r="AN9" s="1741">
        <f>('[5]Table 2A-2 EFT (Monthly) sep'!AD8+'[5]Table 2A-2 EFT (Monthly)dec'!AD8+'[5]Table 2A-2 EFT (Monthly)feb'!AD8)*-1</f>
        <v>107860.69791177218</v>
      </c>
      <c r="AO9" s="1741">
        <f t="shared" si="30"/>
        <v>177394.9054117722</v>
      </c>
      <c r="AP9" s="560">
        <f t="shared" si="31"/>
        <v>17945336.305411778</v>
      </c>
      <c r="AQ9" s="309">
        <f t="shared" si="32"/>
        <v>8972668</v>
      </c>
      <c r="AR9" s="713">
        <f>'Table 4A Stipends'!G6</f>
        <v>0</v>
      </c>
      <c r="AS9" s="309">
        <f t="shared" si="20"/>
        <v>101230207</v>
      </c>
      <c r="AU9" s="1339">
        <f>('Table 8 2.1.12 MFP Funded'!G6*'Table 3 Levels 1&amp;2'!AP10)+'Table 2_State with Midyear Adjs'!F9</f>
        <v>99151250.467056513</v>
      </c>
      <c r="AV9" s="959">
        <f t="shared" si="21"/>
        <v>2078956.5329434872</v>
      </c>
      <c r="AW9" s="280">
        <f t="shared" si="33"/>
        <v>2.0967527117918001E-2</v>
      </c>
    </row>
    <row r="10" spans="1:49">
      <c r="A10" s="101">
        <v>4</v>
      </c>
      <c r="B10" s="299" t="s">
        <v>105</v>
      </c>
      <c r="C10" s="309">
        <f>'Table 3 Levels 1&amp;2'!AO11</f>
        <v>23793571.656700797</v>
      </c>
      <c r="D10" s="354">
        <f>'[2]Adjusted Amounts'!$C10</f>
        <v>3290.823011920671</v>
      </c>
      <c r="E10" s="354">
        <f>'[2]Adjusted Amounts'!$H10</f>
        <v>-16180.804766086188</v>
      </c>
      <c r="F10" s="354">
        <f t="shared" si="22"/>
        <v>-12889.981754165517</v>
      </c>
      <c r="G10" s="309">
        <f t="shared" si="19"/>
        <v>0</v>
      </c>
      <c r="H10" s="354">
        <f t="shared" si="23"/>
        <v>-12889.981754165517</v>
      </c>
      <c r="I10" s="354">
        <f>'[1]Midyear Adjustment Summary'!C8+'[1]Oct midyear Madison Prep'!K10+'[1]Oct midyear DArbonne'!K10+'[1]Oct midyear Intl_VIBE '!K10+'[1]Oct midyear NOMMA'!K10+'[1]Oct midyear LFNO'!K10+'[1]Oct midyear Lake Charles Chtr'!K10+'[1]Oct midyear LA Virtual Admy'!K7+'[1]Oct midyear LA Connections'!K7</f>
        <v>-263193.668567819</v>
      </c>
      <c r="J10" s="354">
        <f>'[1]Midyear Adjustment Summary'!D8+'[1]Feb midyear Madison Prep'!K10+'[1]Feb midyear DArbonne'!K10+'[1]Feb midyear Intl_VIBE '!K10+'[1]Feb midyear NOMMA'!K10+'[1]Feb midyear LFNO '!K10+'[1]Feb midyear Lake Charles Ch'!K10+'[1]Feb midyear LA Virtual Admy'!K7+'[1]Feb midyear LA Connections'!K7</f>
        <v>65631.838870709296</v>
      </c>
      <c r="K10" s="354">
        <f t="shared" si="24"/>
        <v>-197561.8296971097</v>
      </c>
      <c r="L10" s="354"/>
      <c r="M10" s="354">
        <f>-'Table 5C1A-Madison Prep'!L10</f>
        <v>0</v>
      </c>
      <c r="N10" s="354">
        <f>-'Table 5C1B-DArbonne'!L10</f>
        <v>0</v>
      </c>
      <c r="O10" s="354">
        <f>-'Table 5C1C-Intl_VIBE'!L10</f>
        <v>0</v>
      </c>
      <c r="P10" s="354">
        <f>-'Table 5C1D-NOMMA'!L10</f>
        <v>0</v>
      </c>
      <c r="Q10" s="354">
        <f>-'Table 5C1E-LFNO'!L10</f>
        <v>0</v>
      </c>
      <c r="R10" s="354">
        <f>-'Table 5C1F-Lake Charles Charter'!L10</f>
        <v>0</v>
      </c>
      <c r="S10" s="314">
        <f>-'Table 5C2 - LA Virtual Admy'!M8-'Table 5C2 - LA Virtual Admy'!I8</f>
        <v>-19813.664549454603</v>
      </c>
      <c r="T10" s="314">
        <f>-'Table 5C3 - LA Connections EBR'!M8-'Table 5C3 - LA Connections EBR'!I8</f>
        <v>-42018.000896345584</v>
      </c>
      <c r="U10" s="1692">
        <f t="shared" si="25"/>
        <v>-61831.665445800187</v>
      </c>
      <c r="V10" s="560">
        <f t="shared" si="26"/>
        <v>23521288</v>
      </c>
      <c r="W10" s="560">
        <f>[3]MFP!DT11</f>
        <v>19615022</v>
      </c>
      <c r="X10" s="560">
        <f t="shared" si="27"/>
        <v>18000</v>
      </c>
      <c r="Y10" s="560">
        <f>'[4]Table 4B Rewards'!G7</f>
        <v>33815.4</v>
      </c>
      <c r="Z10" s="560">
        <f t="shared" si="28"/>
        <v>19666837.399999999</v>
      </c>
      <c r="AA10" s="1737">
        <f t="shared" si="29"/>
        <v>3854450.6000000015</v>
      </c>
      <c r="AB10" s="1741">
        <f>('[5]Table 2A-2 EFT (Monthly)'!Z9+'[5]Table 2A-2 EFT (Monthly)Aug'!Z9+'[5]Table 2A-2 EFT (Monthly) sep'!Z9+'[5]Table 2A-2 EFT (Monthly)oct'!Z9+'[5]Table 2A-2 EFT (Monthly)oct'!Z9+'[5]Table 2A-2 EFT (Monthly)dec'!Z9+'[5]Table 2A-2 EFT (Monthly)jan'!Z9+'[5]Table 2A-2 EFT (Monthly)feb'!Z9+'[5]Table 2A-2 EFT (Monthly) mar'!Z9+'[5]Table 2A-2 EFT (Monthly)apr'!Z9)*-1</f>
        <v>0</v>
      </c>
      <c r="AC10" s="1741">
        <f>('[5]Table 2A-2 EFT (Monthly)'!AA9+'[5]Table 2A-2 EFT (Monthly)Aug'!AA9+'[5]Table 2A-2 EFT (Monthly) sep'!AA9+'[5]Table 2A-2 EFT (Monthly)oct'!AA9+'[5]Table 2A-2 EFT (Monthly)oct'!AA9+'[5]Table 2A-2 EFT (Monthly)dec'!AA9+'[5]Table 2A-2 EFT (Monthly)jan'!AA9+'[5]Table 2A-2 EFT (Monthly)feb'!AA9+'[5]Table 2A-2 EFT (Monthly) mar'!AA9+'[5]Table 2A-2 EFT (Monthly)apr'!AA9)*-1</f>
        <v>0</v>
      </c>
      <c r="AD10" s="1741">
        <f>('[5]Table 2A-2 EFT (Monthly)'!AB9+'[5]Table 2A-2 EFT (Monthly)Aug'!AB9+'[5]Table 2A-2 EFT (Monthly) sep'!AB9+'[5]Table 2A-2 EFT (Monthly)oct'!AB9+'[5]Table 2A-2 EFT (Monthly)oct'!AB9+'[5]Table 2A-2 EFT (Monthly)dec'!AB9+'[5]Table 2A-2 EFT (Monthly)jan'!AB9+'[5]Table 2A-2 EFT (Monthly)feb'!AB9+'[5]Table 2A-2 EFT (Monthly) mar'!AB9+'[5]Table 2A-2 EFT (Monthly)apr'!AB9)*-1</f>
        <v>2610</v>
      </c>
      <c r="AE10" s="1741">
        <f>('[5]Table 2A-2 EFT (Monthly)'!AC9+'[5]Table 2A-2 EFT (Monthly)Aug'!AC9+'[5]Table 2A-2 EFT (Monthly) sep'!AC9+'[5]Table 2A-2 EFT (Monthly)oct'!AC9+'[5]Table 2A-2 EFT (Monthly)oct'!AC9+'[5]Table 2A-2 EFT (Monthly)dec'!AC9+'[5]Table 2A-2 EFT (Monthly)jan'!AC9+'[5]Table 2A-2 EFT (Monthly)feb'!AC9+'[5]Table 2A-2 EFT (Monthly) mar'!AC9+'[5]Table 2A-2 EFT (Monthly)apr'!AC9)*-1</f>
        <v>3132</v>
      </c>
      <c r="AF10" s="1741">
        <f>('[5]Table 2A-2 EFT (Monthly)'!Q9+'[5]Table 2A-2 EFT (Monthly)Aug'!Q9+'[5]Table 2A-2 EFT (Monthly) sep'!Q9+'[5]Table 2A-2 EFT (Monthly)oct'!Q9+'[5]Table 2A-2 EFT (Monthly)oct'!Q9+'[5]Table 2A-2 EFT (Monthly)dec'!Q9+'[5]Table 2A-2 EFT (Monthly)jan'!Q9+'[5]Table 2A-2 EFT (Monthly)feb'!Q9+'[5]Table 2A-2 EFT (Monthly) mar'!Q9+'[5]Table 2A-2 EFT (Monthly)apr'!Q9+'[5]Table 2A-2 EFT (Monthly)'!AT9+'[5]Table 2A-2 EFT (Monthly) mar'!AT9)*-1</f>
        <v>0</v>
      </c>
      <c r="AG10" s="1741">
        <f>('[5]Table 2A-2 EFT (Monthly)'!R9+'[5]Table 2A-2 EFT (Monthly)Aug'!R9+'[5]Table 2A-2 EFT (Monthly) sep'!R9+'[5]Table 2A-2 EFT (Monthly)oct'!R9+'[5]Table 2A-2 EFT (Monthly)oct'!R9+'[5]Table 2A-2 EFT (Monthly)dec'!R9+'[5]Table 2A-2 EFT (Monthly)jan'!R9+'[5]Table 2A-2 EFT (Monthly)feb'!R9+'[5]Table 2A-2 EFT (Monthly) mar'!R9+'[5]Table 2A-2 EFT (Monthly)apr'!R9+'[5]Table 2A-2 EFT (Monthly)'!AU9+'[5]Table 2A-2 EFT (Monthly) mar'!AU9)*-1</f>
        <v>0</v>
      </c>
      <c r="AH10" s="1741">
        <f>('[5]Table 2A-2 EFT (Monthly)'!S9+'[5]Table 2A-2 EFT (Monthly)Aug'!S9+'[5]Table 2A-2 EFT (Monthly) sep'!S9+'[5]Table 2A-2 EFT (Monthly)oct'!S9+'[5]Table 2A-2 EFT (Monthly)oct'!S9+'[5]Table 2A-2 EFT (Monthly)dec'!S9+'[5]Table 2A-2 EFT (Monthly)jan'!S9+'[5]Table 2A-2 EFT (Monthly)feb'!S9+'[5]Table 2A-2 EFT (Monthly) mar'!S9+'[5]Table 2A-2 EFT (Monthly)apr'!S9+'[5]Table 2A-2 EFT (Monthly)'!AV9+'[5]Table 2A-2 EFT (Monthly) mar'!AV9)*-1</f>
        <v>0</v>
      </c>
      <c r="AI10" s="1741">
        <f>('[5]Table 2A-2 EFT (Monthly)'!T9+'[5]Table 2A-2 EFT (Monthly)Aug'!T9+'[5]Table 2A-2 EFT (Monthly) sep'!T9+'[5]Table 2A-2 EFT (Monthly)oct'!T9+'[5]Table 2A-2 EFT (Monthly)oct'!T9+'[5]Table 2A-2 EFT (Monthly)dec'!T9+'[5]Table 2A-2 EFT (Monthly)jan'!T9+'[5]Table 2A-2 EFT (Monthly)feb'!T9+'[5]Table 2A-2 EFT (Monthly) mar'!T9+'[5]Table 2A-2 EFT (Monthly)apr'!T9+'[5]Table 2A-2 EFT (Monthly)'!AW9+'[5]Table 2A-2 EFT (Monthly) mar'!AW9)*-1</f>
        <v>0</v>
      </c>
      <c r="AJ10" s="1741">
        <f>('[5]Table 2A-2 EFT (Monthly)'!U9+'[5]Table 2A-2 EFT (Monthly)Aug'!U9+'[5]Table 2A-2 EFT (Monthly) sep'!U9+'[5]Table 2A-2 EFT (Monthly)oct'!U9+'[5]Table 2A-2 EFT (Monthly)oct'!U9+'[5]Table 2A-2 EFT (Monthly)dec'!U9+'[5]Table 2A-2 EFT (Monthly)jan'!U9+'[5]Table 2A-2 EFT (Monthly)feb'!U9+'[5]Table 2A-2 EFT (Monthly) mar'!U9+'[5]Table 2A-2 EFT (Monthly)apr'!U9+'[5]Table 2A-2 EFT (Monthly)'!AX9+'[5]Table 2A-2 EFT (Monthly) mar'!AX9)*-1</f>
        <v>0</v>
      </c>
      <c r="AK10" s="1741">
        <f>('[5]Table 2A-2 EFT (Monthly)'!V9+'[5]Table 2A-2 EFT (Monthly)Aug'!V9+'[5]Table 2A-2 EFT (Monthly) sep'!V9+'[5]Table 2A-2 EFT (Monthly)oct'!V9+'[5]Table 2A-2 EFT (Monthly)oct'!V9+'[5]Table 2A-2 EFT (Monthly)dec'!V9+'[5]Table 2A-2 EFT (Monthly)jan'!V9+'[5]Table 2A-2 EFT (Monthly)feb'!V9+'[5]Table 2A-2 EFT (Monthly) mar'!V9+'[5]Table 2A-2 EFT (Monthly)apr'!V9+'[5]Table 2A-2 EFT (Monthly)'!AY9+'[5]Table 2A-2 EFT (Monthly) mar'!AY9)*-1</f>
        <v>0</v>
      </c>
      <c r="AL10" s="1741">
        <f>('[5]Table 2A-2 EFT (Monthly)'!W9+'[5]Table 2A-2 EFT (Monthly)Aug'!W9+'[5]Table 2A-2 EFT (Monthly) sep'!W9+'[5]Table 2A-2 EFT (Monthly)oct'!W9+'[5]Table 2A-2 EFT (Monthly)oct'!W9+'[5]Table 2A-2 EFT (Monthly)dec'!W9+'[5]Table 2A-2 EFT (Monthly)jan'!W9+'[5]Table 2A-2 EFT (Monthly)feb'!W9+'[5]Table 2A-2 EFT (Monthly) mar'!W9+'[5]Table 2A-2 EFT (Monthly)apr'!W9+'[5]Table 2A-2 EFT (Monthly)'!AZ9+'[5]Table 2A-2 EFT (Monthly) mar'!AZ9)*-1</f>
        <v>7621.53125</v>
      </c>
      <c r="AM10" s="1741">
        <f>('[5]Table 2A-2 EFT (Monthly)'!X9+'[5]Table 2A-2 EFT (Monthly)Aug'!X9+'[5]Table 2A-2 EFT (Monthly) sep'!X9+'[5]Table 2A-2 EFT (Monthly)oct'!X9+'[5]Table 2A-2 EFT (Monthly)oct'!X9+'[5]Table 2A-2 EFT (Monthly)dec'!X9+'[5]Table 2A-2 EFT (Monthly)jan'!X9+'[5]Table 2A-2 EFT (Monthly)feb'!X9+'[5]Table 2A-2 EFT (Monthly) mar'!X9+'[5]Table 2A-2 EFT (Monthly)apr'!X9+'[5]Table 2A-2 EFT (Monthly)'!BA9+'[5]Table 2A-2 EFT (Monthly) mar'!BA9)*-1</f>
        <v>0</v>
      </c>
      <c r="AN10" s="1741">
        <f>('[5]Table 2A-2 EFT (Monthly) sep'!AD9+'[5]Table 2A-2 EFT (Monthly)dec'!AD9+'[5]Table 2A-2 EFT (Monthly)feb'!AD9)*-1</f>
        <v>16522.370825480815</v>
      </c>
      <c r="AO10" s="1741">
        <f t="shared" si="30"/>
        <v>29885.902075480815</v>
      </c>
      <c r="AP10" s="560">
        <f t="shared" si="31"/>
        <v>3884336.5020754822</v>
      </c>
      <c r="AQ10" s="309">
        <f t="shared" si="32"/>
        <v>1942168</v>
      </c>
      <c r="AR10" s="713">
        <f>'Table 4A Stipends'!G7</f>
        <v>18000</v>
      </c>
      <c r="AS10" s="309">
        <f t="shared" si="20"/>
        <v>23539288</v>
      </c>
      <c r="AU10" s="1339">
        <f>('Table 8 2.1.12 MFP Funded'!G7*'Table 3 Levels 1&amp;2'!AP11)+'Table 2_State with Midyear Adjs'!F10</f>
        <v>23727377.677955985</v>
      </c>
      <c r="AV10" s="959">
        <f t="shared" si="21"/>
        <v>-206089.67795598507</v>
      </c>
      <c r="AW10" s="280">
        <f t="shared" si="33"/>
        <v>-8.6857334490635062E-3</v>
      </c>
    </row>
    <row r="11" spans="1:49">
      <c r="A11" s="102">
        <v>5</v>
      </c>
      <c r="B11" s="300" t="s">
        <v>106</v>
      </c>
      <c r="C11" s="318">
        <f>'Table 3 Levels 1&amp;2'!AO12</f>
        <v>31287583.343399998</v>
      </c>
      <c r="D11" s="355">
        <f>'[2]Adjusted Amounts'!$C11</f>
        <v>29915.438619274166</v>
      </c>
      <c r="E11" s="355">
        <f>'[2]Adjusted Amounts'!$H11</f>
        <v>-9208.2805652001553</v>
      </c>
      <c r="F11" s="355">
        <f t="shared" si="22"/>
        <v>20707.158054074011</v>
      </c>
      <c r="G11" s="318">
        <f t="shared" si="19"/>
        <v>20707.158054074011</v>
      </c>
      <c r="H11" s="355">
        <f t="shared" si="23"/>
        <v>0</v>
      </c>
      <c r="I11" s="355">
        <f>'[1]Midyear Adjustment Summary'!C9+'[1]Oct midyear Madison Prep'!K11+'[1]Oct midyear DArbonne'!K11+'[1]Oct midyear Intl_VIBE '!K11+'[1]Oct midyear NOMMA'!K11+'[1]Oct midyear LFNO'!K11+'[1]Oct midyear Lake Charles Chtr'!K11+'[1]Oct midyear LA Virtual Admy'!K8+'[1]Oct midyear LA Connections'!K8</f>
        <v>342343.22871226119</v>
      </c>
      <c r="J11" s="355">
        <f>'[1]Midyear Adjustment Summary'!D9+'[1]Feb midyear Madison Prep'!K11+'[1]Feb midyear DArbonne'!K11+'[1]Feb midyear Intl_VIBE '!K11+'[1]Feb midyear NOMMA'!K11+'[1]Feb midyear LFNO '!K11+'[1]Feb midyear Lake Charles Ch'!K11+'[1]Feb midyear LA Virtual Admy'!K8+'[1]Feb midyear LA Connections'!K8</f>
        <v>-175790.53093399445</v>
      </c>
      <c r="K11" s="355">
        <f t="shared" si="24"/>
        <v>166552.69777826674</v>
      </c>
      <c r="L11" s="355"/>
      <c r="M11" s="355">
        <f>-'Table 5C1A-Madison Prep'!L11</f>
        <v>0</v>
      </c>
      <c r="N11" s="355">
        <f>-'Table 5C1B-DArbonne'!L11</f>
        <v>0</v>
      </c>
      <c r="O11" s="355">
        <f>-'Table 5C1C-Intl_VIBE'!L11</f>
        <v>0</v>
      </c>
      <c r="P11" s="355">
        <f>-'Table 5C1D-NOMMA'!L11</f>
        <v>0</v>
      </c>
      <c r="Q11" s="355">
        <f>-'Table 5C1E-LFNO'!L11</f>
        <v>0</v>
      </c>
      <c r="R11" s="355">
        <f>-'Table 5C1F-Lake Charles Charter'!L11</f>
        <v>0</v>
      </c>
      <c r="S11" s="321">
        <f>-'Table 5C2 - LA Virtual Admy'!M9-'Table 5C2 - LA Virtual Admy'!I9</f>
        <v>-116367.92924794373</v>
      </c>
      <c r="T11" s="321">
        <f>-'Table 5C3 - LA Connections EBR'!M9-'Table 5C3 - LA Connections EBR'!I9</f>
        <v>-94872.977308961461</v>
      </c>
      <c r="U11" s="321">
        <f t="shared" si="25"/>
        <v>-211240.90655690519</v>
      </c>
      <c r="V11" s="561">
        <f t="shared" si="26"/>
        <v>31263602</v>
      </c>
      <c r="W11" s="561">
        <f>[3]MFP!DT12</f>
        <v>25674209</v>
      </c>
      <c r="X11" s="561">
        <f t="shared" si="27"/>
        <v>0</v>
      </c>
      <c r="Y11" s="561">
        <f>'[4]Table 4B Rewards'!G8</f>
        <v>0</v>
      </c>
      <c r="Z11" s="561">
        <f t="shared" si="28"/>
        <v>25674209</v>
      </c>
      <c r="AA11" s="561">
        <f t="shared" si="29"/>
        <v>5589393</v>
      </c>
      <c r="AB11" s="1742">
        <f>('[5]Table 2A-2 EFT (Monthly)'!Z10+'[5]Table 2A-2 EFT (Monthly)Aug'!Z10+'[5]Table 2A-2 EFT (Monthly) sep'!Z10+'[5]Table 2A-2 EFT (Monthly)oct'!Z10+'[5]Table 2A-2 EFT (Monthly)oct'!Z10+'[5]Table 2A-2 EFT (Monthly)dec'!Z10+'[5]Table 2A-2 EFT (Monthly)jan'!Z10+'[5]Table 2A-2 EFT (Monthly)feb'!Z10+'[5]Table 2A-2 EFT (Monthly) mar'!Z10+'[5]Table 2A-2 EFT (Monthly)apr'!Z10)*-1</f>
        <v>602</v>
      </c>
      <c r="AC11" s="1742">
        <f>('[5]Table 2A-2 EFT (Monthly)'!AA10+'[5]Table 2A-2 EFT (Monthly)Aug'!AA10+'[5]Table 2A-2 EFT (Monthly) sep'!AA10+'[5]Table 2A-2 EFT (Monthly)oct'!AA10+'[5]Table 2A-2 EFT (Monthly)oct'!AA10+'[5]Table 2A-2 EFT (Monthly)dec'!AA10+'[5]Table 2A-2 EFT (Monthly)jan'!AA10+'[5]Table 2A-2 EFT (Monthly)feb'!AA10+'[5]Table 2A-2 EFT (Monthly) mar'!AA10+'[5]Table 2A-2 EFT (Monthly)apr'!AA10)*-1</f>
        <v>0</v>
      </c>
      <c r="AD11" s="1742">
        <f>('[5]Table 2A-2 EFT (Monthly)'!AB10+'[5]Table 2A-2 EFT (Monthly)Aug'!AB10+'[5]Table 2A-2 EFT (Monthly) sep'!AB10+'[5]Table 2A-2 EFT (Monthly)oct'!AB10+'[5]Table 2A-2 EFT (Monthly)oct'!AB10+'[5]Table 2A-2 EFT (Monthly)dec'!AB10+'[5]Table 2A-2 EFT (Monthly)jan'!AB10+'[5]Table 2A-2 EFT (Monthly)feb'!AB10+'[5]Table 2A-2 EFT (Monthly) mar'!AB10+'[5]Table 2A-2 EFT (Monthly)apr'!AB10)*-1</f>
        <v>3356</v>
      </c>
      <c r="AE11" s="1742">
        <f>('[5]Table 2A-2 EFT (Monthly)'!AC10+'[5]Table 2A-2 EFT (Monthly)Aug'!AC10+'[5]Table 2A-2 EFT (Monthly) sep'!AC10+'[5]Table 2A-2 EFT (Monthly)oct'!AC10+'[5]Table 2A-2 EFT (Monthly)oct'!AC10+'[5]Table 2A-2 EFT (Monthly)dec'!AC10+'[5]Table 2A-2 EFT (Monthly)jan'!AC10+'[5]Table 2A-2 EFT (Monthly)feb'!AC10+'[5]Table 2A-2 EFT (Monthly) mar'!AC10+'[5]Table 2A-2 EFT (Monthly)apr'!AC10)*-1</f>
        <v>4836</v>
      </c>
      <c r="AF11" s="1742">
        <f>('[5]Table 2A-2 EFT (Monthly)'!Q10+'[5]Table 2A-2 EFT (Monthly)Aug'!Q10+'[5]Table 2A-2 EFT (Monthly) sep'!Q10+'[5]Table 2A-2 EFT (Monthly)oct'!Q10+'[5]Table 2A-2 EFT (Monthly)oct'!Q10+'[5]Table 2A-2 EFT (Monthly)dec'!Q10+'[5]Table 2A-2 EFT (Monthly)jan'!Q10+'[5]Table 2A-2 EFT (Monthly)feb'!Q10+'[5]Table 2A-2 EFT (Monthly) mar'!Q10+'[5]Table 2A-2 EFT (Monthly)apr'!Q10+'[5]Table 2A-2 EFT (Monthly)'!AT10+'[5]Table 2A-2 EFT (Monthly) mar'!AT10)*-1</f>
        <v>0</v>
      </c>
      <c r="AG11" s="1742">
        <f>('[5]Table 2A-2 EFT (Monthly)'!R10+'[5]Table 2A-2 EFT (Monthly)Aug'!R10+'[5]Table 2A-2 EFT (Monthly) sep'!R10+'[5]Table 2A-2 EFT (Monthly)oct'!R10+'[5]Table 2A-2 EFT (Monthly)oct'!R10+'[5]Table 2A-2 EFT (Monthly)dec'!R10+'[5]Table 2A-2 EFT (Monthly)jan'!R10+'[5]Table 2A-2 EFT (Monthly)feb'!R10+'[5]Table 2A-2 EFT (Monthly) mar'!R10+'[5]Table 2A-2 EFT (Monthly)apr'!R10+'[5]Table 2A-2 EFT (Monthly)'!AU10+'[5]Table 2A-2 EFT (Monthly) mar'!AU10)*-1</f>
        <v>0</v>
      </c>
      <c r="AH11" s="1742">
        <f>('[5]Table 2A-2 EFT (Monthly)'!S10+'[5]Table 2A-2 EFT (Monthly)Aug'!S10+'[5]Table 2A-2 EFT (Monthly) sep'!S10+'[5]Table 2A-2 EFT (Monthly)oct'!S10+'[5]Table 2A-2 EFT (Monthly)oct'!S10+'[5]Table 2A-2 EFT (Monthly)dec'!S10+'[5]Table 2A-2 EFT (Monthly)jan'!S10+'[5]Table 2A-2 EFT (Monthly)feb'!S10+'[5]Table 2A-2 EFT (Monthly) mar'!S10+'[5]Table 2A-2 EFT (Monthly)apr'!S10+'[5]Table 2A-2 EFT (Monthly)'!AV10+'[5]Table 2A-2 EFT (Monthly) mar'!AV10)*-1</f>
        <v>0</v>
      </c>
      <c r="AI11" s="1742">
        <f>('[5]Table 2A-2 EFT (Monthly)'!T10+'[5]Table 2A-2 EFT (Monthly)Aug'!T10+'[5]Table 2A-2 EFT (Monthly) sep'!T10+'[5]Table 2A-2 EFT (Monthly)oct'!T10+'[5]Table 2A-2 EFT (Monthly)oct'!T10+'[5]Table 2A-2 EFT (Monthly)dec'!T10+'[5]Table 2A-2 EFT (Monthly)jan'!T10+'[5]Table 2A-2 EFT (Monthly)feb'!T10+'[5]Table 2A-2 EFT (Monthly) mar'!T10+'[5]Table 2A-2 EFT (Monthly)apr'!T10+'[5]Table 2A-2 EFT (Monthly)'!AW10+'[5]Table 2A-2 EFT (Monthly) mar'!AW10)*-1</f>
        <v>722277.16</v>
      </c>
      <c r="AJ11" s="1742">
        <f>('[5]Table 2A-2 EFT (Monthly)'!U10+'[5]Table 2A-2 EFT (Monthly)Aug'!U10+'[5]Table 2A-2 EFT (Monthly) sep'!U10+'[5]Table 2A-2 EFT (Monthly)oct'!U10+'[5]Table 2A-2 EFT (Monthly)oct'!U10+'[5]Table 2A-2 EFT (Monthly)dec'!U10+'[5]Table 2A-2 EFT (Monthly)jan'!U10+'[5]Table 2A-2 EFT (Monthly)feb'!U10+'[5]Table 2A-2 EFT (Monthly) mar'!U10+'[5]Table 2A-2 EFT (Monthly)apr'!U10+'[5]Table 2A-2 EFT (Monthly)'!AX10+'[5]Table 2A-2 EFT (Monthly) mar'!AX10)*-1</f>
        <v>0</v>
      </c>
      <c r="AK11" s="1742">
        <f>('[5]Table 2A-2 EFT (Monthly)'!V10+'[5]Table 2A-2 EFT (Monthly)Aug'!V10+'[5]Table 2A-2 EFT (Monthly) sep'!V10+'[5]Table 2A-2 EFT (Monthly)oct'!V10+'[5]Table 2A-2 EFT (Monthly)oct'!V10+'[5]Table 2A-2 EFT (Monthly)dec'!V10+'[5]Table 2A-2 EFT (Monthly)jan'!V10+'[5]Table 2A-2 EFT (Monthly)feb'!V10+'[5]Table 2A-2 EFT (Monthly) mar'!V10+'[5]Table 2A-2 EFT (Monthly)apr'!V10+'[5]Table 2A-2 EFT (Monthly)'!AY10+'[5]Table 2A-2 EFT (Monthly) mar'!AY10)*-1</f>
        <v>0</v>
      </c>
      <c r="AL11" s="1742">
        <f>('[5]Table 2A-2 EFT (Monthly)'!W10+'[5]Table 2A-2 EFT (Monthly)Aug'!W10+'[5]Table 2A-2 EFT (Monthly) sep'!W10+'[5]Table 2A-2 EFT (Monthly)oct'!W10+'[5]Table 2A-2 EFT (Monthly)oct'!W10+'[5]Table 2A-2 EFT (Monthly)dec'!W10+'[5]Table 2A-2 EFT (Monthly)jan'!W10+'[5]Table 2A-2 EFT (Monthly)feb'!W10+'[5]Table 2A-2 EFT (Monthly) mar'!W10+'[5]Table 2A-2 EFT (Monthly)apr'!W10+'[5]Table 2A-2 EFT (Monthly)'!AZ10+'[5]Table 2A-2 EFT (Monthly) mar'!AZ10)*-1</f>
        <v>0</v>
      </c>
      <c r="AM11" s="1742">
        <f>('[5]Table 2A-2 EFT (Monthly)'!X10+'[5]Table 2A-2 EFT (Monthly)Aug'!X10+'[5]Table 2A-2 EFT (Monthly) sep'!X10+'[5]Table 2A-2 EFT (Monthly)oct'!X10+'[5]Table 2A-2 EFT (Monthly)oct'!X10+'[5]Table 2A-2 EFT (Monthly)dec'!X10+'[5]Table 2A-2 EFT (Monthly)jan'!X10+'[5]Table 2A-2 EFT (Monthly)feb'!X10+'[5]Table 2A-2 EFT (Monthly) mar'!X10+'[5]Table 2A-2 EFT (Monthly)apr'!X10+'[5]Table 2A-2 EFT (Monthly)'!BA10+'[5]Table 2A-2 EFT (Monthly) mar'!BA10)*-1</f>
        <v>0</v>
      </c>
      <c r="AN11" s="1742">
        <f>('[5]Table 2A-2 EFT (Monthly) sep'!AD10+'[5]Table 2A-2 EFT (Monthly)dec'!AD10+'[5]Table 2A-2 EFT (Monthly)feb'!AD10)*-1</f>
        <v>0</v>
      </c>
      <c r="AO11" s="1742">
        <f t="shared" si="30"/>
        <v>731071.16</v>
      </c>
      <c r="AP11" s="561">
        <f t="shared" si="31"/>
        <v>6320464.1600000001</v>
      </c>
      <c r="AQ11" s="318">
        <f t="shared" si="32"/>
        <v>3160232</v>
      </c>
      <c r="AR11" s="714">
        <f>'Table 4A Stipends'!G8</f>
        <v>0</v>
      </c>
      <c r="AS11" s="318">
        <f t="shared" si="20"/>
        <v>31263602</v>
      </c>
      <c r="AU11" s="1339">
        <f>('Table 8 2.1.12 MFP Funded'!G8*'Table 3 Levels 1&amp;2'!AP12)+'Table 2_State with Midyear Adjs'!F11</f>
        <v>31161579.013042852</v>
      </c>
      <c r="AV11" s="959">
        <f t="shared" si="21"/>
        <v>102022.98695714772</v>
      </c>
      <c r="AW11" s="280">
        <f t="shared" si="33"/>
        <v>3.2739992705262282E-3</v>
      </c>
    </row>
    <row r="12" spans="1:49">
      <c r="A12" s="101">
        <v>6</v>
      </c>
      <c r="B12" s="299" t="s">
        <v>107</v>
      </c>
      <c r="C12" s="309">
        <f>'Table 3 Levels 1&amp;2'!AO13</f>
        <v>36810715.466463998</v>
      </c>
      <c r="D12" s="354">
        <f>'[2]Adjusted Amounts'!$C12</f>
        <v>-3020.9413546285141</v>
      </c>
      <c r="E12" s="354">
        <f>'[2]Adjusted Amounts'!$H12</f>
        <v>-115599.71873128001</v>
      </c>
      <c r="F12" s="354">
        <f t="shared" si="22"/>
        <v>-118620.66008590852</v>
      </c>
      <c r="G12" s="309">
        <f t="shared" si="19"/>
        <v>0</v>
      </c>
      <c r="H12" s="354">
        <f t="shared" si="23"/>
        <v>-118620.66008590852</v>
      </c>
      <c r="I12" s="354">
        <f>'[1]Midyear Adjustment Summary'!C10+'[1]Oct midyear Madison Prep'!K12+'[1]Oct midyear DArbonne'!K12+'[1]Oct midyear Intl_VIBE '!K12+'[1]Oct midyear NOMMA'!K12+'[1]Oct midyear LFNO'!K12+'[1]Oct midyear Lake Charles Chtr'!K12+'[1]Oct midyear LA Virtual Admy'!K9+'[1]Oct midyear LA Connections'!K9</f>
        <v>6705.2371363322382</v>
      </c>
      <c r="J12" s="354">
        <f>'[1]Midyear Adjustment Summary'!D10+'[1]Feb midyear Madison Prep'!K12+'[1]Feb midyear DArbonne'!K12+'[1]Feb midyear Intl_VIBE '!K12+'[1]Feb midyear NOMMA'!K12+'[1]Feb midyear LFNO '!K12+'[1]Feb midyear Lake Charles Ch'!K12+'[1]Feb midyear LA Virtual Admy'!K9+'[1]Feb midyear LA Connections'!K9</f>
        <v>45412.742423341086</v>
      </c>
      <c r="K12" s="354">
        <f t="shared" si="24"/>
        <v>52117.979559673324</v>
      </c>
      <c r="L12" s="354"/>
      <c r="M12" s="354">
        <f>-'Table 5C1A-Madison Prep'!L12</f>
        <v>0</v>
      </c>
      <c r="N12" s="354">
        <f>-'Table 5C1B-DArbonne'!L12</f>
        <v>0</v>
      </c>
      <c r="O12" s="354">
        <f>-'Table 5C1C-Intl_VIBE'!L12</f>
        <v>0</v>
      </c>
      <c r="P12" s="354">
        <f>-'Table 5C1D-NOMMA'!L12</f>
        <v>0</v>
      </c>
      <c r="Q12" s="354">
        <f>-'Table 5C1E-LFNO'!L12</f>
        <v>0</v>
      </c>
      <c r="R12" s="354">
        <f>-'Table 5C1F-Lake Charles Charter'!L12</f>
        <v>0</v>
      </c>
      <c r="S12" s="314">
        <f>-'Table 5C2 - LA Virtual Admy'!M10-'Table 5C2 - LA Virtual Admy'!I10</f>
        <v>-109818.19274948195</v>
      </c>
      <c r="T12" s="314">
        <f>-'Table 5C3 - LA Connections EBR'!M10-'Table 5C3 - LA Connections EBR'!I10</f>
        <v>-84511.622722743763</v>
      </c>
      <c r="U12" s="1692">
        <f t="shared" si="25"/>
        <v>-194329.81547222572</v>
      </c>
      <c r="V12" s="560">
        <f t="shared" si="26"/>
        <v>36549883</v>
      </c>
      <c r="W12" s="560">
        <f>[3]MFP!DT13</f>
        <v>30405744</v>
      </c>
      <c r="X12" s="560">
        <f t="shared" si="27"/>
        <v>0</v>
      </c>
      <c r="Y12" s="560">
        <f>'[4]Table 4B Rewards'!G9</f>
        <v>42269.25</v>
      </c>
      <c r="Z12" s="560">
        <f t="shared" si="28"/>
        <v>30448013.25</v>
      </c>
      <c r="AA12" s="1737">
        <f t="shared" si="29"/>
        <v>6101869.75</v>
      </c>
      <c r="AB12" s="1741">
        <f>('[5]Table 2A-2 EFT (Monthly)'!Z11+'[5]Table 2A-2 EFT (Monthly)Aug'!Z11+'[5]Table 2A-2 EFT (Monthly) sep'!Z11+'[5]Table 2A-2 EFT (Monthly)oct'!Z11+'[5]Table 2A-2 EFT (Monthly)oct'!Z11+'[5]Table 2A-2 EFT (Monthly)dec'!Z11+'[5]Table 2A-2 EFT (Monthly)jan'!Z11+'[5]Table 2A-2 EFT (Monthly)feb'!Z11+'[5]Table 2A-2 EFT (Monthly) mar'!Z11+'[5]Table 2A-2 EFT (Monthly)apr'!Z11)*-1</f>
        <v>5608</v>
      </c>
      <c r="AC12" s="1741">
        <f>('[5]Table 2A-2 EFT (Monthly)'!AA11+'[5]Table 2A-2 EFT (Monthly)Aug'!AA11+'[5]Table 2A-2 EFT (Monthly) sep'!AA11+'[5]Table 2A-2 EFT (Monthly)oct'!AA11+'[5]Table 2A-2 EFT (Monthly)oct'!AA11+'[5]Table 2A-2 EFT (Monthly)dec'!AA11+'[5]Table 2A-2 EFT (Monthly)jan'!AA11+'[5]Table 2A-2 EFT (Monthly)feb'!AA11+'[5]Table 2A-2 EFT (Monthly) mar'!AA11+'[5]Table 2A-2 EFT (Monthly)apr'!AA11)*-1</f>
        <v>0</v>
      </c>
      <c r="AD12" s="1741">
        <f>('[5]Table 2A-2 EFT (Monthly)'!AB11+'[5]Table 2A-2 EFT (Monthly)Aug'!AB11+'[5]Table 2A-2 EFT (Monthly) sep'!AB11+'[5]Table 2A-2 EFT (Monthly)oct'!AB11+'[5]Table 2A-2 EFT (Monthly)oct'!AB11+'[5]Table 2A-2 EFT (Monthly)dec'!AB11+'[5]Table 2A-2 EFT (Monthly)jan'!AB11+'[5]Table 2A-2 EFT (Monthly)feb'!AB11+'[5]Table 2A-2 EFT (Monthly) mar'!AB11+'[5]Table 2A-2 EFT (Monthly)apr'!AB11)*-1</f>
        <v>1028</v>
      </c>
      <c r="AE12" s="1741">
        <f>('[5]Table 2A-2 EFT (Monthly)'!AC11+'[5]Table 2A-2 EFT (Monthly)Aug'!AC11+'[5]Table 2A-2 EFT (Monthly) sep'!AC11+'[5]Table 2A-2 EFT (Monthly)oct'!AC11+'[5]Table 2A-2 EFT (Monthly)oct'!AC11+'[5]Table 2A-2 EFT (Monthly)dec'!AC11+'[5]Table 2A-2 EFT (Monthly)jan'!AC11+'[5]Table 2A-2 EFT (Monthly)feb'!AC11+'[5]Table 2A-2 EFT (Monthly) mar'!AC11+'[5]Table 2A-2 EFT (Monthly)apr'!AC11)*-1</f>
        <v>5908</v>
      </c>
      <c r="AF12" s="1741">
        <f>('[5]Table 2A-2 EFT (Monthly)'!Q11+'[5]Table 2A-2 EFT (Monthly)Aug'!Q11+'[5]Table 2A-2 EFT (Monthly) sep'!Q11+'[5]Table 2A-2 EFT (Monthly)oct'!Q11+'[5]Table 2A-2 EFT (Monthly)oct'!Q11+'[5]Table 2A-2 EFT (Monthly)dec'!Q11+'[5]Table 2A-2 EFT (Monthly)jan'!Q11+'[5]Table 2A-2 EFT (Monthly)feb'!Q11+'[5]Table 2A-2 EFT (Monthly) mar'!Q11+'[5]Table 2A-2 EFT (Monthly)apr'!Q11+'[5]Table 2A-2 EFT (Monthly)'!AT11+'[5]Table 2A-2 EFT (Monthly) mar'!AT11)*-1</f>
        <v>0</v>
      </c>
      <c r="AG12" s="1741">
        <f>('[5]Table 2A-2 EFT (Monthly)'!R11+'[5]Table 2A-2 EFT (Monthly)Aug'!R11+'[5]Table 2A-2 EFT (Monthly) sep'!R11+'[5]Table 2A-2 EFT (Monthly)oct'!R11+'[5]Table 2A-2 EFT (Monthly)oct'!R11+'[5]Table 2A-2 EFT (Monthly)dec'!R11+'[5]Table 2A-2 EFT (Monthly)jan'!R11+'[5]Table 2A-2 EFT (Monthly)feb'!R11+'[5]Table 2A-2 EFT (Monthly) mar'!R11+'[5]Table 2A-2 EFT (Monthly)apr'!R11+'[5]Table 2A-2 EFT (Monthly)'!AU11+'[5]Table 2A-2 EFT (Monthly) mar'!AU11)*-1</f>
        <v>0</v>
      </c>
      <c r="AH12" s="1741">
        <f>('[5]Table 2A-2 EFT (Monthly)'!S11+'[5]Table 2A-2 EFT (Monthly)Aug'!S11+'[5]Table 2A-2 EFT (Monthly) sep'!S11+'[5]Table 2A-2 EFT (Monthly)oct'!S11+'[5]Table 2A-2 EFT (Monthly)oct'!S11+'[5]Table 2A-2 EFT (Monthly)dec'!S11+'[5]Table 2A-2 EFT (Monthly)jan'!S11+'[5]Table 2A-2 EFT (Monthly)feb'!S11+'[5]Table 2A-2 EFT (Monthly) mar'!S11+'[5]Table 2A-2 EFT (Monthly)apr'!S11+'[5]Table 2A-2 EFT (Monthly)'!AV11+'[5]Table 2A-2 EFT (Monthly) mar'!AV11)*-1</f>
        <v>0</v>
      </c>
      <c r="AI12" s="1741">
        <f>('[5]Table 2A-2 EFT (Monthly)'!T11+'[5]Table 2A-2 EFT (Monthly)Aug'!T11+'[5]Table 2A-2 EFT (Monthly) sep'!T11+'[5]Table 2A-2 EFT (Monthly)oct'!T11+'[5]Table 2A-2 EFT (Monthly)oct'!T11+'[5]Table 2A-2 EFT (Monthly)dec'!T11+'[5]Table 2A-2 EFT (Monthly)jan'!T11+'[5]Table 2A-2 EFT (Monthly)feb'!T11+'[5]Table 2A-2 EFT (Monthly) mar'!T11+'[5]Table 2A-2 EFT (Monthly)apr'!T11+'[5]Table 2A-2 EFT (Monthly)'!AW11+'[5]Table 2A-2 EFT (Monthly) mar'!AW11)*-1</f>
        <v>0</v>
      </c>
      <c r="AJ12" s="1741">
        <f>('[5]Table 2A-2 EFT (Monthly)'!U11+'[5]Table 2A-2 EFT (Monthly)Aug'!U11+'[5]Table 2A-2 EFT (Monthly) sep'!U11+'[5]Table 2A-2 EFT (Monthly)oct'!U11+'[5]Table 2A-2 EFT (Monthly)oct'!U11+'[5]Table 2A-2 EFT (Monthly)dec'!U11+'[5]Table 2A-2 EFT (Monthly)jan'!U11+'[5]Table 2A-2 EFT (Monthly)feb'!U11+'[5]Table 2A-2 EFT (Monthly) mar'!U11+'[5]Table 2A-2 EFT (Monthly)apr'!U11+'[5]Table 2A-2 EFT (Monthly)'!AX11+'[5]Table 2A-2 EFT (Monthly) mar'!AX11)*-1</f>
        <v>0</v>
      </c>
      <c r="AK12" s="1741">
        <f>('[5]Table 2A-2 EFT (Monthly)'!V11+'[5]Table 2A-2 EFT (Monthly)Aug'!V11+'[5]Table 2A-2 EFT (Monthly) sep'!V11+'[5]Table 2A-2 EFT (Monthly)oct'!V11+'[5]Table 2A-2 EFT (Monthly)oct'!V11+'[5]Table 2A-2 EFT (Monthly)dec'!V11+'[5]Table 2A-2 EFT (Monthly)jan'!V11+'[5]Table 2A-2 EFT (Monthly)feb'!V11+'[5]Table 2A-2 EFT (Monthly) mar'!V11+'[5]Table 2A-2 EFT (Monthly)apr'!V11+'[5]Table 2A-2 EFT (Monthly)'!AY11+'[5]Table 2A-2 EFT (Monthly) mar'!AY11)*-1</f>
        <v>0</v>
      </c>
      <c r="AL12" s="1741">
        <f>('[5]Table 2A-2 EFT (Monthly)'!W11+'[5]Table 2A-2 EFT (Monthly)Aug'!W11+'[5]Table 2A-2 EFT (Monthly) sep'!W11+'[5]Table 2A-2 EFT (Monthly)oct'!W11+'[5]Table 2A-2 EFT (Monthly)oct'!W11+'[5]Table 2A-2 EFT (Monthly)dec'!W11+'[5]Table 2A-2 EFT (Monthly)jan'!W11+'[5]Table 2A-2 EFT (Monthly)feb'!W11+'[5]Table 2A-2 EFT (Monthly) mar'!W11+'[5]Table 2A-2 EFT (Monthly)apr'!W11+'[5]Table 2A-2 EFT (Monthly)'!AZ11+'[5]Table 2A-2 EFT (Monthly) mar'!AZ11)*-1</f>
        <v>0</v>
      </c>
      <c r="AM12" s="1741">
        <f>('[5]Table 2A-2 EFT (Monthly)'!X11+'[5]Table 2A-2 EFT (Monthly)Aug'!X11+'[5]Table 2A-2 EFT (Monthly) sep'!X11+'[5]Table 2A-2 EFT (Monthly)oct'!X11+'[5]Table 2A-2 EFT (Monthly)oct'!X11+'[5]Table 2A-2 EFT (Monthly)dec'!X11+'[5]Table 2A-2 EFT (Monthly)jan'!X11+'[5]Table 2A-2 EFT (Monthly)feb'!X11+'[5]Table 2A-2 EFT (Monthly) mar'!X11+'[5]Table 2A-2 EFT (Monthly)apr'!X11+'[5]Table 2A-2 EFT (Monthly)'!BA11+'[5]Table 2A-2 EFT (Monthly) mar'!BA11)*-1</f>
        <v>0</v>
      </c>
      <c r="AN12" s="1741">
        <f>('[5]Table 2A-2 EFT (Monthly) sep'!AD11+'[5]Table 2A-2 EFT (Monthly)dec'!AD11+'[5]Table 2A-2 EFT (Monthly)feb'!AD11)*-1</f>
        <v>516.07968339186993</v>
      </c>
      <c r="AO12" s="1741">
        <f t="shared" si="30"/>
        <v>13060.07968339187</v>
      </c>
      <c r="AP12" s="560">
        <f t="shared" si="31"/>
        <v>6114929.8296833923</v>
      </c>
      <c r="AQ12" s="309">
        <f t="shared" si="32"/>
        <v>3057465</v>
      </c>
      <c r="AR12" s="713">
        <f>'Table 4A Stipends'!G9</f>
        <v>0</v>
      </c>
      <c r="AS12" s="309">
        <f t="shared" si="20"/>
        <v>36549883</v>
      </c>
      <c r="AU12" s="1339">
        <f>('Table 8 2.1.12 MFP Funded'!G9*'Table 3 Levels 1&amp;2'!AP13)+'Table 2_State with Midyear Adjs'!F12</f>
        <v>36576280.33479955</v>
      </c>
      <c r="AV12" s="959">
        <f t="shared" si="21"/>
        <v>-26397.334799550474</v>
      </c>
      <c r="AW12" s="280">
        <f t="shared" si="33"/>
        <v>-7.2170637795651994E-4</v>
      </c>
    </row>
    <row r="13" spans="1:49">
      <c r="A13" s="101">
        <v>7</v>
      </c>
      <c r="B13" s="299" t="s">
        <v>108</v>
      </c>
      <c r="C13" s="309">
        <f>'Table 3 Levels 1&amp;2'!AO14</f>
        <v>5117101.9479999999</v>
      </c>
      <c r="D13" s="354">
        <f>'[2]Adjusted Amounts'!$C13</f>
        <v>9458.4511320754718</v>
      </c>
      <c r="E13" s="354">
        <f>'[2]Adjusted Amounts'!$H13</f>
        <v>-1448.0961538461538</v>
      </c>
      <c r="F13" s="354">
        <f t="shared" si="22"/>
        <v>8010.3549782293176</v>
      </c>
      <c r="G13" s="309">
        <f t="shared" si="19"/>
        <v>8010.3549782293176</v>
      </c>
      <c r="H13" s="354">
        <f t="shared" si="23"/>
        <v>0</v>
      </c>
      <c r="I13" s="354">
        <f>'[1]Midyear Adjustment Summary'!C11+'[1]Oct midyear Madison Prep'!K13+'[1]Oct midyear DArbonne'!K13+'[1]Oct midyear Intl_VIBE '!K13+'[1]Oct midyear NOMMA'!K13+'[1]Oct midyear LFNO'!K13+'[1]Oct midyear Lake Charles Chtr'!K13+'[1]Oct midyear LA Virtual Admy'!K10+'[1]Oct midyear LA Connections'!K10</f>
        <v>67839.168649233528</v>
      </c>
      <c r="J13" s="354">
        <f>'[1]Midyear Adjustment Summary'!D11+'[1]Feb midyear Madison Prep'!K13+'[1]Feb midyear DArbonne'!K13+'[1]Feb midyear Intl_VIBE '!K13+'[1]Feb midyear NOMMA'!K13+'[1]Feb midyear LFNO '!K13+'[1]Feb midyear Lake Charles Ch'!K13+'[1]Feb midyear LA Virtual Admy'!K10+'[1]Feb midyear LA Connections'!K10</f>
        <v>-51340.867430117214</v>
      </c>
      <c r="K13" s="354">
        <f t="shared" si="24"/>
        <v>16498.301219116314</v>
      </c>
      <c r="L13" s="354"/>
      <c r="M13" s="354">
        <f>-'Table 5C1A-Madison Prep'!L13</f>
        <v>0</v>
      </c>
      <c r="N13" s="354">
        <f>-'Table 5C1B-DArbonne'!L13</f>
        <v>0</v>
      </c>
      <c r="O13" s="354">
        <f>-'Table 5C1C-Intl_VIBE'!L13</f>
        <v>0</v>
      </c>
      <c r="P13" s="354">
        <f>-'Table 5C1D-NOMMA'!L13</f>
        <v>0</v>
      </c>
      <c r="Q13" s="354">
        <f>-'Table 5C1E-LFNO'!L13</f>
        <v>0</v>
      </c>
      <c r="R13" s="354">
        <f>-'Table 5C1F-Lake Charles Charter'!L13</f>
        <v>0</v>
      </c>
      <c r="S13" s="314">
        <f>-'Table 5C2 - LA Virtual Admy'!M11-'Table 5C2 - LA Virtual Admy'!I11</f>
        <v>-12197.168201983768</v>
      </c>
      <c r="T13" s="314">
        <f>-'Table 5C3 - LA Connections EBR'!M11-'Table 5C3 - LA Connections EBR'!I11</f>
        <v>-30004.250250676279</v>
      </c>
      <c r="U13" s="1692">
        <f t="shared" si="25"/>
        <v>-42201.418452660044</v>
      </c>
      <c r="V13" s="560">
        <f t="shared" si="26"/>
        <v>5099409</v>
      </c>
      <c r="W13" s="560">
        <f>[3]MFP!DT14</f>
        <v>4230956</v>
      </c>
      <c r="X13" s="560">
        <f t="shared" si="27"/>
        <v>0</v>
      </c>
      <c r="Y13" s="560">
        <f>'[4]Table 4B Rewards'!G10</f>
        <v>16907.7</v>
      </c>
      <c r="Z13" s="560">
        <f t="shared" si="28"/>
        <v>4247863.7</v>
      </c>
      <c r="AA13" s="1737">
        <f t="shared" si="29"/>
        <v>851545.29999999981</v>
      </c>
      <c r="AB13" s="1741">
        <f>('[5]Table 2A-2 EFT (Monthly)'!Z12+'[5]Table 2A-2 EFT (Monthly)Aug'!Z12+'[5]Table 2A-2 EFT (Monthly) sep'!Z12+'[5]Table 2A-2 EFT (Monthly)oct'!Z12+'[5]Table 2A-2 EFT (Monthly)oct'!Z12+'[5]Table 2A-2 EFT (Monthly)dec'!Z12+'[5]Table 2A-2 EFT (Monthly)jan'!Z12+'[5]Table 2A-2 EFT (Monthly)feb'!Z12+'[5]Table 2A-2 EFT (Monthly) mar'!Z12+'[5]Table 2A-2 EFT (Monthly)apr'!Z12)*-1</f>
        <v>2200</v>
      </c>
      <c r="AC13" s="1741">
        <f>('[5]Table 2A-2 EFT (Monthly)'!AA12+'[5]Table 2A-2 EFT (Monthly)Aug'!AA12+'[5]Table 2A-2 EFT (Monthly) sep'!AA12+'[5]Table 2A-2 EFT (Monthly)oct'!AA12+'[5]Table 2A-2 EFT (Monthly)oct'!AA12+'[5]Table 2A-2 EFT (Monthly)dec'!AA12+'[5]Table 2A-2 EFT (Monthly)jan'!AA12+'[5]Table 2A-2 EFT (Monthly)feb'!AA12+'[5]Table 2A-2 EFT (Monthly) mar'!AA12+'[5]Table 2A-2 EFT (Monthly)apr'!AA12)*-1</f>
        <v>0</v>
      </c>
      <c r="AD13" s="1741">
        <f>('[5]Table 2A-2 EFT (Monthly)'!AB12+'[5]Table 2A-2 EFT (Monthly)Aug'!AB12+'[5]Table 2A-2 EFT (Monthly) sep'!AB12+'[5]Table 2A-2 EFT (Monthly)oct'!AB12+'[5]Table 2A-2 EFT (Monthly)oct'!AB12+'[5]Table 2A-2 EFT (Monthly)dec'!AB12+'[5]Table 2A-2 EFT (Monthly)jan'!AB12+'[5]Table 2A-2 EFT (Monthly)feb'!AB12+'[5]Table 2A-2 EFT (Monthly) mar'!AB12+'[5]Table 2A-2 EFT (Monthly)apr'!AB12)*-1</f>
        <v>0</v>
      </c>
      <c r="AE13" s="1741">
        <f>('[5]Table 2A-2 EFT (Monthly)'!AC12+'[5]Table 2A-2 EFT (Monthly)Aug'!AC12+'[5]Table 2A-2 EFT (Monthly) sep'!AC12+'[5]Table 2A-2 EFT (Monthly)oct'!AC12+'[5]Table 2A-2 EFT (Monthly)oct'!AC12+'[5]Table 2A-2 EFT (Monthly)dec'!AC12+'[5]Table 2A-2 EFT (Monthly)jan'!AC12+'[5]Table 2A-2 EFT (Monthly)feb'!AC12+'[5]Table 2A-2 EFT (Monthly) mar'!AC12+'[5]Table 2A-2 EFT (Monthly)apr'!AC12)*-1</f>
        <v>3070</v>
      </c>
      <c r="AF13" s="1741">
        <f>('[5]Table 2A-2 EFT (Monthly)'!Q12+'[5]Table 2A-2 EFT (Monthly)Aug'!Q12+'[5]Table 2A-2 EFT (Monthly) sep'!Q12+'[5]Table 2A-2 EFT (Monthly)oct'!Q12+'[5]Table 2A-2 EFT (Monthly)oct'!Q12+'[5]Table 2A-2 EFT (Monthly)dec'!Q12+'[5]Table 2A-2 EFT (Monthly)jan'!Q12+'[5]Table 2A-2 EFT (Monthly)feb'!Q12+'[5]Table 2A-2 EFT (Monthly) mar'!Q12+'[5]Table 2A-2 EFT (Monthly)apr'!Q12+'[5]Table 2A-2 EFT (Monthly)'!AT12+'[5]Table 2A-2 EFT (Monthly) mar'!AT12)*-1</f>
        <v>0</v>
      </c>
      <c r="AG13" s="1741">
        <f>('[5]Table 2A-2 EFT (Monthly)'!R12+'[5]Table 2A-2 EFT (Monthly)Aug'!R12+'[5]Table 2A-2 EFT (Monthly) sep'!R12+'[5]Table 2A-2 EFT (Monthly)oct'!R12+'[5]Table 2A-2 EFT (Monthly)oct'!R12+'[5]Table 2A-2 EFT (Monthly)dec'!R12+'[5]Table 2A-2 EFT (Monthly)jan'!R12+'[5]Table 2A-2 EFT (Monthly)feb'!R12+'[5]Table 2A-2 EFT (Monthly) mar'!R12+'[5]Table 2A-2 EFT (Monthly)apr'!R12+'[5]Table 2A-2 EFT (Monthly)'!AU12+'[5]Table 2A-2 EFT (Monthly) mar'!AU12)*-1</f>
        <v>0</v>
      </c>
      <c r="AH13" s="1741">
        <f>('[5]Table 2A-2 EFT (Monthly)'!S12+'[5]Table 2A-2 EFT (Monthly)Aug'!S12+'[5]Table 2A-2 EFT (Monthly) sep'!S12+'[5]Table 2A-2 EFT (Monthly)oct'!S12+'[5]Table 2A-2 EFT (Monthly)oct'!S12+'[5]Table 2A-2 EFT (Monthly)dec'!S12+'[5]Table 2A-2 EFT (Monthly)jan'!S12+'[5]Table 2A-2 EFT (Monthly)feb'!S12+'[5]Table 2A-2 EFT (Monthly) mar'!S12+'[5]Table 2A-2 EFT (Monthly)apr'!S12+'[5]Table 2A-2 EFT (Monthly)'!AV12+'[5]Table 2A-2 EFT (Monthly) mar'!AV12)*-1</f>
        <v>0</v>
      </c>
      <c r="AI13" s="1741">
        <f>('[5]Table 2A-2 EFT (Monthly)'!T12+'[5]Table 2A-2 EFT (Monthly)Aug'!T12+'[5]Table 2A-2 EFT (Monthly) sep'!T12+'[5]Table 2A-2 EFT (Monthly)oct'!T12+'[5]Table 2A-2 EFT (Monthly)oct'!T12+'[5]Table 2A-2 EFT (Monthly)dec'!T12+'[5]Table 2A-2 EFT (Monthly)jan'!T12+'[5]Table 2A-2 EFT (Monthly)feb'!T12+'[5]Table 2A-2 EFT (Monthly) mar'!T12+'[5]Table 2A-2 EFT (Monthly)apr'!T12+'[5]Table 2A-2 EFT (Monthly)'!AW12+'[5]Table 2A-2 EFT (Monthly) mar'!AW12)*-1</f>
        <v>0</v>
      </c>
      <c r="AJ13" s="1741">
        <f>('[5]Table 2A-2 EFT (Monthly)'!U12+'[5]Table 2A-2 EFT (Monthly)Aug'!U12+'[5]Table 2A-2 EFT (Monthly) sep'!U12+'[5]Table 2A-2 EFT (Monthly)oct'!U12+'[5]Table 2A-2 EFT (Monthly)oct'!U12+'[5]Table 2A-2 EFT (Monthly)dec'!U12+'[5]Table 2A-2 EFT (Monthly)jan'!U12+'[5]Table 2A-2 EFT (Monthly)feb'!U12+'[5]Table 2A-2 EFT (Monthly) mar'!U12+'[5]Table 2A-2 EFT (Monthly)apr'!U12+'[5]Table 2A-2 EFT (Monthly)'!AX12+'[5]Table 2A-2 EFT (Monthly) mar'!AX12)*-1</f>
        <v>0</v>
      </c>
      <c r="AK13" s="1741">
        <f>('[5]Table 2A-2 EFT (Monthly)'!V12+'[5]Table 2A-2 EFT (Monthly)Aug'!V12+'[5]Table 2A-2 EFT (Monthly) sep'!V12+'[5]Table 2A-2 EFT (Monthly)oct'!V12+'[5]Table 2A-2 EFT (Monthly)oct'!V12+'[5]Table 2A-2 EFT (Monthly)dec'!V12+'[5]Table 2A-2 EFT (Monthly)jan'!V12+'[5]Table 2A-2 EFT (Monthly)feb'!V12+'[5]Table 2A-2 EFT (Monthly) mar'!V12+'[5]Table 2A-2 EFT (Monthly)apr'!V12+'[5]Table 2A-2 EFT (Monthly)'!AY12+'[5]Table 2A-2 EFT (Monthly) mar'!AY12)*-1</f>
        <v>0</v>
      </c>
      <c r="AL13" s="1741">
        <f>('[5]Table 2A-2 EFT (Monthly)'!W12+'[5]Table 2A-2 EFT (Monthly)Aug'!W12+'[5]Table 2A-2 EFT (Monthly) sep'!W12+'[5]Table 2A-2 EFT (Monthly)oct'!W12+'[5]Table 2A-2 EFT (Monthly)oct'!W12+'[5]Table 2A-2 EFT (Monthly)dec'!W12+'[5]Table 2A-2 EFT (Monthly)jan'!W12+'[5]Table 2A-2 EFT (Monthly)feb'!W12+'[5]Table 2A-2 EFT (Monthly) mar'!W12+'[5]Table 2A-2 EFT (Monthly)apr'!W12+'[5]Table 2A-2 EFT (Monthly)'!AZ12+'[5]Table 2A-2 EFT (Monthly) mar'!AZ12)*-1</f>
        <v>0</v>
      </c>
      <c r="AM13" s="1741">
        <f>('[5]Table 2A-2 EFT (Monthly)'!X12+'[5]Table 2A-2 EFT (Monthly)Aug'!X12+'[5]Table 2A-2 EFT (Monthly) sep'!X12+'[5]Table 2A-2 EFT (Monthly)oct'!X12+'[5]Table 2A-2 EFT (Monthly)oct'!X12+'[5]Table 2A-2 EFT (Monthly)dec'!X12+'[5]Table 2A-2 EFT (Monthly)jan'!X12+'[5]Table 2A-2 EFT (Monthly)feb'!X12+'[5]Table 2A-2 EFT (Monthly) mar'!X12+'[5]Table 2A-2 EFT (Monthly)apr'!X12+'[5]Table 2A-2 EFT (Monthly)'!BA12+'[5]Table 2A-2 EFT (Monthly) mar'!BA12)*-1</f>
        <v>0</v>
      </c>
      <c r="AN13" s="1741">
        <f>('[5]Table 2A-2 EFT (Monthly) sep'!AD12+'[5]Table 2A-2 EFT (Monthly)dec'!AD12+'[5]Table 2A-2 EFT (Monthly)feb'!AD12)*-1</f>
        <v>24630.048382326422</v>
      </c>
      <c r="AO13" s="1741">
        <f t="shared" si="30"/>
        <v>29900.048382326422</v>
      </c>
      <c r="AP13" s="560">
        <f t="shared" si="31"/>
        <v>881445.34838232619</v>
      </c>
      <c r="AQ13" s="309">
        <f t="shared" si="32"/>
        <v>440723</v>
      </c>
      <c r="AR13" s="713">
        <f>'Table 4A Stipends'!G10</f>
        <v>0</v>
      </c>
      <c r="AS13" s="309">
        <f t="shared" si="20"/>
        <v>5099409</v>
      </c>
      <c r="AU13" s="1339">
        <f>('Table 8 2.1.12 MFP Funded'!G10*'Table 3 Levels 1&amp;2'!AP14)+'Table 2_State with Midyear Adjs'!F13</f>
        <v>5099734.4303776873</v>
      </c>
      <c r="AV13" s="959">
        <f t="shared" si="21"/>
        <v>-325.43037768732756</v>
      </c>
      <c r="AW13" s="280">
        <f t="shared" si="33"/>
        <v>-6.3813200889213E-5</v>
      </c>
    </row>
    <row r="14" spans="1:49">
      <c r="A14" s="101">
        <v>8</v>
      </c>
      <c r="B14" s="299" t="s">
        <v>109</v>
      </c>
      <c r="C14" s="309">
        <f>'Table 3 Levels 1&amp;2'!AO15</f>
        <v>99357953.527539209</v>
      </c>
      <c r="D14" s="354">
        <f>'[2]Adjusted Amounts'!$C14</f>
        <v>19465.534916257777</v>
      </c>
      <c r="E14" s="354">
        <f>'[2]Adjusted Amounts'!$H14</f>
        <v>-6860.4084949560347</v>
      </c>
      <c r="F14" s="354">
        <f t="shared" si="22"/>
        <v>12605.126421301742</v>
      </c>
      <c r="G14" s="309">
        <f t="shared" si="19"/>
        <v>12605.126421301742</v>
      </c>
      <c r="H14" s="354">
        <f t="shared" si="23"/>
        <v>0</v>
      </c>
      <c r="I14" s="354">
        <f>'[1]Midyear Adjustment Summary'!C12+'[1]Oct midyear Madison Prep'!K14+'[1]Oct midyear DArbonne'!K14+'[1]Oct midyear Intl_VIBE '!K14+'[1]Oct midyear NOMMA'!K14+'[1]Oct midyear LFNO'!K14+'[1]Oct midyear Lake Charles Chtr'!K14+'[1]Oct midyear LA Virtual Admy'!K11+'[1]Oct midyear LA Connections'!K11</f>
        <v>2665610.116346166</v>
      </c>
      <c r="J14" s="354">
        <f>'[1]Midyear Adjustment Summary'!D12+'[1]Feb midyear Madison Prep'!K14+'[1]Feb midyear DArbonne'!K14+'[1]Feb midyear Intl_VIBE '!K14+'[1]Feb midyear NOMMA'!K14+'[1]Feb midyear LFNO '!K14+'[1]Feb midyear Lake Charles Ch'!K14+'[1]Feb midyear LA Virtual Admy'!K11+'[1]Feb midyear LA Connections'!K11</f>
        <v>-367859.93266290799</v>
      </c>
      <c r="K14" s="354">
        <f t="shared" si="24"/>
        <v>2297750.183683258</v>
      </c>
      <c r="L14" s="354"/>
      <c r="M14" s="354">
        <f>-'Table 5C1A-Madison Prep'!L14</f>
        <v>0</v>
      </c>
      <c r="N14" s="354">
        <f>-'Table 5C1B-DArbonne'!L14</f>
        <v>0</v>
      </c>
      <c r="O14" s="354">
        <f>-'Table 5C1C-Intl_VIBE'!L14</f>
        <v>0</v>
      </c>
      <c r="P14" s="354">
        <f>-'Table 5C1D-NOMMA'!L14</f>
        <v>0</v>
      </c>
      <c r="Q14" s="354">
        <f>-'Table 5C1E-LFNO'!L14</f>
        <v>0</v>
      </c>
      <c r="R14" s="354">
        <f>-'Table 5C1F-Lake Charles Charter'!L14</f>
        <v>0</v>
      </c>
      <c r="S14" s="314">
        <f>-'Table 5C2 - LA Virtual Admy'!M12-'Table 5C2 - LA Virtual Admy'!I12</f>
        <v>-201100.70925717108</v>
      </c>
      <c r="T14" s="314">
        <f>-'Table 5C3 - LA Connections EBR'!M12-'Table 5C3 - LA Connections EBR'!I12</f>
        <v>-258462.85154596739</v>
      </c>
      <c r="U14" s="1692">
        <f t="shared" si="25"/>
        <v>-459563.56080313848</v>
      </c>
      <c r="V14" s="560">
        <f t="shared" si="26"/>
        <v>101208745</v>
      </c>
      <c r="W14" s="560">
        <f>[3]MFP!DT15</f>
        <v>83244011</v>
      </c>
      <c r="X14" s="560">
        <f t="shared" si="27"/>
        <v>12000</v>
      </c>
      <c r="Y14" s="560">
        <f>'[4]Table 4B Rewards'!G11</f>
        <v>101446.20000000003</v>
      </c>
      <c r="Z14" s="560">
        <f t="shared" si="28"/>
        <v>83357457.200000003</v>
      </c>
      <c r="AA14" s="1737">
        <f t="shared" si="29"/>
        <v>17851287.799999997</v>
      </c>
      <c r="AB14" s="1741">
        <f>('[5]Table 2A-2 EFT (Monthly)'!Z13+'[5]Table 2A-2 EFT (Monthly)Aug'!Z13+'[5]Table 2A-2 EFT (Monthly) sep'!Z13+'[5]Table 2A-2 EFT (Monthly)oct'!Z13+'[5]Table 2A-2 EFT (Monthly)oct'!Z13+'[5]Table 2A-2 EFT (Monthly)dec'!Z13+'[5]Table 2A-2 EFT (Monthly)jan'!Z13+'[5]Table 2A-2 EFT (Monthly)feb'!Z13+'[5]Table 2A-2 EFT (Monthly) mar'!Z13+'[5]Table 2A-2 EFT (Monthly)apr'!Z13)*-1</f>
        <v>14500</v>
      </c>
      <c r="AC14" s="1741">
        <f>('[5]Table 2A-2 EFT (Monthly)'!AA13+'[5]Table 2A-2 EFT (Monthly)Aug'!AA13+'[5]Table 2A-2 EFT (Monthly) sep'!AA13+'[5]Table 2A-2 EFT (Monthly)oct'!AA13+'[5]Table 2A-2 EFT (Monthly)oct'!AA13+'[5]Table 2A-2 EFT (Monthly)dec'!AA13+'[5]Table 2A-2 EFT (Monthly)jan'!AA13+'[5]Table 2A-2 EFT (Monthly)feb'!AA13+'[5]Table 2A-2 EFT (Monthly) mar'!AA13+'[5]Table 2A-2 EFT (Monthly)apr'!AA13)*-1</f>
        <v>0</v>
      </c>
      <c r="AD14" s="1741">
        <f>('[5]Table 2A-2 EFT (Monthly)'!AB13+'[5]Table 2A-2 EFT (Monthly)Aug'!AB13+'[5]Table 2A-2 EFT (Monthly) sep'!AB13+'[5]Table 2A-2 EFT (Monthly)oct'!AB13+'[5]Table 2A-2 EFT (Monthly)oct'!AB13+'[5]Table 2A-2 EFT (Monthly)dec'!AB13+'[5]Table 2A-2 EFT (Monthly)jan'!AB13+'[5]Table 2A-2 EFT (Monthly)feb'!AB13+'[5]Table 2A-2 EFT (Monthly) mar'!AB13+'[5]Table 2A-2 EFT (Monthly)apr'!AB13)*-1</f>
        <v>4138</v>
      </c>
      <c r="AE14" s="1741">
        <f>('[5]Table 2A-2 EFT (Monthly)'!AC13+'[5]Table 2A-2 EFT (Monthly)Aug'!AC13+'[5]Table 2A-2 EFT (Monthly) sep'!AC13+'[5]Table 2A-2 EFT (Monthly)oct'!AC13+'[5]Table 2A-2 EFT (Monthly)oct'!AC13+'[5]Table 2A-2 EFT (Monthly)dec'!AC13+'[5]Table 2A-2 EFT (Monthly)jan'!AC13+'[5]Table 2A-2 EFT (Monthly)feb'!AC13+'[5]Table 2A-2 EFT (Monthly) mar'!AC13+'[5]Table 2A-2 EFT (Monthly)apr'!AC13)*-1</f>
        <v>18324</v>
      </c>
      <c r="AF14" s="1741">
        <f>('[5]Table 2A-2 EFT (Monthly)'!Q13+'[5]Table 2A-2 EFT (Monthly)Aug'!Q13+'[5]Table 2A-2 EFT (Monthly) sep'!Q13+'[5]Table 2A-2 EFT (Monthly)oct'!Q13+'[5]Table 2A-2 EFT (Monthly)oct'!Q13+'[5]Table 2A-2 EFT (Monthly)dec'!Q13+'[5]Table 2A-2 EFT (Monthly)jan'!Q13+'[5]Table 2A-2 EFT (Monthly)feb'!Q13+'[5]Table 2A-2 EFT (Monthly) mar'!Q13+'[5]Table 2A-2 EFT (Monthly)apr'!Q13+'[5]Table 2A-2 EFT (Monthly)'!AT13+'[5]Table 2A-2 EFT (Monthly) mar'!AT13)*-1</f>
        <v>0</v>
      </c>
      <c r="AG14" s="1741">
        <f>('[5]Table 2A-2 EFT (Monthly)'!R13+'[5]Table 2A-2 EFT (Monthly)Aug'!R13+'[5]Table 2A-2 EFT (Monthly) sep'!R13+'[5]Table 2A-2 EFT (Monthly)oct'!R13+'[5]Table 2A-2 EFT (Monthly)oct'!R13+'[5]Table 2A-2 EFT (Monthly)dec'!R13+'[5]Table 2A-2 EFT (Monthly)jan'!R13+'[5]Table 2A-2 EFT (Monthly)feb'!R13+'[5]Table 2A-2 EFT (Monthly) mar'!R13+'[5]Table 2A-2 EFT (Monthly)apr'!R13+'[5]Table 2A-2 EFT (Monthly)'!AU13+'[5]Table 2A-2 EFT (Monthly) mar'!AU13)*-1</f>
        <v>0</v>
      </c>
      <c r="AH14" s="1741">
        <f>('[5]Table 2A-2 EFT (Monthly)'!S13+'[5]Table 2A-2 EFT (Monthly)Aug'!S13+'[5]Table 2A-2 EFT (Monthly) sep'!S13+'[5]Table 2A-2 EFT (Monthly)oct'!S13+'[5]Table 2A-2 EFT (Monthly)oct'!S13+'[5]Table 2A-2 EFT (Monthly)dec'!S13+'[5]Table 2A-2 EFT (Monthly)jan'!S13+'[5]Table 2A-2 EFT (Monthly)feb'!S13+'[5]Table 2A-2 EFT (Monthly) mar'!S13+'[5]Table 2A-2 EFT (Monthly)apr'!S13+'[5]Table 2A-2 EFT (Monthly)'!AV13+'[5]Table 2A-2 EFT (Monthly) mar'!AV13)*-1</f>
        <v>0</v>
      </c>
      <c r="AI14" s="1741">
        <f>('[5]Table 2A-2 EFT (Monthly)'!T13+'[5]Table 2A-2 EFT (Monthly)Aug'!T13+'[5]Table 2A-2 EFT (Monthly) sep'!T13+'[5]Table 2A-2 EFT (Monthly)oct'!T13+'[5]Table 2A-2 EFT (Monthly)oct'!T13+'[5]Table 2A-2 EFT (Monthly)dec'!T13+'[5]Table 2A-2 EFT (Monthly)jan'!T13+'[5]Table 2A-2 EFT (Monthly)feb'!T13+'[5]Table 2A-2 EFT (Monthly) mar'!T13+'[5]Table 2A-2 EFT (Monthly)apr'!T13+'[5]Table 2A-2 EFT (Monthly)'!AW13+'[5]Table 2A-2 EFT (Monthly) mar'!AW13)*-1</f>
        <v>0</v>
      </c>
      <c r="AJ14" s="1741">
        <f>('[5]Table 2A-2 EFT (Monthly)'!U13+'[5]Table 2A-2 EFT (Monthly)Aug'!U13+'[5]Table 2A-2 EFT (Monthly) sep'!U13+'[5]Table 2A-2 EFT (Monthly)oct'!U13+'[5]Table 2A-2 EFT (Monthly)oct'!U13+'[5]Table 2A-2 EFT (Monthly)dec'!U13+'[5]Table 2A-2 EFT (Monthly)jan'!U13+'[5]Table 2A-2 EFT (Monthly)feb'!U13+'[5]Table 2A-2 EFT (Monthly) mar'!U13+'[5]Table 2A-2 EFT (Monthly)apr'!U13+'[5]Table 2A-2 EFT (Monthly)'!AX13+'[5]Table 2A-2 EFT (Monthly) mar'!AX13)*-1</f>
        <v>0</v>
      </c>
      <c r="AK14" s="1741">
        <f>('[5]Table 2A-2 EFT (Monthly)'!V13+'[5]Table 2A-2 EFT (Monthly)Aug'!V13+'[5]Table 2A-2 EFT (Monthly) sep'!V13+'[5]Table 2A-2 EFT (Monthly)oct'!V13+'[5]Table 2A-2 EFT (Monthly)oct'!V13+'[5]Table 2A-2 EFT (Monthly)dec'!V13+'[5]Table 2A-2 EFT (Monthly)jan'!V13+'[5]Table 2A-2 EFT (Monthly)feb'!V13+'[5]Table 2A-2 EFT (Monthly) mar'!V13+'[5]Table 2A-2 EFT (Monthly)apr'!V13+'[5]Table 2A-2 EFT (Monthly)'!AY13+'[5]Table 2A-2 EFT (Monthly) mar'!AY13)*-1</f>
        <v>0</v>
      </c>
      <c r="AL14" s="1741">
        <f>('[5]Table 2A-2 EFT (Monthly)'!W13+'[5]Table 2A-2 EFT (Monthly)Aug'!W13+'[5]Table 2A-2 EFT (Monthly) sep'!W13+'[5]Table 2A-2 EFT (Monthly)oct'!W13+'[5]Table 2A-2 EFT (Monthly)oct'!W13+'[5]Table 2A-2 EFT (Monthly)dec'!W13+'[5]Table 2A-2 EFT (Monthly)jan'!W13+'[5]Table 2A-2 EFT (Monthly)feb'!W13+'[5]Table 2A-2 EFT (Monthly) mar'!W13+'[5]Table 2A-2 EFT (Monthly)apr'!W13+'[5]Table 2A-2 EFT (Monthly)'!AZ13+'[5]Table 2A-2 EFT (Monthly) mar'!AZ13)*-1</f>
        <v>0</v>
      </c>
      <c r="AM14" s="1741">
        <f>('[5]Table 2A-2 EFT (Monthly)'!X13+'[5]Table 2A-2 EFT (Monthly)Aug'!X13+'[5]Table 2A-2 EFT (Monthly) sep'!X13+'[5]Table 2A-2 EFT (Monthly)oct'!X13+'[5]Table 2A-2 EFT (Monthly)oct'!X13+'[5]Table 2A-2 EFT (Monthly)dec'!X13+'[5]Table 2A-2 EFT (Monthly)jan'!X13+'[5]Table 2A-2 EFT (Monthly)feb'!X13+'[5]Table 2A-2 EFT (Monthly) mar'!X13+'[5]Table 2A-2 EFT (Monthly)apr'!X13+'[5]Table 2A-2 EFT (Monthly)'!BA13+'[5]Table 2A-2 EFT (Monthly) mar'!BA13)*-1</f>
        <v>0</v>
      </c>
      <c r="AN14" s="1741">
        <f>('[5]Table 2A-2 EFT (Monthly) sep'!AD13+'[5]Table 2A-2 EFT (Monthly)dec'!AD13+'[5]Table 2A-2 EFT (Monthly)feb'!AD13)*-1</f>
        <v>3884.8755920433682</v>
      </c>
      <c r="AO14" s="1741">
        <f t="shared" si="30"/>
        <v>40846.875592043369</v>
      </c>
      <c r="AP14" s="560">
        <f t="shared" si="31"/>
        <v>17892134.675592039</v>
      </c>
      <c r="AQ14" s="309">
        <f t="shared" si="32"/>
        <v>8946067</v>
      </c>
      <c r="AR14" s="309">
        <f>'Table 4A Stipends'!G11</f>
        <v>12000</v>
      </c>
      <c r="AS14" s="309">
        <f t="shared" si="20"/>
        <v>101220745</v>
      </c>
      <c r="AU14" s="1339">
        <f>('Table 8 2.1.12 MFP Funded'!G11*'Table 3 Levels 1&amp;2'!AP15)+'Table 2_State with Midyear Adjs'!F14</f>
        <v>99050280.429936215</v>
      </c>
      <c r="AV14" s="959">
        <f t="shared" si="21"/>
        <v>2158464.5700637847</v>
      </c>
      <c r="AW14" s="280">
        <f t="shared" si="33"/>
        <v>2.1791604836400105E-2</v>
      </c>
    </row>
    <row r="15" spans="1:49">
      <c r="A15" s="101">
        <v>9</v>
      </c>
      <c r="B15" s="299" t="s">
        <v>110</v>
      </c>
      <c r="C15" s="309">
        <f>'Table 3 Levels 1&amp;2'!AO16</f>
        <v>208456042.75362521</v>
      </c>
      <c r="D15" s="354">
        <f>'[2]Adjusted Amounts'!$C15</f>
        <v>107111.90995907958</v>
      </c>
      <c r="E15" s="354">
        <f>'[2]Adjusted Amounts'!$H15</f>
        <v>-685963.74700799736</v>
      </c>
      <c r="F15" s="354">
        <f t="shared" si="22"/>
        <v>-578851.83704891778</v>
      </c>
      <c r="G15" s="309">
        <f t="shared" si="19"/>
        <v>0</v>
      </c>
      <c r="H15" s="354">
        <f t="shared" si="23"/>
        <v>-578851.83704891778</v>
      </c>
      <c r="I15" s="354">
        <f>'[1]Midyear Adjustment Summary'!C13+'[1]Oct midyear Madison Prep'!K15+'[1]Oct midyear DArbonne'!K15+'[1]Oct midyear Intl_VIBE '!K15+'[1]Oct midyear NOMMA'!K15+'[1]Oct midyear LFNO'!K15+'[1]Oct midyear Lake Charles Chtr'!K15+'[1]Oct midyear LA Virtual Admy'!K12+'[1]Oct midyear LA Connections'!K12+'[1]Midyear Adjustment Summary'!$C$190+'[1]Midyear Adjustment Summary'!$C$118</f>
        <v>-1156326.2602378014</v>
      </c>
      <c r="J15" s="354">
        <f>'[1]Midyear Adjustment Summary'!D13+'[1]Feb midyear Madison Prep'!K15+'[1]Feb midyear DArbonne'!K15+'[1]Feb midyear Intl_VIBE '!K15+'[1]Feb midyear NOMMA'!K15+'[1]Feb midyear LFNO '!K15+'[1]Feb midyear Lake Charles Ch'!K15+'[1]Feb midyear LA Virtual Admy'!K12+'[1]Feb midyear LA Connections'!K12+'[1]Midyear Adjustment Summary'!$D$118+'[1]Midyear Adjustment Summary'!$D$190</f>
        <v>-818435.44920660753</v>
      </c>
      <c r="K15" s="354">
        <f t="shared" si="24"/>
        <v>-1974761.7094444088</v>
      </c>
      <c r="L15" s="354">
        <f>-'Table 5B2_RSD_LA'!L30</f>
        <v>-3353748.7631303328</v>
      </c>
      <c r="M15" s="354">
        <f>-'Table 5C1A-Madison Prep'!L15</f>
        <v>0</v>
      </c>
      <c r="N15" s="354">
        <f>-'Table 5C1B-DArbonne'!L15</f>
        <v>0</v>
      </c>
      <c r="O15" s="354">
        <f>-'Table 5C1C-Intl_VIBE'!L15</f>
        <v>0</v>
      </c>
      <c r="P15" s="354">
        <f>-'Table 5C1D-NOMMA'!L15</f>
        <v>0</v>
      </c>
      <c r="Q15" s="354">
        <f>-'Table 5C1E-LFNO'!L15</f>
        <v>0</v>
      </c>
      <c r="R15" s="354">
        <f>-'Table 5C1F-Lake Charles Charter'!L15</f>
        <v>0</v>
      </c>
      <c r="S15" s="314">
        <f>-'Table 5C2 - LA Virtual Admy'!M13-'Table 5C2 - LA Virtual Admy'!I13</f>
        <v>-456509.9746801632</v>
      </c>
      <c r="T15" s="314">
        <f>-'Table 5C3 - LA Connections EBR'!M13-'Table 5C3 - LA Connections EBR'!I13</f>
        <v>-281219.59603143553</v>
      </c>
      <c r="U15" s="1692">
        <f t="shared" si="25"/>
        <v>-4091478.333841932</v>
      </c>
      <c r="V15" s="563">
        <f t="shared" si="26"/>
        <v>201810951</v>
      </c>
      <c r="W15" s="563">
        <f>[3]MFP!DT16</f>
        <v>168134216</v>
      </c>
      <c r="X15" s="563">
        <f t="shared" si="27"/>
        <v>20000</v>
      </c>
      <c r="Y15" s="563">
        <f>'[4]Table 4B Rewards'!G12</f>
        <v>101446.20000000003</v>
      </c>
      <c r="Z15" s="563">
        <f t="shared" si="28"/>
        <v>168255662.19999999</v>
      </c>
      <c r="AA15" s="1738">
        <f t="shared" si="29"/>
        <v>33555288.800000012</v>
      </c>
      <c r="AB15" s="1741">
        <f>('[5]Table 2A-2 EFT (Monthly)'!Z14+'[5]Table 2A-2 EFT (Monthly)Aug'!Z14+'[5]Table 2A-2 EFT (Monthly) sep'!Z14+'[5]Table 2A-2 EFT (Monthly)oct'!Z14+'[5]Table 2A-2 EFT (Monthly)oct'!Z14+'[5]Table 2A-2 EFT (Monthly)dec'!Z14+'[5]Table 2A-2 EFT (Monthly)jan'!Z14+'[5]Table 2A-2 EFT (Monthly)feb'!Z14+'[5]Table 2A-2 EFT (Monthly) mar'!Z14+'[5]Table 2A-2 EFT (Monthly)apr'!Z14)*-1</f>
        <v>8002</v>
      </c>
      <c r="AC15" s="1741">
        <f>('[5]Table 2A-2 EFT (Monthly)'!AA14+'[5]Table 2A-2 EFT (Monthly)Aug'!AA14+'[5]Table 2A-2 EFT (Monthly) sep'!AA14+'[5]Table 2A-2 EFT (Monthly)oct'!AA14+'[5]Table 2A-2 EFT (Monthly)oct'!AA14+'[5]Table 2A-2 EFT (Monthly)dec'!AA14+'[5]Table 2A-2 EFT (Monthly)jan'!AA14+'[5]Table 2A-2 EFT (Monthly)feb'!AA14+'[5]Table 2A-2 EFT (Monthly) mar'!AA14+'[5]Table 2A-2 EFT (Monthly)apr'!AA14)*-1</f>
        <v>0</v>
      </c>
      <c r="AD15" s="1741">
        <f>('[5]Table 2A-2 EFT (Monthly)'!AB14+'[5]Table 2A-2 EFT (Monthly)Aug'!AB14+'[5]Table 2A-2 EFT (Monthly) sep'!AB14+'[5]Table 2A-2 EFT (Monthly)oct'!AB14+'[5]Table 2A-2 EFT (Monthly)oct'!AB14+'[5]Table 2A-2 EFT (Monthly)dec'!AB14+'[5]Table 2A-2 EFT (Monthly)jan'!AB14+'[5]Table 2A-2 EFT (Monthly)feb'!AB14+'[5]Table 2A-2 EFT (Monthly) mar'!AB14+'[5]Table 2A-2 EFT (Monthly)apr'!AB14)*-1</f>
        <v>22534</v>
      </c>
      <c r="AE15" s="1741">
        <f>('[5]Table 2A-2 EFT (Monthly)'!AC14+'[5]Table 2A-2 EFT (Monthly)Aug'!AC14+'[5]Table 2A-2 EFT (Monthly) sep'!AC14+'[5]Table 2A-2 EFT (Monthly)oct'!AC14+'[5]Table 2A-2 EFT (Monthly)oct'!AC14+'[5]Table 2A-2 EFT (Monthly)dec'!AC14+'[5]Table 2A-2 EFT (Monthly)jan'!AC14+'[5]Table 2A-2 EFT (Monthly)feb'!AC14+'[5]Table 2A-2 EFT (Monthly) mar'!AC14+'[5]Table 2A-2 EFT (Monthly)apr'!AC14)*-1</f>
        <v>61752</v>
      </c>
      <c r="AF15" s="1741">
        <f>('[5]Table 2A-2 EFT (Monthly)'!Q14+'[5]Table 2A-2 EFT (Monthly)Aug'!Q14+'[5]Table 2A-2 EFT (Monthly) sep'!Q14+'[5]Table 2A-2 EFT (Monthly)oct'!Q14+'[5]Table 2A-2 EFT (Monthly)oct'!Q14+'[5]Table 2A-2 EFT (Monthly)dec'!Q14+'[5]Table 2A-2 EFT (Monthly)jan'!Q14+'[5]Table 2A-2 EFT (Monthly)feb'!Q14+'[5]Table 2A-2 EFT (Monthly) mar'!Q14+'[5]Table 2A-2 EFT (Monthly)apr'!Q14+'[5]Table 2A-2 EFT (Monthly)'!AT14+'[5]Table 2A-2 EFT (Monthly) mar'!AT14)*-1</f>
        <v>0</v>
      </c>
      <c r="AG15" s="1741">
        <f>('[5]Table 2A-2 EFT (Monthly)'!R14+'[5]Table 2A-2 EFT (Monthly)Aug'!R14+'[5]Table 2A-2 EFT (Monthly) sep'!R14+'[5]Table 2A-2 EFT (Monthly)oct'!R14+'[5]Table 2A-2 EFT (Monthly)oct'!R14+'[5]Table 2A-2 EFT (Monthly)dec'!R14+'[5]Table 2A-2 EFT (Monthly)jan'!R14+'[5]Table 2A-2 EFT (Monthly)feb'!R14+'[5]Table 2A-2 EFT (Monthly) mar'!R14+'[5]Table 2A-2 EFT (Monthly)apr'!R14+'[5]Table 2A-2 EFT (Monthly)'!AU14+'[5]Table 2A-2 EFT (Monthly) mar'!AU14)*-1</f>
        <v>0</v>
      </c>
      <c r="AH15" s="1741">
        <f>('[5]Table 2A-2 EFT (Monthly)'!S14+'[5]Table 2A-2 EFT (Monthly)Aug'!S14+'[5]Table 2A-2 EFT (Monthly) sep'!S14+'[5]Table 2A-2 EFT (Monthly)oct'!S14+'[5]Table 2A-2 EFT (Monthly)oct'!S14+'[5]Table 2A-2 EFT (Monthly)dec'!S14+'[5]Table 2A-2 EFT (Monthly)jan'!S14+'[5]Table 2A-2 EFT (Monthly)feb'!S14+'[5]Table 2A-2 EFT (Monthly) mar'!S14+'[5]Table 2A-2 EFT (Monthly)apr'!S14+'[5]Table 2A-2 EFT (Monthly)'!AV14+'[5]Table 2A-2 EFT (Monthly) mar'!AV14)*-1</f>
        <v>0</v>
      </c>
      <c r="AI15" s="1741">
        <f>('[5]Table 2A-2 EFT (Monthly)'!T14+'[5]Table 2A-2 EFT (Monthly)Aug'!T14+'[5]Table 2A-2 EFT (Monthly) sep'!T14+'[5]Table 2A-2 EFT (Monthly)oct'!T14+'[5]Table 2A-2 EFT (Monthly)oct'!T14+'[5]Table 2A-2 EFT (Monthly)dec'!T14+'[5]Table 2A-2 EFT (Monthly)jan'!T14+'[5]Table 2A-2 EFT (Monthly)feb'!T14+'[5]Table 2A-2 EFT (Monthly) mar'!T14+'[5]Table 2A-2 EFT (Monthly)apr'!T14+'[5]Table 2A-2 EFT (Monthly)'!AW14+'[5]Table 2A-2 EFT (Monthly) mar'!AW14)*-1</f>
        <v>0</v>
      </c>
      <c r="AJ15" s="1741">
        <f>('[5]Table 2A-2 EFT (Monthly)'!U14+'[5]Table 2A-2 EFT (Monthly)Aug'!U14+'[5]Table 2A-2 EFT (Monthly) sep'!U14+'[5]Table 2A-2 EFT (Monthly)oct'!U14+'[5]Table 2A-2 EFT (Monthly)oct'!U14+'[5]Table 2A-2 EFT (Monthly)dec'!U14+'[5]Table 2A-2 EFT (Monthly)jan'!U14+'[5]Table 2A-2 EFT (Monthly)feb'!U14+'[5]Table 2A-2 EFT (Monthly) mar'!U14+'[5]Table 2A-2 EFT (Monthly)apr'!U14+'[5]Table 2A-2 EFT (Monthly)'!AX14+'[5]Table 2A-2 EFT (Monthly) mar'!AX14)*-1</f>
        <v>0</v>
      </c>
      <c r="AK15" s="1741">
        <f>('[5]Table 2A-2 EFT (Monthly)'!V14+'[5]Table 2A-2 EFT (Monthly)Aug'!V14+'[5]Table 2A-2 EFT (Monthly) sep'!V14+'[5]Table 2A-2 EFT (Monthly)oct'!V14+'[5]Table 2A-2 EFT (Monthly)oct'!V14+'[5]Table 2A-2 EFT (Monthly)dec'!V14+'[5]Table 2A-2 EFT (Monthly)jan'!V14+'[5]Table 2A-2 EFT (Monthly)feb'!V14+'[5]Table 2A-2 EFT (Monthly) mar'!V14+'[5]Table 2A-2 EFT (Monthly)apr'!V14+'[5]Table 2A-2 EFT (Monthly)'!AY14+'[5]Table 2A-2 EFT (Monthly) mar'!AY14)*-1</f>
        <v>0</v>
      </c>
      <c r="AL15" s="1741">
        <f>('[5]Table 2A-2 EFT (Monthly)'!W14+'[5]Table 2A-2 EFT (Monthly)Aug'!W14+'[5]Table 2A-2 EFT (Monthly) sep'!W14+'[5]Table 2A-2 EFT (Monthly)oct'!W14+'[5]Table 2A-2 EFT (Monthly)oct'!W14+'[5]Table 2A-2 EFT (Monthly)dec'!W14+'[5]Table 2A-2 EFT (Monthly)jan'!W14+'[5]Table 2A-2 EFT (Monthly)feb'!W14+'[5]Table 2A-2 EFT (Monthly) mar'!W14+'[5]Table 2A-2 EFT (Monthly)apr'!W14+'[5]Table 2A-2 EFT (Monthly)'!AZ14+'[5]Table 2A-2 EFT (Monthly) mar'!AZ14)*-1</f>
        <v>0</v>
      </c>
      <c r="AM15" s="1741">
        <f>('[5]Table 2A-2 EFT (Monthly)'!X14+'[5]Table 2A-2 EFT (Monthly)Aug'!X14+'[5]Table 2A-2 EFT (Monthly) sep'!X14+'[5]Table 2A-2 EFT (Monthly)oct'!X14+'[5]Table 2A-2 EFT (Monthly)oct'!X14+'[5]Table 2A-2 EFT (Monthly)dec'!X14+'[5]Table 2A-2 EFT (Monthly)jan'!X14+'[5]Table 2A-2 EFT (Monthly)feb'!X14+'[5]Table 2A-2 EFT (Monthly) mar'!X14+'[5]Table 2A-2 EFT (Monthly)apr'!X14+'[5]Table 2A-2 EFT (Monthly)'!BA14+'[5]Table 2A-2 EFT (Monthly) mar'!BA14)*-1</f>
        <v>0</v>
      </c>
      <c r="AN15" s="1741">
        <f>('[5]Table 2A-2 EFT (Monthly) sep'!AD14+'[5]Table 2A-2 EFT (Monthly)dec'!AD14+'[5]Table 2A-2 EFT (Monthly)feb'!AD14)*-1</f>
        <v>152978.0751023487</v>
      </c>
      <c r="AO15" s="1741">
        <f t="shared" si="30"/>
        <v>245266.0751023487</v>
      </c>
      <c r="AP15" s="563">
        <f t="shared" si="31"/>
        <v>33800554.875102364</v>
      </c>
      <c r="AQ15" s="309">
        <f t="shared" si="32"/>
        <v>16900277</v>
      </c>
      <c r="AR15" s="309">
        <f>'Table 4A Stipends'!G12</f>
        <v>20000</v>
      </c>
      <c r="AS15" s="354">
        <f t="shared" si="20"/>
        <v>201830951</v>
      </c>
      <c r="AU15" s="1339">
        <f>('Table 8 2.1.12 MFP Funded'!G12*'Table 3 Levels 1&amp;2'!AP16)+'Table 2_State with Midyear Adjs'!F15</f>
        <v>203972633.98358703</v>
      </c>
      <c r="AV15" s="959">
        <f t="shared" si="21"/>
        <v>-2161682.9835870266</v>
      </c>
      <c r="AW15" s="280">
        <f t="shared" si="33"/>
        <v>-1.0597906892553879E-2</v>
      </c>
    </row>
    <row r="16" spans="1:49">
      <c r="A16" s="102">
        <v>10</v>
      </c>
      <c r="B16" s="300" t="s">
        <v>111</v>
      </c>
      <c r="C16" s="318">
        <f>'Table 3 Levels 1&amp;2'!AO17</f>
        <v>156204505.49624962</v>
      </c>
      <c r="D16" s="355">
        <f>'[2]Adjusted Amounts'!$C16</f>
        <v>59043.257685348159</v>
      </c>
      <c r="E16" s="355">
        <f>'[2]Adjusted Amounts'!$H16</f>
        <v>-113234.73459139297</v>
      </c>
      <c r="F16" s="355">
        <f t="shared" si="22"/>
        <v>-54191.476906044816</v>
      </c>
      <c r="G16" s="318">
        <f t="shared" si="19"/>
        <v>0</v>
      </c>
      <c r="H16" s="355">
        <f t="shared" si="23"/>
        <v>-54191.476906044816</v>
      </c>
      <c r="I16" s="355">
        <f>'[1]Midyear Adjustment Summary'!C14+'[1]Oct midyear Madison Prep'!K16+'[1]Oct midyear DArbonne'!K16+'[1]Oct midyear Intl_VIBE '!K16+'[1]Oct midyear NOMMA'!K16+'[1]Oct midyear LFNO'!K16+'[1]Oct midyear Lake Charles Chtr'!K16+'[1]Oct midyear LA Virtual Admy'!K13+'[1]Oct midyear LA Connections'!K13</f>
        <v>-190722.04721512005</v>
      </c>
      <c r="J16" s="355">
        <f>'[1]Midyear Adjustment Summary'!D14+'[1]Feb midyear Madison Prep'!K16+'[1]Feb midyear DArbonne'!K16+'[1]Feb midyear Intl_VIBE '!K16+'[1]Feb midyear NOMMA'!K16+'[1]Feb midyear LFNO '!K16+'[1]Feb midyear Lake Charles Ch'!K16+'[1]Feb midyear LA Virtual Admy'!K13+'[1]Feb midyear LA Connections'!K13</f>
        <v>-339307.82818503916</v>
      </c>
      <c r="K16" s="355">
        <f t="shared" si="24"/>
        <v>-530029.87540015928</v>
      </c>
      <c r="L16" s="355"/>
      <c r="M16" s="58">
        <f>-'Table 5C1A-Madison Prep'!L16</f>
        <v>0</v>
      </c>
      <c r="N16" s="58">
        <f>-'Table 5C1B-DArbonne'!L16</f>
        <v>0</v>
      </c>
      <c r="O16" s="355">
        <f>-'Table 5C1C-Intl_VIBE'!L16</f>
        <v>0</v>
      </c>
      <c r="P16" s="355">
        <f>-'Table 5C1D-NOMMA'!L16</f>
        <v>0</v>
      </c>
      <c r="Q16" s="355">
        <f>-'Table 5C1E-LFNO'!L16</f>
        <v>0</v>
      </c>
      <c r="R16" s="355">
        <f>-'Table 5C1F-Lake Charles Charter'!L16</f>
        <v>-3777479.307245207</v>
      </c>
      <c r="S16" s="321">
        <f>-'Table 5C2 - LA Virtual Admy'!M14-'Table 5C2 - LA Virtual Admy'!I14</f>
        <v>-286255.7974421141</v>
      </c>
      <c r="T16" s="321">
        <f>-'Table 5C3 - LA Connections EBR'!M14-'Table 5C3 - LA Connections EBR'!I14</f>
        <v>-245444.43954205466</v>
      </c>
      <c r="U16" s="321">
        <f t="shared" si="25"/>
        <v>-4309179.5442293752</v>
      </c>
      <c r="V16" s="561">
        <f t="shared" si="26"/>
        <v>151311105</v>
      </c>
      <c r="W16" s="561">
        <f>[3]MFP!DT17</f>
        <v>125969761</v>
      </c>
      <c r="X16" s="561">
        <f t="shared" si="27"/>
        <v>98000</v>
      </c>
      <c r="Y16" s="561">
        <f>'[4]Table 4B Rewards'!G13</f>
        <v>169077.00000000006</v>
      </c>
      <c r="Z16" s="561">
        <f t="shared" si="28"/>
        <v>126236838</v>
      </c>
      <c r="AA16" s="561">
        <f t="shared" si="29"/>
        <v>25074267</v>
      </c>
      <c r="AB16" s="1742">
        <f>('[5]Table 2A-2 EFT (Monthly)'!Z15+'[5]Table 2A-2 EFT (Monthly)Aug'!Z15+'[5]Table 2A-2 EFT (Monthly) sep'!Z15+'[5]Table 2A-2 EFT (Monthly)oct'!Z15+'[5]Table 2A-2 EFT (Monthly)oct'!Z15+'[5]Table 2A-2 EFT (Monthly)dec'!Z15+'[5]Table 2A-2 EFT (Monthly)jan'!Z15+'[5]Table 2A-2 EFT (Monthly)feb'!Z15+'[5]Table 2A-2 EFT (Monthly) mar'!Z15+'[5]Table 2A-2 EFT (Monthly)apr'!Z15)*-1</f>
        <v>21848</v>
      </c>
      <c r="AC16" s="1742">
        <f>('[5]Table 2A-2 EFT (Monthly)'!AA15+'[5]Table 2A-2 EFT (Monthly)Aug'!AA15+'[5]Table 2A-2 EFT (Monthly) sep'!AA15+'[5]Table 2A-2 EFT (Monthly)oct'!AA15+'[5]Table 2A-2 EFT (Monthly)oct'!AA15+'[5]Table 2A-2 EFT (Monthly)dec'!AA15+'[5]Table 2A-2 EFT (Monthly)jan'!AA15+'[5]Table 2A-2 EFT (Monthly)feb'!AA15+'[5]Table 2A-2 EFT (Monthly) mar'!AA15+'[5]Table 2A-2 EFT (Monthly)apr'!AA15)*-1</f>
        <v>0</v>
      </c>
      <c r="AD16" s="1742">
        <f>('[5]Table 2A-2 EFT (Monthly)'!AB15+'[5]Table 2A-2 EFT (Monthly)Aug'!AB15+'[5]Table 2A-2 EFT (Monthly) sep'!AB15+'[5]Table 2A-2 EFT (Monthly)oct'!AB15+'[5]Table 2A-2 EFT (Monthly)oct'!AB15+'[5]Table 2A-2 EFT (Monthly)dec'!AB15+'[5]Table 2A-2 EFT (Monthly)jan'!AB15+'[5]Table 2A-2 EFT (Monthly)feb'!AB15+'[5]Table 2A-2 EFT (Monthly) mar'!AB15+'[5]Table 2A-2 EFT (Monthly)apr'!AB15)*-1</f>
        <v>32290</v>
      </c>
      <c r="AE16" s="1742">
        <f>('[5]Table 2A-2 EFT (Monthly)'!AC15+'[5]Table 2A-2 EFT (Monthly)Aug'!AC15+'[5]Table 2A-2 EFT (Monthly) sep'!AC15+'[5]Table 2A-2 EFT (Monthly)oct'!AC15+'[5]Table 2A-2 EFT (Monthly)oct'!AC15+'[5]Table 2A-2 EFT (Monthly)dec'!AC15+'[5]Table 2A-2 EFT (Monthly)jan'!AC15+'[5]Table 2A-2 EFT (Monthly)feb'!AC15+'[5]Table 2A-2 EFT (Monthly) mar'!AC15+'[5]Table 2A-2 EFT (Monthly)apr'!AC15)*-1</f>
        <v>14562</v>
      </c>
      <c r="AF16" s="1742">
        <f>('[5]Table 2A-2 EFT (Monthly)'!Q15+'[5]Table 2A-2 EFT (Monthly)Aug'!Q15+'[5]Table 2A-2 EFT (Monthly) sep'!Q15+'[5]Table 2A-2 EFT (Monthly)oct'!Q15+'[5]Table 2A-2 EFT (Monthly)oct'!Q15+'[5]Table 2A-2 EFT (Monthly)dec'!Q15+'[5]Table 2A-2 EFT (Monthly)jan'!Q15+'[5]Table 2A-2 EFT (Monthly)feb'!Q15+'[5]Table 2A-2 EFT (Monthly) mar'!Q15+'[5]Table 2A-2 EFT (Monthly)apr'!Q15+'[5]Table 2A-2 EFT (Monthly)'!AT15+'[5]Table 2A-2 EFT (Monthly) mar'!AT15)*-1</f>
        <v>0</v>
      </c>
      <c r="AG16" s="1742">
        <f>('[5]Table 2A-2 EFT (Monthly)'!R15+'[5]Table 2A-2 EFT (Monthly)Aug'!R15+'[5]Table 2A-2 EFT (Monthly) sep'!R15+'[5]Table 2A-2 EFT (Monthly)oct'!R15+'[5]Table 2A-2 EFT (Monthly)oct'!R15+'[5]Table 2A-2 EFT (Monthly)dec'!R15+'[5]Table 2A-2 EFT (Monthly)jan'!R15+'[5]Table 2A-2 EFT (Monthly)feb'!R15+'[5]Table 2A-2 EFT (Monthly) mar'!R15+'[5]Table 2A-2 EFT (Monthly)apr'!R15+'[5]Table 2A-2 EFT (Monthly)'!AU15+'[5]Table 2A-2 EFT (Monthly) mar'!AU15)*-1</f>
        <v>0</v>
      </c>
      <c r="AH16" s="1742">
        <f>('[5]Table 2A-2 EFT (Monthly)'!S15+'[5]Table 2A-2 EFT (Monthly)Aug'!S15+'[5]Table 2A-2 EFT (Monthly) sep'!S15+'[5]Table 2A-2 EFT (Monthly)oct'!S15+'[5]Table 2A-2 EFT (Monthly)oct'!S15+'[5]Table 2A-2 EFT (Monthly)dec'!S15+'[5]Table 2A-2 EFT (Monthly)jan'!S15+'[5]Table 2A-2 EFT (Monthly)feb'!S15+'[5]Table 2A-2 EFT (Monthly) mar'!S15+'[5]Table 2A-2 EFT (Monthly)apr'!S15+'[5]Table 2A-2 EFT (Monthly)'!AV15+'[5]Table 2A-2 EFT (Monthly) mar'!AV15)*-1</f>
        <v>0</v>
      </c>
      <c r="AI16" s="1742">
        <f>('[5]Table 2A-2 EFT (Monthly)'!T15+'[5]Table 2A-2 EFT (Monthly)Aug'!T15+'[5]Table 2A-2 EFT (Monthly) sep'!T15+'[5]Table 2A-2 EFT (Monthly)oct'!T15+'[5]Table 2A-2 EFT (Monthly)oct'!T15+'[5]Table 2A-2 EFT (Monthly)dec'!T15+'[5]Table 2A-2 EFT (Monthly)jan'!T15+'[5]Table 2A-2 EFT (Monthly)feb'!T15+'[5]Table 2A-2 EFT (Monthly) mar'!T15+'[5]Table 2A-2 EFT (Monthly)apr'!T15+'[5]Table 2A-2 EFT (Monthly)'!AW15+'[5]Table 2A-2 EFT (Monthly) mar'!AW15)*-1</f>
        <v>0</v>
      </c>
      <c r="AJ16" s="1742">
        <f>('[5]Table 2A-2 EFT (Monthly)'!U15+'[5]Table 2A-2 EFT (Monthly)Aug'!U15+'[5]Table 2A-2 EFT (Monthly) sep'!U15+'[5]Table 2A-2 EFT (Monthly)oct'!U15+'[5]Table 2A-2 EFT (Monthly)oct'!U15+'[5]Table 2A-2 EFT (Monthly)dec'!U15+'[5]Table 2A-2 EFT (Monthly)jan'!U15+'[5]Table 2A-2 EFT (Monthly)feb'!U15+'[5]Table 2A-2 EFT (Monthly) mar'!U15+'[5]Table 2A-2 EFT (Monthly)apr'!U15+'[5]Table 2A-2 EFT (Monthly)'!AX15+'[5]Table 2A-2 EFT (Monthly) mar'!AX15)*-1</f>
        <v>0</v>
      </c>
      <c r="AK16" s="1742">
        <f>('[5]Table 2A-2 EFT (Monthly)'!V15+'[5]Table 2A-2 EFT (Monthly)Aug'!V15+'[5]Table 2A-2 EFT (Monthly) sep'!V15+'[5]Table 2A-2 EFT (Monthly)oct'!V15+'[5]Table 2A-2 EFT (Monthly)oct'!V15+'[5]Table 2A-2 EFT (Monthly)dec'!V15+'[5]Table 2A-2 EFT (Monthly)jan'!V15+'[5]Table 2A-2 EFT (Monthly)feb'!V15+'[5]Table 2A-2 EFT (Monthly) mar'!V15+'[5]Table 2A-2 EFT (Monthly)apr'!V15+'[5]Table 2A-2 EFT (Monthly)'!AY15+'[5]Table 2A-2 EFT (Monthly) mar'!AY15)*-1</f>
        <v>0</v>
      </c>
      <c r="AL16" s="1742">
        <f>('[5]Table 2A-2 EFT (Monthly)'!W15+'[5]Table 2A-2 EFT (Monthly)Aug'!W15+'[5]Table 2A-2 EFT (Monthly) sep'!W15+'[5]Table 2A-2 EFT (Monthly)oct'!W15+'[5]Table 2A-2 EFT (Monthly)oct'!W15+'[5]Table 2A-2 EFT (Monthly)dec'!W15+'[5]Table 2A-2 EFT (Monthly)jan'!W15+'[5]Table 2A-2 EFT (Monthly)feb'!W15+'[5]Table 2A-2 EFT (Monthly) mar'!W15+'[5]Table 2A-2 EFT (Monthly)apr'!W15+'[5]Table 2A-2 EFT (Monthly)'!AZ15+'[5]Table 2A-2 EFT (Monthly) mar'!AZ15)*-1</f>
        <v>0</v>
      </c>
      <c r="AM16" s="1742">
        <f>('[5]Table 2A-2 EFT (Monthly)'!X15+'[5]Table 2A-2 EFT (Monthly)Aug'!X15+'[5]Table 2A-2 EFT (Monthly) sep'!X15+'[5]Table 2A-2 EFT (Monthly)oct'!X15+'[5]Table 2A-2 EFT (Monthly)oct'!X15+'[5]Table 2A-2 EFT (Monthly)dec'!X15+'[5]Table 2A-2 EFT (Monthly)jan'!X15+'[5]Table 2A-2 EFT (Monthly)feb'!X15+'[5]Table 2A-2 EFT (Monthly) mar'!X15+'[5]Table 2A-2 EFT (Monthly)apr'!X15+'[5]Table 2A-2 EFT (Monthly)'!BA15+'[5]Table 2A-2 EFT (Monthly) mar'!BA15)*-1</f>
        <v>0</v>
      </c>
      <c r="AN16" s="1742">
        <f>('[5]Table 2A-2 EFT (Monthly) sep'!AD15+'[5]Table 2A-2 EFT (Monthly)dec'!AD15+'[5]Table 2A-2 EFT (Monthly)feb'!AD15)*-1</f>
        <v>38782.429630225255</v>
      </c>
      <c r="AO16" s="1742">
        <f t="shared" si="30"/>
        <v>107482.42963022526</v>
      </c>
      <c r="AP16" s="561">
        <f t="shared" si="31"/>
        <v>25181749.429630224</v>
      </c>
      <c r="AQ16" s="318">
        <f t="shared" si="32"/>
        <v>12590875</v>
      </c>
      <c r="AR16" s="318">
        <f>'Table 4A Stipends'!G13</f>
        <v>98000</v>
      </c>
      <c r="AS16" s="318">
        <f t="shared" si="20"/>
        <v>151409105</v>
      </c>
      <c r="AU16" s="1339">
        <f>('Table 8 2.1.12 MFP Funded'!G13*'Table 3 Levels 1&amp;2'!AP17)+'Table 2_State with Midyear Adjs'!F16</f>
        <v>152597187.58899382</v>
      </c>
      <c r="AV16" s="959">
        <f t="shared" si="21"/>
        <v>-1286082.5889938176</v>
      </c>
      <c r="AW16" s="280">
        <f t="shared" si="33"/>
        <v>-8.4279573517289201E-3</v>
      </c>
    </row>
    <row r="17" spans="1:50">
      <c r="A17" s="101">
        <v>11</v>
      </c>
      <c r="B17" s="299" t="s">
        <v>112</v>
      </c>
      <c r="C17" s="309">
        <f>'Table 3 Levels 1&amp;2'!AO18</f>
        <v>11751563.570216</v>
      </c>
      <c r="D17" s="354">
        <f>'[2]Adjusted Amounts'!$C17</f>
        <v>65277.612594033308</v>
      </c>
      <c r="E17" s="354">
        <f>'[2]Adjusted Amounts'!$H17</f>
        <v>-19414.478844038989</v>
      </c>
      <c r="F17" s="354">
        <f t="shared" si="22"/>
        <v>45863.133749994318</v>
      </c>
      <c r="G17" s="309">
        <f t="shared" si="19"/>
        <v>45863.133749994318</v>
      </c>
      <c r="H17" s="354">
        <f t="shared" si="23"/>
        <v>0</v>
      </c>
      <c r="I17" s="354">
        <f>'[1]Midyear Adjustment Summary'!C15+'[1]Oct midyear Madison Prep'!K17+'[1]Oct midyear DArbonne'!K17+'[1]Oct midyear Intl_VIBE '!K17+'[1]Oct midyear NOMMA'!K17+'[1]Oct midyear LFNO'!K17+'[1]Oct midyear Lake Charles Chtr'!K17+'[1]Oct midyear LA Virtual Admy'!K14+'[1]Oct midyear LA Connections'!K14</f>
        <v>-116398.5386345204</v>
      </c>
      <c r="J17" s="354">
        <f>'[1]Midyear Adjustment Summary'!D15+'[1]Feb midyear Madison Prep'!K17+'[1]Feb midyear DArbonne'!K17+'[1]Feb midyear Intl_VIBE '!K17+'[1]Feb midyear NOMMA'!K17+'[1]Feb midyear LFNO '!K17+'[1]Feb midyear Lake Charles Ch'!K17+'[1]Feb midyear LA Virtual Admy'!K14+'[1]Feb midyear LA Connections'!K14</f>
        <v>-29845.779137056506</v>
      </c>
      <c r="K17" s="354">
        <f t="shared" si="24"/>
        <v>-146244.3177715769</v>
      </c>
      <c r="L17" s="354"/>
      <c r="M17" s="354">
        <f>-'Table 5C1A-Madison Prep'!L17</f>
        <v>0</v>
      </c>
      <c r="N17" s="354">
        <f>-'Table 5C1B-DArbonne'!L17</f>
        <v>0</v>
      </c>
      <c r="O17" s="354">
        <f>-'Table 5C1C-Intl_VIBE'!L17</f>
        <v>0</v>
      </c>
      <c r="P17" s="354">
        <f>-'Table 5C1D-NOMMA'!L17</f>
        <v>0</v>
      </c>
      <c r="Q17" s="354">
        <f>-'Table 5C1E-LFNO'!L17</f>
        <v>0</v>
      </c>
      <c r="R17" s="354">
        <f>-'Table 5C1F-Lake Charles Charter'!L17</f>
        <v>0</v>
      </c>
      <c r="S17" s="314">
        <f>-'Table 5C2 - LA Virtual Admy'!M15-'Table 5C2 - LA Virtual Admy'!I15</f>
        <v>-52391.220729062101</v>
      </c>
      <c r="T17" s="314">
        <f>-'Table 5C3 - LA Connections EBR'!M15-'Table 5C3 - LA Connections EBR'!I15</f>
        <v>-10072.950458756572</v>
      </c>
      <c r="U17" s="1692">
        <f t="shared" si="25"/>
        <v>-62464.171187818676</v>
      </c>
      <c r="V17" s="560">
        <f t="shared" si="26"/>
        <v>11588718</v>
      </c>
      <c r="W17" s="560">
        <f>[3]MFP!DT18</f>
        <v>9667275</v>
      </c>
      <c r="X17" s="560">
        <f t="shared" si="27"/>
        <v>0</v>
      </c>
      <c r="Y17" s="560">
        <f>'[4]Table 4B Rewards'!G14</f>
        <v>0</v>
      </c>
      <c r="Z17" s="560">
        <f t="shared" si="28"/>
        <v>9667275</v>
      </c>
      <c r="AA17" s="1737">
        <f t="shared" si="29"/>
        <v>1921443</v>
      </c>
      <c r="AB17" s="1741">
        <f>('[5]Table 2A-2 EFT (Monthly)'!Z16+'[5]Table 2A-2 EFT (Monthly)Aug'!Z16+'[5]Table 2A-2 EFT (Monthly) sep'!Z16+'[5]Table 2A-2 EFT (Monthly)oct'!Z16+'[5]Table 2A-2 EFT (Monthly)oct'!Z16+'[5]Table 2A-2 EFT (Monthly)dec'!Z16+'[5]Table 2A-2 EFT (Monthly)jan'!Z16+'[5]Table 2A-2 EFT (Monthly)feb'!Z16+'[5]Table 2A-2 EFT (Monthly) mar'!Z16+'[5]Table 2A-2 EFT (Monthly)apr'!Z16)*-1</f>
        <v>1184</v>
      </c>
      <c r="AC17" s="1741">
        <f>('[5]Table 2A-2 EFT (Monthly)'!AA16+'[5]Table 2A-2 EFT (Monthly)Aug'!AA16+'[5]Table 2A-2 EFT (Monthly) sep'!AA16+'[5]Table 2A-2 EFT (Monthly)oct'!AA16+'[5]Table 2A-2 EFT (Monthly)oct'!AA16+'[5]Table 2A-2 EFT (Monthly)dec'!AA16+'[5]Table 2A-2 EFT (Monthly)jan'!AA16+'[5]Table 2A-2 EFT (Monthly)feb'!AA16+'[5]Table 2A-2 EFT (Monthly) mar'!AA16+'[5]Table 2A-2 EFT (Monthly)apr'!AA16)*-1</f>
        <v>0</v>
      </c>
      <c r="AD17" s="1741">
        <f>('[5]Table 2A-2 EFT (Monthly)'!AB16+'[5]Table 2A-2 EFT (Monthly)Aug'!AB16+'[5]Table 2A-2 EFT (Monthly) sep'!AB16+'[5]Table 2A-2 EFT (Monthly)oct'!AB16+'[5]Table 2A-2 EFT (Monthly)oct'!AB16+'[5]Table 2A-2 EFT (Monthly)dec'!AB16+'[5]Table 2A-2 EFT (Monthly)jan'!AB16+'[5]Table 2A-2 EFT (Monthly)feb'!AB16+'[5]Table 2A-2 EFT (Monthly) mar'!AB16+'[5]Table 2A-2 EFT (Monthly)apr'!AB16)*-1</f>
        <v>0</v>
      </c>
      <c r="AE17" s="1741">
        <f>('[5]Table 2A-2 EFT (Monthly)'!AC16+'[5]Table 2A-2 EFT (Monthly)Aug'!AC16+'[5]Table 2A-2 EFT (Monthly) sep'!AC16+'[5]Table 2A-2 EFT (Monthly)oct'!AC16+'[5]Table 2A-2 EFT (Monthly)oct'!AC16+'[5]Table 2A-2 EFT (Monthly)dec'!AC16+'[5]Table 2A-2 EFT (Monthly)jan'!AC16+'[5]Table 2A-2 EFT (Monthly)feb'!AC16+'[5]Table 2A-2 EFT (Monthly) mar'!AC16+'[5]Table 2A-2 EFT (Monthly)apr'!AC16)*-1</f>
        <v>804</v>
      </c>
      <c r="AF17" s="1741">
        <f>('[5]Table 2A-2 EFT (Monthly)'!Q16+'[5]Table 2A-2 EFT (Monthly)Aug'!Q16+'[5]Table 2A-2 EFT (Monthly) sep'!Q16+'[5]Table 2A-2 EFT (Monthly)oct'!Q16+'[5]Table 2A-2 EFT (Monthly)oct'!Q16+'[5]Table 2A-2 EFT (Monthly)dec'!Q16+'[5]Table 2A-2 EFT (Monthly)jan'!Q16+'[5]Table 2A-2 EFT (Monthly)feb'!Q16+'[5]Table 2A-2 EFT (Monthly) mar'!Q16+'[5]Table 2A-2 EFT (Monthly)apr'!Q16+'[5]Table 2A-2 EFT (Monthly)'!AT16+'[5]Table 2A-2 EFT (Monthly) mar'!AT16)*-1</f>
        <v>2001</v>
      </c>
      <c r="AG17" s="1741">
        <f>('[5]Table 2A-2 EFT (Monthly)'!R16+'[5]Table 2A-2 EFT (Monthly)Aug'!R16+'[5]Table 2A-2 EFT (Monthly) sep'!R16+'[5]Table 2A-2 EFT (Monthly)oct'!R16+'[5]Table 2A-2 EFT (Monthly)oct'!R16+'[5]Table 2A-2 EFT (Monthly)dec'!R16+'[5]Table 2A-2 EFT (Monthly)jan'!R16+'[5]Table 2A-2 EFT (Monthly)feb'!R16+'[5]Table 2A-2 EFT (Monthly) mar'!R16+'[5]Table 2A-2 EFT (Monthly)apr'!R16+'[5]Table 2A-2 EFT (Monthly)'!AU16+'[5]Table 2A-2 EFT (Monthly) mar'!AU16)*-1</f>
        <v>0</v>
      </c>
      <c r="AH17" s="1741">
        <f>('[5]Table 2A-2 EFT (Monthly)'!S16+'[5]Table 2A-2 EFT (Monthly)Aug'!S16+'[5]Table 2A-2 EFT (Monthly) sep'!S16+'[5]Table 2A-2 EFT (Monthly)oct'!S16+'[5]Table 2A-2 EFT (Monthly)oct'!S16+'[5]Table 2A-2 EFT (Monthly)dec'!S16+'[5]Table 2A-2 EFT (Monthly)jan'!S16+'[5]Table 2A-2 EFT (Monthly)feb'!S16+'[5]Table 2A-2 EFT (Monthly) mar'!S16+'[5]Table 2A-2 EFT (Monthly)apr'!S16+'[5]Table 2A-2 EFT (Monthly)'!AV16+'[5]Table 2A-2 EFT (Monthly) mar'!AV16)*-1</f>
        <v>0</v>
      </c>
      <c r="AI17" s="1741">
        <f>('[5]Table 2A-2 EFT (Monthly)'!T16+'[5]Table 2A-2 EFT (Monthly)Aug'!T16+'[5]Table 2A-2 EFT (Monthly) sep'!T16+'[5]Table 2A-2 EFT (Monthly)oct'!T16+'[5]Table 2A-2 EFT (Monthly)oct'!T16+'[5]Table 2A-2 EFT (Monthly)dec'!T16+'[5]Table 2A-2 EFT (Monthly)jan'!T16+'[5]Table 2A-2 EFT (Monthly)feb'!T16+'[5]Table 2A-2 EFT (Monthly) mar'!T16+'[5]Table 2A-2 EFT (Monthly)apr'!T16+'[5]Table 2A-2 EFT (Monthly)'!AW16+'[5]Table 2A-2 EFT (Monthly) mar'!AW16)*-1</f>
        <v>0</v>
      </c>
      <c r="AJ17" s="1741">
        <f>('[5]Table 2A-2 EFT (Monthly)'!U16+'[5]Table 2A-2 EFT (Monthly)Aug'!U16+'[5]Table 2A-2 EFT (Monthly) sep'!U16+'[5]Table 2A-2 EFT (Monthly)oct'!U16+'[5]Table 2A-2 EFT (Monthly)oct'!U16+'[5]Table 2A-2 EFT (Monthly)dec'!U16+'[5]Table 2A-2 EFT (Monthly)jan'!U16+'[5]Table 2A-2 EFT (Monthly)feb'!U16+'[5]Table 2A-2 EFT (Monthly) mar'!U16+'[5]Table 2A-2 EFT (Monthly)apr'!U16+'[5]Table 2A-2 EFT (Monthly)'!AX16+'[5]Table 2A-2 EFT (Monthly) mar'!AX16)*-1</f>
        <v>0</v>
      </c>
      <c r="AK17" s="1741">
        <f>('[5]Table 2A-2 EFT (Monthly)'!V16+'[5]Table 2A-2 EFT (Monthly)Aug'!V16+'[5]Table 2A-2 EFT (Monthly) sep'!V16+'[5]Table 2A-2 EFT (Monthly)oct'!V16+'[5]Table 2A-2 EFT (Monthly)oct'!V16+'[5]Table 2A-2 EFT (Monthly)dec'!V16+'[5]Table 2A-2 EFT (Monthly)jan'!V16+'[5]Table 2A-2 EFT (Monthly)feb'!V16+'[5]Table 2A-2 EFT (Monthly) mar'!V16+'[5]Table 2A-2 EFT (Monthly)apr'!V16+'[5]Table 2A-2 EFT (Monthly)'!AY16+'[5]Table 2A-2 EFT (Monthly) mar'!AY16)*-1</f>
        <v>0</v>
      </c>
      <c r="AL17" s="1741">
        <f>('[5]Table 2A-2 EFT (Monthly)'!W16+'[5]Table 2A-2 EFT (Monthly)Aug'!W16+'[5]Table 2A-2 EFT (Monthly) sep'!W16+'[5]Table 2A-2 EFT (Monthly)oct'!W16+'[5]Table 2A-2 EFT (Monthly)oct'!W16+'[5]Table 2A-2 EFT (Monthly)dec'!W16+'[5]Table 2A-2 EFT (Monthly)jan'!W16+'[5]Table 2A-2 EFT (Monthly)feb'!W16+'[5]Table 2A-2 EFT (Monthly) mar'!W16+'[5]Table 2A-2 EFT (Monthly)apr'!W16+'[5]Table 2A-2 EFT (Monthly)'!AZ16+'[5]Table 2A-2 EFT (Monthly) mar'!AZ16)*-1</f>
        <v>0</v>
      </c>
      <c r="AM17" s="1741">
        <f>('[5]Table 2A-2 EFT (Monthly)'!X16+'[5]Table 2A-2 EFT (Monthly)Aug'!X16+'[5]Table 2A-2 EFT (Monthly) sep'!X16+'[5]Table 2A-2 EFT (Monthly)oct'!X16+'[5]Table 2A-2 EFT (Monthly)oct'!X16+'[5]Table 2A-2 EFT (Monthly)dec'!X16+'[5]Table 2A-2 EFT (Monthly)jan'!X16+'[5]Table 2A-2 EFT (Monthly)feb'!X16+'[5]Table 2A-2 EFT (Monthly) mar'!X16+'[5]Table 2A-2 EFT (Monthly)apr'!X16+'[5]Table 2A-2 EFT (Monthly)'!BA16+'[5]Table 2A-2 EFT (Monthly) mar'!BA16)*-1</f>
        <v>0</v>
      </c>
      <c r="AN17" s="1741">
        <f>('[5]Table 2A-2 EFT (Monthly) sep'!AD16+'[5]Table 2A-2 EFT (Monthly)dec'!AD16+'[5]Table 2A-2 EFT (Monthly)feb'!AD16)*-1</f>
        <v>21190.095626198985</v>
      </c>
      <c r="AO17" s="1741">
        <f t="shared" si="30"/>
        <v>25179.095626198985</v>
      </c>
      <c r="AP17" s="560">
        <f t="shared" si="31"/>
        <v>1946622.0956261989</v>
      </c>
      <c r="AQ17" s="309">
        <f t="shared" si="32"/>
        <v>973311</v>
      </c>
      <c r="AR17" s="309">
        <f>'Table 4A Stipends'!G14</f>
        <v>0</v>
      </c>
      <c r="AS17" s="309">
        <f t="shared" si="20"/>
        <v>11588718</v>
      </c>
      <c r="AU17" s="1339">
        <f>('Table 8 2.1.12 MFP Funded'!G14*'Table 3 Levels 1&amp;2'!AP18)+'Table 2_State with Midyear Adjs'!F17</f>
        <v>11775042.773356058</v>
      </c>
      <c r="AV17" s="959">
        <f t="shared" si="21"/>
        <v>-186324.7733560577</v>
      </c>
      <c r="AW17" s="280">
        <f t="shared" si="33"/>
        <v>-1.5823702464815119E-2</v>
      </c>
    </row>
    <row r="18" spans="1:50">
      <c r="A18" s="101">
        <v>12</v>
      </c>
      <c r="B18" s="299" t="s">
        <v>113</v>
      </c>
      <c r="C18" s="309">
        <f>'Table 3 Levels 1&amp;2'!AO19</f>
        <v>3517126.588</v>
      </c>
      <c r="D18" s="354">
        <f>'[2]Adjusted Amounts'!$C18</f>
        <v>-1476.0060473235062</v>
      </c>
      <c r="E18" s="354">
        <f>'[2]Adjusted Amounts'!$H18</f>
        <v>-1131.8597908954703</v>
      </c>
      <c r="F18" s="354">
        <f t="shared" si="22"/>
        <v>-2607.8658382189765</v>
      </c>
      <c r="G18" s="309">
        <f t="shared" si="19"/>
        <v>0</v>
      </c>
      <c r="H18" s="354">
        <f t="shared" si="23"/>
        <v>-2607.8658382189765</v>
      </c>
      <c r="I18" s="354">
        <f>'[1]Midyear Adjustment Summary'!C16+'[1]Oct midyear Madison Prep'!K18+'[1]Oct midyear DArbonne'!K18+'[1]Oct midyear Intl_VIBE '!K18+'[1]Oct midyear NOMMA'!K18+'[1]Oct midyear LFNO'!K18+'[1]Oct midyear Lake Charles Chtr'!K18+'[1]Oct midyear LA Virtual Admy'!K15+'[1]Oct midyear LA Connections'!K15</f>
        <v>3445.5568163265289</v>
      </c>
      <c r="J18" s="354">
        <f>'[1]Midyear Adjustment Summary'!D16+'[1]Feb midyear Madison Prep'!K18+'[1]Feb midyear DArbonne'!K18+'[1]Feb midyear Intl_VIBE '!K18+'[1]Feb midyear NOMMA'!K18+'[1]Feb midyear LFNO '!K18+'[1]Feb midyear Lake Charles Ch'!K18+'[1]Feb midyear LA Virtual Admy'!K15+'[1]Feb midyear LA Connections'!K15</f>
        <v>-18806.997622448976</v>
      </c>
      <c r="K18" s="354">
        <f t="shared" si="24"/>
        <v>-15361.440806122448</v>
      </c>
      <c r="L18" s="354"/>
      <c r="M18" s="354">
        <f>-'Table 5C1A-Madison Prep'!L18</f>
        <v>0</v>
      </c>
      <c r="N18" s="354">
        <f>-'Table 5C1B-DArbonne'!L18</f>
        <v>0</v>
      </c>
      <c r="O18" s="354">
        <f>-'Table 5C1C-Intl_VIBE'!L18</f>
        <v>0</v>
      </c>
      <c r="P18" s="354">
        <f>-'Table 5C1D-NOMMA'!L18</f>
        <v>0</v>
      </c>
      <c r="Q18" s="354">
        <f>-'Table 5C1E-LFNO'!L18</f>
        <v>0</v>
      </c>
      <c r="R18" s="354">
        <f>-'Table 5C1F-Lake Charles Charter'!L18</f>
        <v>0</v>
      </c>
      <c r="S18" s="314">
        <f>-'Table 5C2 - LA Virtual Admy'!M16-'Table 5C2 - LA Virtual Admy'!I16</f>
        <v>0</v>
      </c>
      <c r="T18" s="314">
        <f>-'Table 5C3 - LA Connections EBR'!M16-'Table 5C3 - LA Connections EBR'!I16</f>
        <v>-1653.6812755102042</v>
      </c>
      <c r="U18" s="1692">
        <f t="shared" si="25"/>
        <v>-1653.6812755102042</v>
      </c>
      <c r="V18" s="560">
        <f t="shared" si="26"/>
        <v>3497504</v>
      </c>
      <c r="W18" s="560">
        <f>[3]MFP!DT19</f>
        <v>2891080</v>
      </c>
      <c r="X18" s="560">
        <f t="shared" si="27"/>
        <v>0</v>
      </c>
      <c r="Y18" s="560">
        <f>'[4]Table 4B Rewards'!G15</f>
        <v>25361.550000000003</v>
      </c>
      <c r="Z18" s="560">
        <f t="shared" si="28"/>
        <v>2916441.55</v>
      </c>
      <c r="AA18" s="1737">
        <f t="shared" si="29"/>
        <v>581062.45000000019</v>
      </c>
      <c r="AB18" s="1741">
        <f>('[5]Table 2A-2 EFT (Monthly)'!Z17+'[5]Table 2A-2 EFT (Monthly)Aug'!Z17+'[5]Table 2A-2 EFT (Monthly) sep'!Z17+'[5]Table 2A-2 EFT (Monthly)oct'!Z17+'[5]Table 2A-2 EFT (Monthly)oct'!Z17+'[5]Table 2A-2 EFT (Monthly)dec'!Z17+'[5]Table 2A-2 EFT (Monthly)jan'!Z17+'[5]Table 2A-2 EFT (Monthly)feb'!Z17+'[5]Table 2A-2 EFT (Monthly) mar'!Z17+'[5]Table 2A-2 EFT (Monthly)apr'!Z17)*-1</f>
        <v>0</v>
      </c>
      <c r="AC18" s="1741">
        <f>('[5]Table 2A-2 EFT (Monthly)'!AA17+'[5]Table 2A-2 EFT (Monthly)Aug'!AA17+'[5]Table 2A-2 EFT (Monthly) sep'!AA17+'[5]Table 2A-2 EFT (Monthly)oct'!AA17+'[5]Table 2A-2 EFT (Monthly)oct'!AA17+'[5]Table 2A-2 EFT (Monthly)dec'!AA17+'[5]Table 2A-2 EFT (Monthly)jan'!AA17+'[5]Table 2A-2 EFT (Monthly)feb'!AA17+'[5]Table 2A-2 EFT (Monthly) mar'!AA17+'[5]Table 2A-2 EFT (Monthly)apr'!AA17)*-1</f>
        <v>0</v>
      </c>
      <c r="AD18" s="1741">
        <f>('[5]Table 2A-2 EFT (Monthly)'!AB17+'[5]Table 2A-2 EFT (Monthly)Aug'!AB17+'[5]Table 2A-2 EFT (Monthly) sep'!AB17+'[5]Table 2A-2 EFT (Monthly)oct'!AB17+'[5]Table 2A-2 EFT (Monthly)oct'!AB17+'[5]Table 2A-2 EFT (Monthly)dec'!AB17+'[5]Table 2A-2 EFT (Monthly)jan'!AB17+'[5]Table 2A-2 EFT (Monthly)feb'!AB17+'[5]Table 2A-2 EFT (Monthly) mar'!AB17+'[5]Table 2A-2 EFT (Monthly)apr'!AB17)*-1</f>
        <v>1560</v>
      </c>
      <c r="AE18" s="1741">
        <f>('[5]Table 2A-2 EFT (Monthly)'!AC17+'[5]Table 2A-2 EFT (Monthly)Aug'!AC17+'[5]Table 2A-2 EFT (Monthly) sep'!AC17+'[5]Table 2A-2 EFT (Monthly)oct'!AC17+'[5]Table 2A-2 EFT (Monthly)oct'!AC17+'[5]Table 2A-2 EFT (Monthly)dec'!AC17+'[5]Table 2A-2 EFT (Monthly)jan'!AC17+'[5]Table 2A-2 EFT (Monthly)feb'!AC17+'[5]Table 2A-2 EFT (Monthly) mar'!AC17+'[5]Table 2A-2 EFT (Monthly)apr'!AC17)*-1</f>
        <v>0</v>
      </c>
      <c r="AF18" s="1741">
        <f>('[5]Table 2A-2 EFT (Monthly)'!Q17+'[5]Table 2A-2 EFT (Monthly)Aug'!Q17+'[5]Table 2A-2 EFT (Monthly) sep'!Q17+'[5]Table 2A-2 EFT (Monthly)oct'!Q17+'[5]Table 2A-2 EFT (Monthly)oct'!Q17+'[5]Table 2A-2 EFT (Monthly)dec'!Q17+'[5]Table 2A-2 EFT (Monthly)jan'!Q17+'[5]Table 2A-2 EFT (Monthly)feb'!Q17+'[5]Table 2A-2 EFT (Monthly) mar'!Q17+'[5]Table 2A-2 EFT (Monthly)apr'!Q17+'[5]Table 2A-2 EFT (Monthly)'!AT17+'[5]Table 2A-2 EFT (Monthly) mar'!AT17)*-1</f>
        <v>0</v>
      </c>
      <c r="AG18" s="1741">
        <f>('[5]Table 2A-2 EFT (Monthly)'!R17+'[5]Table 2A-2 EFT (Monthly)Aug'!R17+'[5]Table 2A-2 EFT (Monthly) sep'!R17+'[5]Table 2A-2 EFT (Monthly)oct'!R17+'[5]Table 2A-2 EFT (Monthly)oct'!R17+'[5]Table 2A-2 EFT (Monthly)dec'!R17+'[5]Table 2A-2 EFT (Monthly)jan'!R17+'[5]Table 2A-2 EFT (Monthly)feb'!R17+'[5]Table 2A-2 EFT (Monthly) mar'!R17+'[5]Table 2A-2 EFT (Monthly)apr'!R17+'[5]Table 2A-2 EFT (Monthly)'!AU17+'[5]Table 2A-2 EFT (Monthly) mar'!AU17)*-1</f>
        <v>0</v>
      </c>
      <c r="AH18" s="1741">
        <f>('[5]Table 2A-2 EFT (Monthly)'!S17+'[5]Table 2A-2 EFT (Monthly)Aug'!S17+'[5]Table 2A-2 EFT (Monthly) sep'!S17+'[5]Table 2A-2 EFT (Monthly)oct'!S17+'[5]Table 2A-2 EFT (Monthly)oct'!S17+'[5]Table 2A-2 EFT (Monthly)dec'!S17+'[5]Table 2A-2 EFT (Monthly)jan'!S17+'[5]Table 2A-2 EFT (Monthly)feb'!S17+'[5]Table 2A-2 EFT (Monthly) mar'!S17+'[5]Table 2A-2 EFT (Monthly)apr'!S17+'[5]Table 2A-2 EFT (Monthly)'!AV17+'[5]Table 2A-2 EFT (Monthly) mar'!AV17)*-1</f>
        <v>0</v>
      </c>
      <c r="AI18" s="1741">
        <f>('[5]Table 2A-2 EFT (Monthly)'!T17+'[5]Table 2A-2 EFT (Monthly)Aug'!T17+'[5]Table 2A-2 EFT (Monthly) sep'!T17+'[5]Table 2A-2 EFT (Monthly)oct'!T17+'[5]Table 2A-2 EFT (Monthly)oct'!T17+'[5]Table 2A-2 EFT (Monthly)dec'!T17+'[5]Table 2A-2 EFT (Monthly)jan'!T17+'[5]Table 2A-2 EFT (Monthly)feb'!T17+'[5]Table 2A-2 EFT (Monthly) mar'!T17+'[5]Table 2A-2 EFT (Monthly)apr'!T17+'[5]Table 2A-2 EFT (Monthly)'!AW17+'[5]Table 2A-2 EFT (Monthly) mar'!AW17)*-1</f>
        <v>0</v>
      </c>
      <c r="AJ18" s="1741">
        <f>('[5]Table 2A-2 EFT (Monthly)'!U17+'[5]Table 2A-2 EFT (Monthly)Aug'!U17+'[5]Table 2A-2 EFT (Monthly) sep'!U17+'[5]Table 2A-2 EFT (Monthly)oct'!U17+'[5]Table 2A-2 EFT (Monthly)oct'!U17+'[5]Table 2A-2 EFT (Monthly)dec'!U17+'[5]Table 2A-2 EFT (Monthly)jan'!U17+'[5]Table 2A-2 EFT (Monthly)feb'!U17+'[5]Table 2A-2 EFT (Monthly) mar'!U17+'[5]Table 2A-2 EFT (Monthly)apr'!U17+'[5]Table 2A-2 EFT (Monthly)'!AX17+'[5]Table 2A-2 EFT (Monthly) mar'!AX17)*-1</f>
        <v>0</v>
      </c>
      <c r="AK18" s="1741">
        <f>('[5]Table 2A-2 EFT (Monthly)'!V17+'[5]Table 2A-2 EFT (Monthly)Aug'!V17+'[5]Table 2A-2 EFT (Monthly) sep'!V17+'[5]Table 2A-2 EFT (Monthly)oct'!V17+'[5]Table 2A-2 EFT (Monthly)oct'!V17+'[5]Table 2A-2 EFT (Monthly)dec'!V17+'[5]Table 2A-2 EFT (Monthly)jan'!V17+'[5]Table 2A-2 EFT (Monthly)feb'!V17+'[5]Table 2A-2 EFT (Monthly) mar'!V17+'[5]Table 2A-2 EFT (Monthly)apr'!V17+'[5]Table 2A-2 EFT (Monthly)'!AY17+'[5]Table 2A-2 EFT (Monthly) mar'!AY17)*-1</f>
        <v>0</v>
      </c>
      <c r="AL18" s="1741">
        <f>('[5]Table 2A-2 EFT (Monthly)'!W17+'[5]Table 2A-2 EFT (Monthly)Aug'!W17+'[5]Table 2A-2 EFT (Monthly) sep'!W17+'[5]Table 2A-2 EFT (Monthly)oct'!W17+'[5]Table 2A-2 EFT (Monthly)oct'!W17+'[5]Table 2A-2 EFT (Monthly)dec'!W17+'[5]Table 2A-2 EFT (Monthly)jan'!W17+'[5]Table 2A-2 EFT (Monthly)feb'!W17+'[5]Table 2A-2 EFT (Monthly) mar'!W17+'[5]Table 2A-2 EFT (Monthly)apr'!W17+'[5]Table 2A-2 EFT (Monthly)'!AZ17+'[5]Table 2A-2 EFT (Monthly) mar'!AZ17)*-1</f>
        <v>0</v>
      </c>
      <c r="AM18" s="1741">
        <f>('[5]Table 2A-2 EFT (Monthly)'!X17+'[5]Table 2A-2 EFT (Monthly)Aug'!X17+'[5]Table 2A-2 EFT (Monthly) sep'!X17+'[5]Table 2A-2 EFT (Monthly)oct'!X17+'[5]Table 2A-2 EFT (Monthly)oct'!X17+'[5]Table 2A-2 EFT (Monthly)dec'!X17+'[5]Table 2A-2 EFT (Monthly)jan'!X17+'[5]Table 2A-2 EFT (Monthly)feb'!X17+'[5]Table 2A-2 EFT (Monthly) mar'!X17+'[5]Table 2A-2 EFT (Monthly)apr'!X17+'[5]Table 2A-2 EFT (Monthly)'!BA17+'[5]Table 2A-2 EFT (Monthly) mar'!BA17)*-1</f>
        <v>0</v>
      </c>
      <c r="AN18" s="1741">
        <f>('[5]Table 2A-2 EFT (Monthly) sep'!AD17+'[5]Table 2A-2 EFT (Monthly)dec'!AD17+'[5]Table 2A-2 EFT (Monthly)feb'!AD17)*-1</f>
        <v>0</v>
      </c>
      <c r="AO18" s="1741">
        <f t="shared" si="30"/>
        <v>1560</v>
      </c>
      <c r="AP18" s="560">
        <f t="shared" si="31"/>
        <v>582622.45000000019</v>
      </c>
      <c r="AQ18" s="309">
        <f t="shared" si="32"/>
        <v>291311</v>
      </c>
      <c r="AR18" s="309">
        <f>'Table 4A Stipends'!G15</f>
        <v>0</v>
      </c>
      <c r="AS18" s="309">
        <f t="shared" si="20"/>
        <v>3497504</v>
      </c>
      <c r="AU18" s="1339">
        <f>('Table 8 2.1.12 MFP Funded'!G15*'Table 3 Levels 1&amp;2'!AP19)+'Table 2_State with Midyear Adjs'!F18</f>
        <v>3508776.4746711692</v>
      </c>
      <c r="AV18" s="959">
        <f t="shared" si="21"/>
        <v>-11272.474671169184</v>
      </c>
      <c r="AW18" s="280">
        <f t="shared" si="33"/>
        <v>-3.2126511199963522E-3</v>
      </c>
    </row>
    <row r="19" spans="1:50">
      <c r="A19" s="101">
        <v>13</v>
      </c>
      <c r="B19" s="299" t="s">
        <v>114</v>
      </c>
      <c r="C19" s="309">
        <f>'Table 3 Levels 1&amp;2'!AO20</f>
        <v>10469553.206120001</v>
      </c>
      <c r="D19" s="354">
        <f>'[2]Adjusted Amounts'!$C19</f>
        <v>0</v>
      </c>
      <c r="E19" s="354">
        <f>'[2]Adjusted Amounts'!$H19</f>
        <v>0</v>
      </c>
      <c r="F19" s="354">
        <f t="shared" si="22"/>
        <v>0</v>
      </c>
      <c r="G19" s="309">
        <f t="shared" si="19"/>
        <v>0</v>
      </c>
      <c r="H19" s="354">
        <f t="shared" si="23"/>
        <v>0</v>
      </c>
      <c r="I19" s="354">
        <f>'[1]Midyear Adjustment Summary'!C17+'[1]Oct midyear Madison Prep'!K19+'[1]Oct midyear DArbonne'!K19+'[1]Oct midyear Intl_VIBE '!K19+'[1]Oct midyear NOMMA'!K19+'[1]Oct midyear LFNO'!K19+'[1]Oct midyear Lake Charles Chtr'!K19+'[1]Oct midyear LA Virtual Admy'!K16+'[1]Oct midyear LA Connections'!K16</f>
        <v>-133033.76384267019</v>
      </c>
      <c r="J19" s="354">
        <f>'[1]Midyear Adjustment Summary'!D17+'[1]Feb midyear Madison Prep'!K19+'[1]Feb midyear DArbonne'!K19+'[1]Feb midyear Intl_VIBE '!K19+'[1]Feb midyear NOMMA'!K19+'[1]Feb midyear LFNO '!K19+'[1]Feb midyear Lake Charles Ch'!K19+'[1]Feb midyear LA Virtual Admy'!K16+'[1]Feb midyear LA Connections'!K16</f>
        <v>55488.176110543776</v>
      </c>
      <c r="K19" s="354">
        <f t="shared" si="24"/>
        <v>-77545.587732126412</v>
      </c>
      <c r="L19" s="354"/>
      <c r="M19" s="354">
        <f>-'Table 5C1A-Madison Prep'!L19</f>
        <v>0</v>
      </c>
      <c r="N19" s="354">
        <f>-'Table 5C1B-DArbonne'!L19</f>
        <v>0</v>
      </c>
      <c r="O19" s="354">
        <f>-'Table 5C1C-Intl_VIBE'!L19</f>
        <v>0</v>
      </c>
      <c r="P19" s="354">
        <f>-'Table 5C1D-NOMMA'!L19</f>
        <v>0</v>
      </c>
      <c r="Q19" s="354">
        <f>-'Table 5C1E-LFNO'!L19</f>
        <v>0</v>
      </c>
      <c r="R19" s="354">
        <f>-'Table 5C1F-Lake Charles Charter'!L19</f>
        <v>0</v>
      </c>
      <c r="S19" s="314">
        <f>-'Table 5C2 - LA Virtual Admy'!M17-'Table 5C2 - LA Virtual Admy'!I17</f>
        <v>-65722.576864747869</v>
      </c>
      <c r="T19" s="314">
        <f>-'Table 5C3 - LA Connections EBR'!M17-'Table 5C3 - LA Connections EBR'!I17</f>
        <v>-24784.520130867677</v>
      </c>
      <c r="U19" s="1692">
        <f t="shared" si="25"/>
        <v>-90507.096995615546</v>
      </c>
      <c r="V19" s="560">
        <f t="shared" si="26"/>
        <v>10301501</v>
      </c>
      <c r="W19" s="560">
        <f>[3]MFP!DT20</f>
        <v>8592444</v>
      </c>
      <c r="X19" s="560">
        <f t="shared" si="27"/>
        <v>0</v>
      </c>
      <c r="Y19" s="560">
        <f>'[4]Table 4B Rewards'!G16</f>
        <v>25361.550000000003</v>
      </c>
      <c r="Z19" s="560">
        <f t="shared" si="28"/>
        <v>8617805.5500000007</v>
      </c>
      <c r="AA19" s="1737">
        <f t="shared" si="29"/>
        <v>1683695.4499999993</v>
      </c>
      <c r="AB19" s="1741">
        <f>('[5]Table 2A-2 EFT (Monthly)'!Z18+'[5]Table 2A-2 EFT (Monthly)Aug'!Z18+'[5]Table 2A-2 EFT (Monthly) sep'!Z18+'[5]Table 2A-2 EFT (Monthly)oct'!Z18+'[5]Table 2A-2 EFT (Monthly)oct'!Z18+'[5]Table 2A-2 EFT (Monthly)dec'!Z18+'[5]Table 2A-2 EFT (Monthly)jan'!Z18+'[5]Table 2A-2 EFT (Monthly)feb'!Z18+'[5]Table 2A-2 EFT (Monthly) mar'!Z18+'[5]Table 2A-2 EFT (Monthly)apr'!Z18)*-1</f>
        <v>0</v>
      </c>
      <c r="AC19" s="1741">
        <f>('[5]Table 2A-2 EFT (Monthly)'!AA18+'[5]Table 2A-2 EFT (Monthly)Aug'!AA18+'[5]Table 2A-2 EFT (Monthly) sep'!AA18+'[5]Table 2A-2 EFT (Monthly)oct'!AA18+'[5]Table 2A-2 EFT (Monthly)oct'!AA18+'[5]Table 2A-2 EFT (Monthly)dec'!AA18+'[5]Table 2A-2 EFT (Monthly)jan'!AA18+'[5]Table 2A-2 EFT (Monthly)feb'!AA18+'[5]Table 2A-2 EFT (Monthly) mar'!AA18+'[5]Table 2A-2 EFT (Monthly)apr'!AA18)*-1</f>
        <v>0</v>
      </c>
      <c r="AD19" s="1741">
        <f>('[5]Table 2A-2 EFT (Monthly)'!AB18+'[5]Table 2A-2 EFT (Monthly)Aug'!AB18+'[5]Table 2A-2 EFT (Monthly) sep'!AB18+'[5]Table 2A-2 EFT (Monthly)oct'!AB18+'[5]Table 2A-2 EFT (Monthly)oct'!AB18+'[5]Table 2A-2 EFT (Monthly)dec'!AB18+'[5]Table 2A-2 EFT (Monthly)jan'!AB18+'[5]Table 2A-2 EFT (Monthly)feb'!AB18+'[5]Table 2A-2 EFT (Monthly) mar'!AB18+'[5]Table 2A-2 EFT (Monthly)apr'!AB18)*-1</f>
        <v>0</v>
      </c>
      <c r="AE19" s="1741">
        <f>('[5]Table 2A-2 EFT (Monthly)'!AC18+'[5]Table 2A-2 EFT (Monthly)Aug'!AC18+'[5]Table 2A-2 EFT (Monthly) sep'!AC18+'[5]Table 2A-2 EFT (Monthly)oct'!AC18+'[5]Table 2A-2 EFT (Monthly)oct'!AC18+'[5]Table 2A-2 EFT (Monthly)dec'!AC18+'[5]Table 2A-2 EFT (Monthly)jan'!AC18+'[5]Table 2A-2 EFT (Monthly)feb'!AC18+'[5]Table 2A-2 EFT (Monthly) mar'!AC18+'[5]Table 2A-2 EFT (Monthly)apr'!AC18)*-1</f>
        <v>1228</v>
      </c>
      <c r="AF19" s="1741">
        <f>('[5]Table 2A-2 EFT (Monthly)'!Q18+'[5]Table 2A-2 EFT (Monthly)Aug'!Q18+'[5]Table 2A-2 EFT (Monthly) sep'!Q18+'[5]Table 2A-2 EFT (Monthly)oct'!Q18+'[5]Table 2A-2 EFT (Monthly)oct'!Q18+'[5]Table 2A-2 EFT (Monthly)dec'!Q18+'[5]Table 2A-2 EFT (Monthly)jan'!Q18+'[5]Table 2A-2 EFT (Monthly)feb'!Q18+'[5]Table 2A-2 EFT (Monthly) mar'!Q18+'[5]Table 2A-2 EFT (Monthly)apr'!Q18+'[5]Table 2A-2 EFT (Monthly)'!AT18+'[5]Table 2A-2 EFT (Monthly) mar'!AT18)*-1</f>
        <v>0</v>
      </c>
      <c r="AG19" s="1741">
        <f>('[5]Table 2A-2 EFT (Monthly)'!R18+'[5]Table 2A-2 EFT (Monthly)Aug'!R18+'[5]Table 2A-2 EFT (Monthly) sep'!R18+'[5]Table 2A-2 EFT (Monthly)oct'!R18+'[5]Table 2A-2 EFT (Monthly)oct'!R18+'[5]Table 2A-2 EFT (Monthly)dec'!R18+'[5]Table 2A-2 EFT (Monthly)jan'!R18+'[5]Table 2A-2 EFT (Monthly)feb'!R18+'[5]Table 2A-2 EFT (Monthly) mar'!R18+'[5]Table 2A-2 EFT (Monthly)apr'!R18+'[5]Table 2A-2 EFT (Monthly)'!AU18+'[5]Table 2A-2 EFT (Monthly) mar'!AU18)*-1</f>
        <v>0</v>
      </c>
      <c r="AH19" s="1741">
        <f>('[5]Table 2A-2 EFT (Monthly)'!S18+'[5]Table 2A-2 EFT (Monthly)Aug'!S18+'[5]Table 2A-2 EFT (Monthly) sep'!S18+'[5]Table 2A-2 EFT (Monthly)oct'!S18+'[5]Table 2A-2 EFT (Monthly)oct'!S18+'[5]Table 2A-2 EFT (Monthly)dec'!S18+'[5]Table 2A-2 EFT (Monthly)jan'!S18+'[5]Table 2A-2 EFT (Monthly)feb'!S18+'[5]Table 2A-2 EFT (Monthly) mar'!S18+'[5]Table 2A-2 EFT (Monthly)apr'!S18+'[5]Table 2A-2 EFT (Monthly)'!AV18+'[5]Table 2A-2 EFT (Monthly) mar'!AV18)*-1</f>
        <v>0</v>
      </c>
      <c r="AI19" s="1741">
        <f>('[5]Table 2A-2 EFT (Monthly)'!T18+'[5]Table 2A-2 EFT (Monthly)Aug'!T18+'[5]Table 2A-2 EFT (Monthly) sep'!T18+'[5]Table 2A-2 EFT (Monthly)oct'!T18+'[5]Table 2A-2 EFT (Monthly)oct'!T18+'[5]Table 2A-2 EFT (Monthly)dec'!T18+'[5]Table 2A-2 EFT (Monthly)jan'!T18+'[5]Table 2A-2 EFT (Monthly)feb'!T18+'[5]Table 2A-2 EFT (Monthly) mar'!T18+'[5]Table 2A-2 EFT (Monthly)apr'!T18+'[5]Table 2A-2 EFT (Monthly)'!AW18+'[5]Table 2A-2 EFT (Monthly) mar'!AW18)*-1</f>
        <v>0</v>
      </c>
      <c r="AJ19" s="1741">
        <f>('[5]Table 2A-2 EFT (Monthly)'!U18+'[5]Table 2A-2 EFT (Monthly)Aug'!U18+'[5]Table 2A-2 EFT (Monthly) sep'!U18+'[5]Table 2A-2 EFT (Monthly)oct'!U18+'[5]Table 2A-2 EFT (Monthly)oct'!U18+'[5]Table 2A-2 EFT (Monthly)dec'!U18+'[5]Table 2A-2 EFT (Monthly)jan'!U18+'[5]Table 2A-2 EFT (Monthly)feb'!U18+'[5]Table 2A-2 EFT (Monthly) mar'!U18+'[5]Table 2A-2 EFT (Monthly)apr'!U18+'[5]Table 2A-2 EFT (Monthly)'!AX18+'[5]Table 2A-2 EFT (Monthly) mar'!AX18)*-1</f>
        <v>0</v>
      </c>
      <c r="AK19" s="1741">
        <f>('[5]Table 2A-2 EFT (Monthly)'!V18+'[5]Table 2A-2 EFT (Monthly)Aug'!V18+'[5]Table 2A-2 EFT (Monthly) sep'!V18+'[5]Table 2A-2 EFT (Monthly)oct'!V18+'[5]Table 2A-2 EFT (Monthly)oct'!V18+'[5]Table 2A-2 EFT (Monthly)dec'!V18+'[5]Table 2A-2 EFT (Monthly)jan'!V18+'[5]Table 2A-2 EFT (Monthly)feb'!V18+'[5]Table 2A-2 EFT (Monthly) mar'!V18+'[5]Table 2A-2 EFT (Monthly)apr'!V18+'[5]Table 2A-2 EFT (Monthly)'!AY18+'[5]Table 2A-2 EFT (Monthly) mar'!AY18)*-1</f>
        <v>0</v>
      </c>
      <c r="AL19" s="1741">
        <f>('[5]Table 2A-2 EFT (Monthly)'!W18+'[5]Table 2A-2 EFT (Monthly)Aug'!W18+'[5]Table 2A-2 EFT (Monthly) sep'!W18+'[5]Table 2A-2 EFT (Monthly)oct'!W18+'[5]Table 2A-2 EFT (Monthly)oct'!W18+'[5]Table 2A-2 EFT (Monthly)dec'!W18+'[5]Table 2A-2 EFT (Monthly)jan'!W18+'[5]Table 2A-2 EFT (Monthly)feb'!W18+'[5]Table 2A-2 EFT (Monthly) mar'!W18+'[5]Table 2A-2 EFT (Monthly)apr'!W18+'[5]Table 2A-2 EFT (Monthly)'!AZ18+'[5]Table 2A-2 EFT (Monthly) mar'!AZ18)*-1</f>
        <v>0</v>
      </c>
      <c r="AM19" s="1741">
        <f>('[5]Table 2A-2 EFT (Monthly)'!X18+'[5]Table 2A-2 EFT (Monthly)Aug'!X18+'[5]Table 2A-2 EFT (Monthly) sep'!X18+'[5]Table 2A-2 EFT (Monthly)oct'!X18+'[5]Table 2A-2 EFT (Monthly)oct'!X18+'[5]Table 2A-2 EFT (Monthly)dec'!X18+'[5]Table 2A-2 EFT (Monthly)jan'!X18+'[5]Table 2A-2 EFT (Monthly)feb'!X18+'[5]Table 2A-2 EFT (Monthly) mar'!X18+'[5]Table 2A-2 EFT (Monthly)apr'!X18+'[5]Table 2A-2 EFT (Monthly)'!BA18+'[5]Table 2A-2 EFT (Monthly) mar'!BA18)*-1</f>
        <v>0</v>
      </c>
      <c r="AN19" s="1741">
        <f>('[5]Table 2A-2 EFT (Monthly) sep'!AD18+'[5]Table 2A-2 EFT (Monthly)dec'!AD18+'[5]Table 2A-2 EFT (Monthly)feb'!AD18)*-1</f>
        <v>0</v>
      </c>
      <c r="AO19" s="1741">
        <f t="shared" si="30"/>
        <v>1228</v>
      </c>
      <c r="AP19" s="560">
        <f t="shared" si="31"/>
        <v>1684923.4499999993</v>
      </c>
      <c r="AQ19" s="309">
        <f t="shared" si="32"/>
        <v>842462</v>
      </c>
      <c r="AR19" s="309">
        <f>'Table 4A Stipends'!G16</f>
        <v>0</v>
      </c>
      <c r="AS19" s="309">
        <f t="shared" si="20"/>
        <v>10301501</v>
      </c>
      <c r="AU19" s="1339">
        <f>('Table 8 2.1.12 MFP Funded'!G16*'Table 3 Levels 1&amp;2'!AP20)+'Table 2_State with Midyear Adjs'!F19</f>
        <v>10393736.823455539</v>
      </c>
      <c r="AV19" s="959">
        <f t="shared" si="21"/>
        <v>-92235.823455538601</v>
      </c>
      <c r="AW19" s="280">
        <f t="shared" si="33"/>
        <v>-8.8741734587112191E-3</v>
      </c>
    </row>
    <row r="20" spans="1:50">
      <c r="A20" s="101">
        <v>14</v>
      </c>
      <c r="B20" s="299" t="s">
        <v>115</v>
      </c>
      <c r="C20" s="309">
        <f>'Table 3 Levels 1&amp;2'!AO21</f>
        <v>11971461.13696</v>
      </c>
      <c r="D20" s="354">
        <f>'[2]Adjusted Amounts'!$C20</f>
        <v>13358.977846083169</v>
      </c>
      <c r="E20" s="354">
        <f>'[2]Adjusted Amounts'!$H20</f>
        <v>-27128.370775164778</v>
      </c>
      <c r="F20" s="354">
        <f t="shared" si="22"/>
        <v>-13769.392929081609</v>
      </c>
      <c r="G20" s="309">
        <f t="shared" si="19"/>
        <v>0</v>
      </c>
      <c r="H20" s="354">
        <f t="shared" si="23"/>
        <v>-13769.392929081609</v>
      </c>
      <c r="I20" s="354">
        <f>'[1]Midyear Adjustment Summary'!C18+'[1]Oct midyear Madison Prep'!K20+'[1]Oct midyear DArbonne'!K20+'[1]Oct midyear Intl_VIBE '!K20+'[1]Oct midyear NOMMA'!K20+'[1]Oct midyear LFNO'!K20+'[1]Oct midyear Lake Charles Chtr'!K20+'[1]Oct midyear LA Virtual Admy'!K17+'[1]Oct midyear LA Connections'!K17</f>
        <v>-388273.34827730339</v>
      </c>
      <c r="J20" s="354">
        <f>'[1]Midyear Adjustment Summary'!D18+'[1]Feb midyear Madison Prep'!K20+'[1]Feb midyear DArbonne'!K20+'[1]Feb midyear Intl_VIBE '!K20+'[1]Feb midyear NOMMA'!K20+'[1]Feb midyear LFNO '!K20+'[1]Feb midyear Lake Charles Ch'!K20+'[1]Feb midyear LA Virtual Admy'!K17+'[1]Feb midyear LA Connections'!K17</f>
        <v>-75514.580334247192</v>
      </c>
      <c r="K20" s="354">
        <f t="shared" si="24"/>
        <v>-463787.9286115506</v>
      </c>
      <c r="L20" s="354"/>
      <c r="M20" s="354">
        <f>-'Table 5C1A-Madison Prep'!L20</f>
        <v>0</v>
      </c>
      <c r="N20" s="354">
        <f>-'Table 5C1B-DArbonne'!L20</f>
        <v>-9171.8113766292136</v>
      </c>
      <c r="O20" s="354">
        <f>-'Table 5C1C-Intl_VIBE'!L20</f>
        <v>0</v>
      </c>
      <c r="P20" s="354">
        <f>-'Table 5C1D-NOMMA'!L20</f>
        <v>0</v>
      </c>
      <c r="Q20" s="354">
        <f>-'Table 5C1E-LFNO'!L20</f>
        <v>0</v>
      </c>
      <c r="R20" s="354">
        <f>-'Table 5C1F-Lake Charles Charter'!L20</f>
        <v>0</v>
      </c>
      <c r="S20" s="314">
        <f>-'Table 5C2 - LA Virtual Admy'!M18-'Table 5C2 - LA Virtual Admy'!I18</f>
        <v>-9845.9985142921341</v>
      </c>
      <c r="T20" s="314">
        <f>-'Table 5C3 - LA Connections EBR'!M18-'Table 5C3 - LA Connections EBR'!I18</f>
        <v>-69750.234554157301</v>
      </c>
      <c r="U20" s="1692">
        <f t="shared" si="25"/>
        <v>-88768.044445078645</v>
      </c>
      <c r="V20" s="560">
        <f t="shared" si="26"/>
        <v>11405136</v>
      </c>
      <c r="W20" s="560">
        <f>[3]MFP!DT21</f>
        <v>9619690</v>
      </c>
      <c r="X20" s="560">
        <f t="shared" si="27"/>
        <v>0</v>
      </c>
      <c r="Y20" s="560">
        <f>'[4]Table 4B Rewards'!G17</f>
        <v>16907.7</v>
      </c>
      <c r="Z20" s="560">
        <f t="shared" si="28"/>
        <v>9636597.6999999993</v>
      </c>
      <c r="AA20" s="1737">
        <f t="shared" si="29"/>
        <v>1768538.3000000007</v>
      </c>
      <c r="AB20" s="1741">
        <f>('[5]Table 2A-2 EFT (Monthly)'!Z19+'[5]Table 2A-2 EFT (Monthly)Aug'!Z19+'[5]Table 2A-2 EFT (Monthly) sep'!Z19+'[5]Table 2A-2 EFT (Monthly)oct'!Z19+'[5]Table 2A-2 EFT (Monthly)oct'!Z19+'[5]Table 2A-2 EFT (Monthly)dec'!Z19+'[5]Table 2A-2 EFT (Monthly)jan'!Z19+'[5]Table 2A-2 EFT (Monthly)feb'!Z19+'[5]Table 2A-2 EFT (Monthly) mar'!Z19+'[5]Table 2A-2 EFT (Monthly)apr'!Z19)*-1</f>
        <v>1272</v>
      </c>
      <c r="AC20" s="1741">
        <f>('[5]Table 2A-2 EFT (Monthly)'!AA19+'[5]Table 2A-2 EFT (Monthly)Aug'!AA19+'[5]Table 2A-2 EFT (Monthly) sep'!AA19+'[5]Table 2A-2 EFT (Monthly)oct'!AA19+'[5]Table 2A-2 EFT (Monthly)oct'!AA19+'[5]Table 2A-2 EFT (Monthly)dec'!AA19+'[5]Table 2A-2 EFT (Monthly)jan'!AA19+'[5]Table 2A-2 EFT (Monthly)feb'!AA19+'[5]Table 2A-2 EFT (Monthly) mar'!AA19+'[5]Table 2A-2 EFT (Monthly)apr'!AA19)*-1</f>
        <v>0</v>
      </c>
      <c r="AD20" s="1741">
        <f>('[5]Table 2A-2 EFT (Monthly)'!AB19+'[5]Table 2A-2 EFT (Monthly)Aug'!AB19+'[5]Table 2A-2 EFT (Monthly) sep'!AB19+'[5]Table 2A-2 EFT (Monthly)oct'!AB19+'[5]Table 2A-2 EFT (Monthly)oct'!AB19+'[5]Table 2A-2 EFT (Monthly)dec'!AB19+'[5]Table 2A-2 EFT (Monthly)jan'!AB19+'[5]Table 2A-2 EFT (Monthly)feb'!AB19+'[5]Table 2A-2 EFT (Monthly) mar'!AB19+'[5]Table 2A-2 EFT (Monthly)apr'!AB19)*-1</f>
        <v>0</v>
      </c>
      <c r="AE20" s="1741">
        <f>('[5]Table 2A-2 EFT (Monthly)'!AC19+'[5]Table 2A-2 EFT (Monthly)Aug'!AC19+'[5]Table 2A-2 EFT (Monthly) sep'!AC19+'[5]Table 2A-2 EFT (Monthly)oct'!AC19+'[5]Table 2A-2 EFT (Monthly)oct'!AC19+'[5]Table 2A-2 EFT (Monthly)dec'!AC19+'[5]Table 2A-2 EFT (Monthly)jan'!AC19+'[5]Table 2A-2 EFT (Monthly)feb'!AC19+'[5]Table 2A-2 EFT (Monthly) mar'!AC19+'[5]Table 2A-2 EFT (Monthly)apr'!AC19)*-1</f>
        <v>880</v>
      </c>
      <c r="AF20" s="1741">
        <f>('[5]Table 2A-2 EFT (Monthly)'!Q19+'[5]Table 2A-2 EFT (Monthly)Aug'!Q19+'[5]Table 2A-2 EFT (Monthly) sep'!Q19+'[5]Table 2A-2 EFT (Monthly)oct'!Q19+'[5]Table 2A-2 EFT (Monthly)oct'!Q19+'[5]Table 2A-2 EFT (Monthly)dec'!Q19+'[5]Table 2A-2 EFT (Monthly)jan'!Q19+'[5]Table 2A-2 EFT (Monthly)feb'!Q19+'[5]Table 2A-2 EFT (Monthly) mar'!Q19+'[5]Table 2A-2 EFT (Monthly)apr'!Q19+'[5]Table 2A-2 EFT (Monthly)'!AT19+'[5]Table 2A-2 EFT (Monthly) mar'!AT19)*-1</f>
        <v>0</v>
      </c>
      <c r="AG20" s="1741">
        <f>('[5]Table 2A-2 EFT (Monthly)'!R19+'[5]Table 2A-2 EFT (Monthly)Aug'!R19+'[5]Table 2A-2 EFT (Monthly) sep'!R19+'[5]Table 2A-2 EFT (Monthly)oct'!R19+'[5]Table 2A-2 EFT (Monthly)oct'!R19+'[5]Table 2A-2 EFT (Monthly)dec'!R19+'[5]Table 2A-2 EFT (Monthly)jan'!R19+'[5]Table 2A-2 EFT (Monthly)feb'!R19+'[5]Table 2A-2 EFT (Monthly) mar'!R19+'[5]Table 2A-2 EFT (Monthly)apr'!R19+'[5]Table 2A-2 EFT (Monthly)'!AU19+'[5]Table 2A-2 EFT (Monthly) mar'!AU19)*-1</f>
        <v>0</v>
      </c>
      <c r="AH20" s="1741">
        <f>('[5]Table 2A-2 EFT (Monthly)'!S19+'[5]Table 2A-2 EFT (Monthly)Aug'!S19+'[5]Table 2A-2 EFT (Monthly) sep'!S19+'[5]Table 2A-2 EFT (Monthly)oct'!S19+'[5]Table 2A-2 EFT (Monthly)oct'!S19+'[5]Table 2A-2 EFT (Monthly)dec'!S19+'[5]Table 2A-2 EFT (Monthly)jan'!S19+'[5]Table 2A-2 EFT (Monthly)feb'!S19+'[5]Table 2A-2 EFT (Monthly) mar'!S19+'[5]Table 2A-2 EFT (Monthly)apr'!S19+'[5]Table 2A-2 EFT (Monthly)'!AV19+'[5]Table 2A-2 EFT (Monthly) mar'!AV19)*-1</f>
        <v>0</v>
      </c>
      <c r="AI20" s="1741">
        <f>('[5]Table 2A-2 EFT (Monthly)'!T19+'[5]Table 2A-2 EFT (Monthly)Aug'!T19+'[5]Table 2A-2 EFT (Monthly) sep'!T19+'[5]Table 2A-2 EFT (Monthly)oct'!T19+'[5]Table 2A-2 EFT (Monthly)oct'!T19+'[5]Table 2A-2 EFT (Monthly)dec'!T19+'[5]Table 2A-2 EFT (Monthly)jan'!T19+'[5]Table 2A-2 EFT (Monthly)feb'!T19+'[5]Table 2A-2 EFT (Monthly) mar'!T19+'[5]Table 2A-2 EFT (Monthly)apr'!T19+'[5]Table 2A-2 EFT (Monthly)'!AW19+'[5]Table 2A-2 EFT (Monthly) mar'!AW19)*-1</f>
        <v>0</v>
      </c>
      <c r="AJ20" s="1741">
        <f>('[5]Table 2A-2 EFT (Monthly)'!U19+'[5]Table 2A-2 EFT (Monthly)Aug'!U19+'[5]Table 2A-2 EFT (Monthly) sep'!U19+'[5]Table 2A-2 EFT (Monthly)oct'!U19+'[5]Table 2A-2 EFT (Monthly)oct'!U19+'[5]Table 2A-2 EFT (Monthly)dec'!U19+'[5]Table 2A-2 EFT (Monthly)jan'!U19+'[5]Table 2A-2 EFT (Monthly)feb'!U19+'[5]Table 2A-2 EFT (Monthly) mar'!U19+'[5]Table 2A-2 EFT (Monthly)apr'!U19+'[5]Table 2A-2 EFT (Monthly)'!AX19+'[5]Table 2A-2 EFT (Monthly) mar'!AX19)*-1</f>
        <v>0</v>
      </c>
      <c r="AK20" s="1741">
        <f>('[5]Table 2A-2 EFT (Monthly)'!V19+'[5]Table 2A-2 EFT (Monthly)Aug'!V19+'[5]Table 2A-2 EFT (Monthly) sep'!V19+'[5]Table 2A-2 EFT (Monthly)oct'!V19+'[5]Table 2A-2 EFT (Monthly)oct'!V19+'[5]Table 2A-2 EFT (Monthly)dec'!V19+'[5]Table 2A-2 EFT (Monthly)jan'!V19+'[5]Table 2A-2 EFT (Monthly)feb'!V19+'[5]Table 2A-2 EFT (Monthly) mar'!V19+'[5]Table 2A-2 EFT (Monthly)apr'!V19+'[5]Table 2A-2 EFT (Monthly)'!AY19+'[5]Table 2A-2 EFT (Monthly) mar'!AY19)*-1</f>
        <v>0</v>
      </c>
      <c r="AL20" s="1741">
        <f>('[5]Table 2A-2 EFT (Monthly)'!W19+'[5]Table 2A-2 EFT (Monthly)Aug'!W19+'[5]Table 2A-2 EFT (Monthly) sep'!W19+'[5]Table 2A-2 EFT (Monthly)oct'!W19+'[5]Table 2A-2 EFT (Monthly)oct'!W19+'[5]Table 2A-2 EFT (Monthly)dec'!W19+'[5]Table 2A-2 EFT (Monthly)jan'!W19+'[5]Table 2A-2 EFT (Monthly)feb'!W19+'[5]Table 2A-2 EFT (Monthly) mar'!W19+'[5]Table 2A-2 EFT (Monthly)apr'!W19+'[5]Table 2A-2 EFT (Monthly)'!AZ19+'[5]Table 2A-2 EFT (Monthly) mar'!AZ19)*-1</f>
        <v>0</v>
      </c>
      <c r="AM20" s="1741">
        <f>('[5]Table 2A-2 EFT (Monthly)'!X19+'[5]Table 2A-2 EFT (Monthly)Aug'!X19+'[5]Table 2A-2 EFT (Monthly) sep'!X19+'[5]Table 2A-2 EFT (Monthly)oct'!X19+'[5]Table 2A-2 EFT (Monthly)oct'!X19+'[5]Table 2A-2 EFT (Monthly)dec'!X19+'[5]Table 2A-2 EFT (Monthly)jan'!X19+'[5]Table 2A-2 EFT (Monthly)feb'!X19+'[5]Table 2A-2 EFT (Monthly) mar'!X19+'[5]Table 2A-2 EFT (Monthly)apr'!X19+'[5]Table 2A-2 EFT (Monthly)'!BA19+'[5]Table 2A-2 EFT (Monthly) mar'!BA19)*-1</f>
        <v>0</v>
      </c>
      <c r="AN20" s="1741">
        <f>('[5]Table 2A-2 EFT (Monthly) sep'!AD19+'[5]Table 2A-2 EFT (Monthly)dec'!AD19+'[5]Table 2A-2 EFT (Monthly)feb'!AD19)*-1</f>
        <v>0</v>
      </c>
      <c r="AO20" s="1741">
        <f t="shared" si="30"/>
        <v>2152</v>
      </c>
      <c r="AP20" s="560">
        <f t="shared" si="31"/>
        <v>1770690.3000000007</v>
      </c>
      <c r="AQ20" s="309">
        <f t="shared" si="32"/>
        <v>885345</v>
      </c>
      <c r="AR20" s="309">
        <f>'Table 4A Stipends'!G17</f>
        <v>0</v>
      </c>
      <c r="AS20" s="309">
        <f t="shared" si="20"/>
        <v>11405136</v>
      </c>
      <c r="AU20" s="1339">
        <f>('Table 8 2.1.12 MFP Funded'!G17*'Table 3 Levels 1&amp;2'!AP21)+'Table 2_State with Midyear Adjs'!F20</f>
        <v>11878208.089904014</v>
      </c>
      <c r="AV20" s="959">
        <f t="shared" si="21"/>
        <v>-473072.08990401402</v>
      </c>
      <c r="AW20" s="280">
        <f t="shared" si="33"/>
        <v>-3.9826890245011431E-2</v>
      </c>
    </row>
    <row r="21" spans="1:50">
      <c r="A21" s="102">
        <v>15</v>
      </c>
      <c r="B21" s="300" t="s">
        <v>116</v>
      </c>
      <c r="C21" s="318">
        <f>'Table 3 Levels 1&amp;2'!AO22</f>
        <v>21741570.123552002</v>
      </c>
      <c r="D21" s="355">
        <f>'[2]Adjusted Amounts'!$C21</f>
        <v>0</v>
      </c>
      <c r="E21" s="355">
        <f>'[2]Adjusted Amounts'!$H21</f>
        <v>0</v>
      </c>
      <c r="F21" s="355">
        <f t="shared" si="22"/>
        <v>0</v>
      </c>
      <c r="G21" s="318">
        <f t="shared" si="19"/>
        <v>0</v>
      </c>
      <c r="H21" s="355">
        <f t="shared" si="23"/>
        <v>0</v>
      </c>
      <c r="I21" s="355">
        <f>'[1]Midyear Adjustment Summary'!C19+'[1]Oct midyear Madison Prep'!K21+'[1]Oct midyear DArbonne'!K21+'[1]Oct midyear Intl_VIBE '!K21+'[1]Oct midyear NOMMA'!K21+'[1]Oct midyear LFNO'!K21+'[1]Oct midyear Lake Charles Chtr'!K21+'[1]Oct midyear LA Virtual Admy'!K18+'[1]Oct midyear LA Connections'!K18</f>
        <v>113295.27307061838</v>
      </c>
      <c r="J21" s="355">
        <f>'[1]Midyear Adjustment Summary'!D19+'[1]Feb midyear Madison Prep'!K21+'[1]Feb midyear DArbonne'!K21+'[1]Feb midyear Intl_VIBE '!K21+'[1]Feb midyear NOMMA'!K21+'[1]Feb midyear LFNO '!K21+'[1]Feb midyear Lake Charles Ch'!K21+'[1]Feb midyear LA Virtual Admy'!K18+'[1]Feb midyear LA Connections'!K18</f>
        <v>-56947.359479940453</v>
      </c>
      <c r="K21" s="355">
        <f t="shared" si="24"/>
        <v>56347.913590677927</v>
      </c>
      <c r="L21" s="355"/>
      <c r="M21" s="355">
        <f>-'Table 5C1A-Madison Prep'!L21</f>
        <v>0</v>
      </c>
      <c r="N21" s="355">
        <f>-'Table 5C1B-DArbonne'!L21</f>
        <v>0</v>
      </c>
      <c r="O21" s="355">
        <f>-'Table 5C1C-Intl_VIBE'!L21</f>
        <v>0</v>
      </c>
      <c r="P21" s="355">
        <f>-'Table 5C1D-NOMMA'!L21</f>
        <v>0</v>
      </c>
      <c r="Q21" s="355">
        <f>-'Table 5C1E-LFNO'!L21</f>
        <v>0</v>
      </c>
      <c r="R21" s="355">
        <f>-'Table 5C1F-Lake Charles Charter'!L21</f>
        <v>0</v>
      </c>
      <c r="S21" s="321">
        <f>-'Table 5C2 - LA Virtual Admy'!M19-'Table 5C2 - LA Virtual Admy'!I19</f>
        <v>-29151.328573864022</v>
      </c>
      <c r="T21" s="321">
        <f>-'Table 5C3 - LA Connections EBR'!M19-'Table 5C3 - LA Connections EBR'!I19</f>
        <v>-11878.157785250622</v>
      </c>
      <c r="U21" s="321">
        <f t="shared" si="25"/>
        <v>-41029.486359114642</v>
      </c>
      <c r="V21" s="561">
        <f t="shared" si="26"/>
        <v>21756889</v>
      </c>
      <c r="W21" s="561">
        <f>[3]MFP!DT22</f>
        <v>18078202</v>
      </c>
      <c r="X21" s="561">
        <f t="shared" si="27"/>
        <v>6000</v>
      </c>
      <c r="Y21" s="561">
        <f>'[4]Table 4B Rewards'!G18</f>
        <v>33815.4</v>
      </c>
      <c r="Z21" s="561">
        <f t="shared" si="28"/>
        <v>18118017.399999999</v>
      </c>
      <c r="AA21" s="561">
        <f t="shared" si="29"/>
        <v>3638871.6000000015</v>
      </c>
      <c r="AB21" s="1742">
        <f>('[5]Table 2A-2 EFT (Monthly)'!Z20+'[5]Table 2A-2 EFT (Monthly)Aug'!Z20+'[5]Table 2A-2 EFT (Monthly) sep'!Z20+'[5]Table 2A-2 EFT (Monthly)oct'!Z20+'[5]Table 2A-2 EFT (Monthly)oct'!Z20+'[5]Table 2A-2 EFT (Monthly)dec'!Z20+'[5]Table 2A-2 EFT (Monthly)jan'!Z20+'[5]Table 2A-2 EFT (Monthly)feb'!Z20+'[5]Table 2A-2 EFT (Monthly) mar'!Z20+'[5]Table 2A-2 EFT (Monthly)apr'!Z20)*-1</f>
        <v>542</v>
      </c>
      <c r="AC21" s="1742">
        <f>('[5]Table 2A-2 EFT (Monthly)'!AA20+'[5]Table 2A-2 EFT (Monthly)Aug'!AA20+'[5]Table 2A-2 EFT (Monthly) sep'!AA20+'[5]Table 2A-2 EFT (Monthly)oct'!AA20+'[5]Table 2A-2 EFT (Monthly)oct'!AA20+'[5]Table 2A-2 EFT (Monthly)dec'!AA20+'[5]Table 2A-2 EFT (Monthly)jan'!AA20+'[5]Table 2A-2 EFT (Monthly)feb'!AA20+'[5]Table 2A-2 EFT (Monthly) mar'!AA20+'[5]Table 2A-2 EFT (Monthly)apr'!AA20)*-1</f>
        <v>0</v>
      </c>
      <c r="AD21" s="1742">
        <f>('[5]Table 2A-2 EFT (Monthly)'!AB20+'[5]Table 2A-2 EFT (Monthly)Aug'!AB20+'[5]Table 2A-2 EFT (Monthly) sep'!AB20+'[5]Table 2A-2 EFT (Monthly)oct'!AB20+'[5]Table 2A-2 EFT (Monthly)oct'!AB20+'[5]Table 2A-2 EFT (Monthly)dec'!AB20+'[5]Table 2A-2 EFT (Monthly)jan'!AB20+'[5]Table 2A-2 EFT (Monthly)feb'!AB20+'[5]Table 2A-2 EFT (Monthly) mar'!AB20+'[5]Table 2A-2 EFT (Monthly)apr'!AB20)*-1</f>
        <v>0</v>
      </c>
      <c r="AE21" s="1742">
        <f>('[5]Table 2A-2 EFT (Monthly)'!AC20+'[5]Table 2A-2 EFT (Monthly)Aug'!AC20+'[5]Table 2A-2 EFT (Monthly) sep'!AC20+'[5]Table 2A-2 EFT (Monthly)oct'!AC20+'[5]Table 2A-2 EFT (Monthly)oct'!AC20+'[5]Table 2A-2 EFT (Monthly)dec'!AC20+'[5]Table 2A-2 EFT (Monthly)jan'!AC20+'[5]Table 2A-2 EFT (Monthly)feb'!AC20+'[5]Table 2A-2 EFT (Monthly) mar'!AC20+'[5]Table 2A-2 EFT (Monthly)apr'!AC20)*-1</f>
        <v>1748</v>
      </c>
      <c r="AF21" s="1742">
        <f>('[5]Table 2A-2 EFT (Monthly)'!Q20+'[5]Table 2A-2 EFT (Monthly)Aug'!Q20+'[5]Table 2A-2 EFT (Monthly) sep'!Q20+'[5]Table 2A-2 EFT (Monthly)oct'!Q20+'[5]Table 2A-2 EFT (Monthly)oct'!Q20+'[5]Table 2A-2 EFT (Monthly)dec'!Q20+'[5]Table 2A-2 EFT (Monthly)jan'!Q20+'[5]Table 2A-2 EFT (Monthly)feb'!Q20+'[5]Table 2A-2 EFT (Monthly) mar'!Q20+'[5]Table 2A-2 EFT (Monthly)apr'!Q20+'[5]Table 2A-2 EFT (Monthly)'!AT20+'[5]Table 2A-2 EFT (Monthly) mar'!AT20)*-1</f>
        <v>0</v>
      </c>
      <c r="AG21" s="1742">
        <f>('[5]Table 2A-2 EFT (Monthly)'!R20+'[5]Table 2A-2 EFT (Monthly)Aug'!R20+'[5]Table 2A-2 EFT (Monthly) sep'!R20+'[5]Table 2A-2 EFT (Monthly)oct'!R20+'[5]Table 2A-2 EFT (Monthly)oct'!R20+'[5]Table 2A-2 EFT (Monthly)dec'!R20+'[5]Table 2A-2 EFT (Monthly)jan'!R20+'[5]Table 2A-2 EFT (Monthly)feb'!R20+'[5]Table 2A-2 EFT (Monthly) mar'!R20+'[5]Table 2A-2 EFT (Monthly)apr'!R20+'[5]Table 2A-2 EFT (Monthly)'!AU20+'[5]Table 2A-2 EFT (Monthly) mar'!AU20)*-1</f>
        <v>0</v>
      </c>
      <c r="AH21" s="1742">
        <f>('[5]Table 2A-2 EFT (Monthly)'!S20+'[5]Table 2A-2 EFT (Monthly)Aug'!S20+'[5]Table 2A-2 EFT (Monthly) sep'!S20+'[5]Table 2A-2 EFT (Monthly)oct'!S20+'[5]Table 2A-2 EFT (Monthly)oct'!S20+'[5]Table 2A-2 EFT (Monthly)dec'!S20+'[5]Table 2A-2 EFT (Monthly)jan'!S20+'[5]Table 2A-2 EFT (Monthly)feb'!S20+'[5]Table 2A-2 EFT (Monthly) mar'!S20+'[5]Table 2A-2 EFT (Monthly)apr'!S20+'[5]Table 2A-2 EFT (Monthly)'!AV20+'[5]Table 2A-2 EFT (Monthly) mar'!AV20)*-1</f>
        <v>0</v>
      </c>
      <c r="AI21" s="1742">
        <f>('[5]Table 2A-2 EFT (Monthly)'!T20+'[5]Table 2A-2 EFT (Monthly)Aug'!T20+'[5]Table 2A-2 EFT (Monthly) sep'!T20+'[5]Table 2A-2 EFT (Monthly)oct'!T20+'[5]Table 2A-2 EFT (Monthly)oct'!T20+'[5]Table 2A-2 EFT (Monthly)dec'!T20+'[5]Table 2A-2 EFT (Monthly)jan'!T20+'[5]Table 2A-2 EFT (Monthly)feb'!T20+'[5]Table 2A-2 EFT (Monthly) mar'!T20+'[5]Table 2A-2 EFT (Monthly)apr'!T20+'[5]Table 2A-2 EFT (Monthly)'!AW20+'[5]Table 2A-2 EFT (Monthly) mar'!AW20)*-1</f>
        <v>0</v>
      </c>
      <c r="AJ21" s="1742">
        <f>('[5]Table 2A-2 EFT (Monthly)'!U20+'[5]Table 2A-2 EFT (Monthly)Aug'!U20+'[5]Table 2A-2 EFT (Monthly) sep'!U20+'[5]Table 2A-2 EFT (Monthly)oct'!U20+'[5]Table 2A-2 EFT (Monthly)oct'!U20+'[5]Table 2A-2 EFT (Monthly)dec'!U20+'[5]Table 2A-2 EFT (Monthly)jan'!U20+'[5]Table 2A-2 EFT (Monthly)feb'!U20+'[5]Table 2A-2 EFT (Monthly) mar'!U20+'[5]Table 2A-2 EFT (Monthly)apr'!U20+'[5]Table 2A-2 EFT (Monthly)'!AX20+'[5]Table 2A-2 EFT (Monthly) mar'!AX20)*-1</f>
        <v>0</v>
      </c>
      <c r="AK21" s="1742">
        <f>('[5]Table 2A-2 EFT (Monthly)'!V20+'[5]Table 2A-2 EFT (Monthly)Aug'!V20+'[5]Table 2A-2 EFT (Monthly) sep'!V20+'[5]Table 2A-2 EFT (Monthly)oct'!V20+'[5]Table 2A-2 EFT (Monthly)oct'!V20+'[5]Table 2A-2 EFT (Monthly)dec'!V20+'[5]Table 2A-2 EFT (Monthly)jan'!V20+'[5]Table 2A-2 EFT (Monthly)feb'!V20+'[5]Table 2A-2 EFT (Monthly) mar'!V20+'[5]Table 2A-2 EFT (Monthly)apr'!V20+'[5]Table 2A-2 EFT (Monthly)'!AY20+'[5]Table 2A-2 EFT (Monthly) mar'!AY20)*-1</f>
        <v>0</v>
      </c>
      <c r="AL21" s="1742">
        <f>('[5]Table 2A-2 EFT (Monthly)'!W20+'[5]Table 2A-2 EFT (Monthly)Aug'!W20+'[5]Table 2A-2 EFT (Monthly) sep'!W20+'[5]Table 2A-2 EFT (Monthly)oct'!W20+'[5]Table 2A-2 EFT (Monthly)oct'!W20+'[5]Table 2A-2 EFT (Monthly)dec'!W20+'[5]Table 2A-2 EFT (Monthly)jan'!W20+'[5]Table 2A-2 EFT (Monthly)feb'!W20+'[5]Table 2A-2 EFT (Monthly) mar'!W20+'[5]Table 2A-2 EFT (Monthly)apr'!W20+'[5]Table 2A-2 EFT (Monthly)'!AZ20+'[5]Table 2A-2 EFT (Monthly) mar'!AZ20)*-1</f>
        <v>0</v>
      </c>
      <c r="AM21" s="1742">
        <f>('[5]Table 2A-2 EFT (Monthly)'!X20+'[5]Table 2A-2 EFT (Monthly)Aug'!X20+'[5]Table 2A-2 EFT (Monthly) sep'!X20+'[5]Table 2A-2 EFT (Monthly)oct'!X20+'[5]Table 2A-2 EFT (Monthly)oct'!X20+'[5]Table 2A-2 EFT (Monthly)dec'!X20+'[5]Table 2A-2 EFT (Monthly)jan'!X20+'[5]Table 2A-2 EFT (Monthly)feb'!X20+'[5]Table 2A-2 EFT (Monthly) mar'!X20+'[5]Table 2A-2 EFT (Monthly)apr'!X20+'[5]Table 2A-2 EFT (Monthly)'!BA20+'[5]Table 2A-2 EFT (Monthly) mar'!BA20)*-1</f>
        <v>0</v>
      </c>
      <c r="AN21" s="1742">
        <f>('[5]Table 2A-2 EFT (Monthly) sep'!AD20+'[5]Table 2A-2 EFT (Monthly)dec'!AD20+'[5]Table 2A-2 EFT (Monthly)feb'!AD20)*-1</f>
        <v>0</v>
      </c>
      <c r="AO21" s="1742">
        <f t="shared" si="30"/>
        <v>2290</v>
      </c>
      <c r="AP21" s="561">
        <f t="shared" si="31"/>
        <v>3641161.6000000015</v>
      </c>
      <c r="AQ21" s="318">
        <f t="shared" si="32"/>
        <v>1820581</v>
      </c>
      <c r="AR21" s="318">
        <f>'Table 4A Stipends'!G18</f>
        <v>6000</v>
      </c>
      <c r="AS21" s="318">
        <f t="shared" si="20"/>
        <v>21762889</v>
      </c>
      <c r="AU21" s="1339">
        <f>('Table 8 2.1.12 MFP Funded'!G18*'Table 3 Levels 1&amp;2'!AP22)+'Table 2_State with Midyear Adjs'!F21</f>
        <v>21705603.91987367</v>
      </c>
      <c r="AV21" s="959">
        <f t="shared" si="21"/>
        <v>51285.080126330256</v>
      </c>
      <c r="AW21" s="280">
        <f t="shared" si="33"/>
        <v>2.3627575770593322E-3</v>
      </c>
    </row>
    <row r="22" spans="1:50">
      <c r="A22" s="101">
        <v>16</v>
      </c>
      <c r="B22" s="299" t="s">
        <v>117</v>
      </c>
      <c r="C22" s="309">
        <f>'Table 3 Levels 1&amp;2'!AO23</f>
        <v>10506217.838</v>
      </c>
      <c r="D22" s="354">
        <f>'[2]Adjusted Amounts'!$C22</f>
        <v>-22117.081259085589</v>
      </c>
      <c r="E22" s="354">
        <f>'[2]Adjusted Amounts'!$H22</f>
        <v>-5699.219845478463</v>
      </c>
      <c r="F22" s="354">
        <f t="shared" si="22"/>
        <v>-27816.301104564052</v>
      </c>
      <c r="G22" s="309">
        <f t="shared" si="19"/>
        <v>0</v>
      </c>
      <c r="H22" s="354">
        <f t="shared" si="23"/>
        <v>-27816.301104564052</v>
      </c>
      <c r="I22" s="354">
        <f>'[1]Midyear Adjustment Summary'!C20+'[1]Oct midyear Madison Prep'!K22+'[1]Oct midyear DArbonne'!K22+'[1]Oct midyear Intl_VIBE '!K22+'[1]Oct midyear NOMMA'!K22+'[1]Oct midyear LFNO'!K22+'[1]Oct midyear Lake Charles Chtr'!K22+'[1]Oct midyear LA Virtual Admy'!K19+'[1]Oct midyear LA Connections'!K19</f>
        <v>408478.39153666183</v>
      </c>
      <c r="J22" s="354">
        <f>'[1]Midyear Adjustment Summary'!D20+'[1]Feb midyear Madison Prep'!K22+'[1]Feb midyear DArbonne'!K22+'[1]Feb midyear Intl_VIBE '!K22+'[1]Feb midyear NOMMA'!K22+'[1]Feb midyear LFNO '!K22+'[1]Feb midyear Lake Charles Ch'!K22+'[1]Feb midyear LA Virtual Admy'!K19+'[1]Feb midyear LA Connections'!K19</f>
        <v>-21290.920998955509</v>
      </c>
      <c r="K22" s="354">
        <f t="shared" si="24"/>
        <v>387187.47053770634</v>
      </c>
      <c r="L22" s="354"/>
      <c r="M22" s="354">
        <f>-'Table 5C1A-Madison Prep'!L22</f>
        <v>0</v>
      </c>
      <c r="N22" s="354">
        <f>-'Table 5C1B-DArbonne'!L22</f>
        <v>0</v>
      </c>
      <c r="O22" s="354">
        <f>-'Table 5C1C-Intl_VIBE'!L22</f>
        <v>0</v>
      </c>
      <c r="P22" s="354">
        <f>-'Table 5C1D-NOMMA'!L22</f>
        <v>0</v>
      </c>
      <c r="Q22" s="354">
        <f>-'Table 5C1E-LFNO'!L22</f>
        <v>0</v>
      </c>
      <c r="R22" s="354">
        <f>-'Table 5C1F-Lake Charles Charter'!L22</f>
        <v>0</v>
      </c>
      <c r="S22" s="314">
        <f>-'Table 5C2 - LA Virtual Admy'!M20-'Table 5C2 - LA Virtual Admy'!I20</f>
        <v>-29616.921297472323</v>
      </c>
      <c r="T22" s="314">
        <f>-'Table 5C3 - LA Connections EBR'!M20-'Table 5C3 - LA Connections EBR'!I20</f>
        <v>-12003.498700438688</v>
      </c>
      <c r="U22" s="1692">
        <f t="shared" si="25"/>
        <v>-41620.419997911013</v>
      </c>
      <c r="V22" s="560">
        <f t="shared" si="26"/>
        <v>10823969</v>
      </c>
      <c r="W22" s="560">
        <f>[3]MFP!DT23</f>
        <v>8865770</v>
      </c>
      <c r="X22" s="560">
        <f t="shared" si="27"/>
        <v>0</v>
      </c>
      <c r="Y22" s="560">
        <f>'[4]Table 4B Rewards'!G19</f>
        <v>50723.1</v>
      </c>
      <c r="Z22" s="560">
        <f t="shared" si="28"/>
        <v>8916493.0999999996</v>
      </c>
      <c r="AA22" s="1737">
        <f t="shared" si="29"/>
        <v>1907475.9000000004</v>
      </c>
      <c r="AB22" s="1741">
        <f>('[5]Table 2A-2 EFT (Monthly)'!Z21+'[5]Table 2A-2 EFT (Monthly)Aug'!Z21+'[5]Table 2A-2 EFT (Monthly) sep'!Z21+'[5]Table 2A-2 EFT (Monthly)oct'!Z21+'[5]Table 2A-2 EFT (Monthly)oct'!Z21+'[5]Table 2A-2 EFT (Monthly)dec'!Z21+'[5]Table 2A-2 EFT (Monthly)jan'!Z21+'[5]Table 2A-2 EFT (Monthly)feb'!Z21+'[5]Table 2A-2 EFT (Monthly) mar'!Z21+'[5]Table 2A-2 EFT (Monthly)apr'!Z21)*-1</f>
        <v>1256</v>
      </c>
      <c r="AC22" s="1741">
        <f>('[5]Table 2A-2 EFT (Monthly)'!AA21+'[5]Table 2A-2 EFT (Monthly)Aug'!AA21+'[5]Table 2A-2 EFT (Monthly) sep'!AA21+'[5]Table 2A-2 EFT (Monthly)oct'!AA21+'[5]Table 2A-2 EFT (Monthly)oct'!AA21+'[5]Table 2A-2 EFT (Monthly)dec'!AA21+'[5]Table 2A-2 EFT (Monthly)jan'!AA21+'[5]Table 2A-2 EFT (Monthly)feb'!AA21+'[5]Table 2A-2 EFT (Monthly) mar'!AA21+'[5]Table 2A-2 EFT (Monthly)apr'!AA21)*-1</f>
        <v>0</v>
      </c>
      <c r="AD22" s="1741">
        <f>('[5]Table 2A-2 EFT (Monthly)'!AB21+'[5]Table 2A-2 EFT (Monthly)Aug'!AB21+'[5]Table 2A-2 EFT (Monthly) sep'!AB21+'[5]Table 2A-2 EFT (Monthly)oct'!AB21+'[5]Table 2A-2 EFT (Monthly)oct'!AB21+'[5]Table 2A-2 EFT (Monthly)dec'!AB21+'[5]Table 2A-2 EFT (Monthly)jan'!AB21+'[5]Table 2A-2 EFT (Monthly)feb'!AB21+'[5]Table 2A-2 EFT (Monthly) mar'!AB21+'[5]Table 2A-2 EFT (Monthly)apr'!AB21)*-1</f>
        <v>0</v>
      </c>
      <c r="AE22" s="1741">
        <f>('[5]Table 2A-2 EFT (Monthly)'!AC21+'[5]Table 2A-2 EFT (Monthly)Aug'!AC21+'[5]Table 2A-2 EFT (Monthly) sep'!AC21+'[5]Table 2A-2 EFT (Monthly)oct'!AC21+'[5]Table 2A-2 EFT (Monthly)oct'!AC21+'[5]Table 2A-2 EFT (Monthly)dec'!AC21+'[5]Table 2A-2 EFT (Monthly)jan'!AC21+'[5]Table 2A-2 EFT (Monthly)feb'!AC21+'[5]Table 2A-2 EFT (Monthly) mar'!AC21+'[5]Table 2A-2 EFT (Monthly)apr'!AC21)*-1</f>
        <v>13314</v>
      </c>
      <c r="AF22" s="1741">
        <f>('[5]Table 2A-2 EFT (Monthly)'!Q21+'[5]Table 2A-2 EFT (Monthly)Aug'!Q21+'[5]Table 2A-2 EFT (Monthly) sep'!Q21+'[5]Table 2A-2 EFT (Monthly)oct'!Q21+'[5]Table 2A-2 EFT (Monthly)oct'!Q21+'[5]Table 2A-2 EFT (Monthly)dec'!Q21+'[5]Table 2A-2 EFT (Monthly)jan'!Q21+'[5]Table 2A-2 EFT (Monthly)feb'!Q21+'[5]Table 2A-2 EFT (Monthly) mar'!Q21+'[5]Table 2A-2 EFT (Monthly)apr'!Q21+'[5]Table 2A-2 EFT (Monthly)'!AT21+'[5]Table 2A-2 EFT (Monthly) mar'!AT21)*-1</f>
        <v>0</v>
      </c>
      <c r="AG22" s="1741">
        <f>('[5]Table 2A-2 EFT (Monthly)'!R21+'[5]Table 2A-2 EFT (Monthly)Aug'!R21+'[5]Table 2A-2 EFT (Monthly) sep'!R21+'[5]Table 2A-2 EFT (Monthly)oct'!R21+'[5]Table 2A-2 EFT (Monthly)oct'!R21+'[5]Table 2A-2 EFT (Monthly)dec'!R21+'[5]Table 2A-2 EFT (Monthly)jan'!R21+'[5]Table 2A-2 EFT (Monthly)feb'!R21+'[5]Table 2A-2 EFT (Monthly) mar'!R21+'[5]Table 2A-2 EFT (Monthly)apr'!R21+'[5]Table 2A-2 EFT (Monthly)'!AU21+'[5]Table 2A-2 EFT (Monthly) mar'!AU21)*-1</f>
        <v>0</v>
      </c>
      <c r="AH22" s="1741">
        <f>('[5]Table 2A-2 EFT (Monthly)'!S21+'[5]Table 2A-2 EFT (Monthly)Aug'!S21+'[5]Table 2A-2 EFT (Monthly) sep'!S21+'[5]Table 2A-2 EFT (Monthly)oct'!S21+'[5]Table 2A-2 EFT (Monthly)oct'!S21+'[5]Table 2A-2 EFT (Monthly)dec'!S21+'[5]Table 2A-2 EFT (Monthly)jan'!S21+'[5]Table 2A-2 EFT (Monthly)feb'!S21+'[5]Table 2A-2 EFT (Monthly) mar'!S21+'[5]Table 2A-2 EFT (Monthly)apr'!S21+'[5]Table 2A-2 EFT (Monthly)'!AV21+'[5]Table 2A-2 EFT (Monthly) mar'!AV21)*-1</f>
        <v>0</v>
      </c>
      <c r="AI22" s="1741">
        <f>('[5]Table 2A-2 EFT (Monthly)'!T21+'[5]Table 2A-2 EFT (Monthly)Aug'!T21+'[5]Table 2A-2 EFT (Monthly) sep'!T21+'[5]Table 2A-2 EFT (Monthly)oct'!T21+'[5]Table 2A-2 EFT (Monthly)oct'!T21+'[5]Table 2A-2 EFT (Monthly)dec'!T21+'[5]Table 2A-2 EFT (Monthly)jan'!T21+'[5]Table 2A-2 EFT (Monthly)feb'!T21+'[5]Table 2A-2 EFT (Monthly) mar'!T21+'[5]Table 2A-2 EFT (Monthly)apr'!T21+'[5]Table 2A-2 EFT (Monthly)'!AW21+'[5]Table 2A-2 EFT (Monthly) mar'!AW21)*-1</f>
        <v>0</v>
      </c>
      <c r="AJ22" s="1741">
        <f>('[5]Table 2A-2 EFT (Monthly)'!U21+'[5]Table 2A-2 EFT (Monthly)Aug'!U21+'[5]Table 2A-2 EFT (Monthly) sep'!U21+'[5]Table 2A-2 EFT (Monthly)oct'!U21+'[5]Table 2A-2 EFT (Monthly)oct'!U21+'[5]Table 2A-2 EFT (Monthly)dec'!U21+'[5]Table 2A-2 EFT (Monthly)jan'!U21+'[5]Table 2A-2 EFT (Monthly)feb'!U21+'[5]Table 2A-2 EFT (Monthly) mar'!U21+'[5]Table 2A-2 EFT (Monthly)apr'!U21+'[5]Table 2A-2 EFT (Monthly)'!AX21+'[5]Table 2A-2 EFT (Monthly) mar'!AX21)*-1</f>
        <v>0</v>
      </c>
      <c r="AK22" s="1741">
        <f>('[5]Table 2A-2 EFT (Monthly)'!V21+'[5]Table 2A-2 EFT (Monthly)Aug'!V21+'[5]Table 2A-2 EFT (Monthly) sep'!V21+'[5]Table 2A-2 EFT (Monthly)oct'!V21+'[5]Table 2A-2 EFT (Monthly)oct'!V21+'[5]Table 2A-2 EFT (Monthly)dec'!V21+'[5]Table 2A-2 EFT (Monthly)jan'!V21+'[5]Table 2A-2 EFT (Monthly)feb'!V21+'[5]Table 2A-2 EFT (Monthly) mar'!V21+'[5]Table 2A-2 EFT (Monthly)apr'!V21+'[5]Table 2A-2 EFT (Monthly)'!AY21+'[5]Table 2A-2 EFT (Monthly) mar'!AY21)*-1</f>
        <v>0</v>
      </c>
      <c r="AL22" s="1741">
        <f>('[5]Table 2A-2 EFT (Monthly)'!W21+'[5]Table 2A-2 EFT (Monthly)Aug'!W21+'[5]Table 2A-2 EFT (Monthly) sep'!W21+'[5]Table 2A-2 EFT (Monthly)oct'!W21+'[5]Table 2A-2 EFT (Monthly)oct'!W21+'[5]Table 2A-2 EFT (Monthly)dec'!W21+'[5]Table 2A-2 EFT (Monthly)jan'!W21+'[5]Table 2A-2 EFT (Monthly)feb'!W21+'[5]Table 2A-2 EFT (Monthly) mar'!W21+'[5]Table 2A-2 EFT (Monthly)apr'!W21+'[5]Table 2A-2 EFT (Monthly)'!AZ21+'[5]Table 2A-2 EFT (Monthly) mar'!AZ21)*-1</f>
        <v>0</v>
      </c>
      <c r="AM22" s="1741">
        <f>('[5]Table 2A-2 EFT (Monthly)'!X21+'[5]Table 2A-2 EFT (Monthly)Aug'!X21+'[5]Table 2A-2 EFT (Monthly) sep'!X21+'[5]Table 2A-2 EFT (Monthly)oct'!X21+'[5]Table 2A-2 EFT (Monthly)oct'!X21+'[5]Table 2A-2 EFT (Monthly)dec'!X21+'[5]Table 2A-2 EFT (Monthly)jan'!X21+'[5]Table 2A-2 EFT (Monthly)feb'!X21+'[5]Table 2A-2 EFT (Monthly) mar'!X21+'[5]Table 2A-2 EFT (Monthly)apr'!X21+'[5]Table 2A-2 EFT (Monthly)'!BA21+'[5]Table 2A-2 EFT (Monthly) mar'!BA21)*-1</f>
        <v>0</v>
      </c>
      <c r="AN22" s="1741">
        <f>('[5]Table 2A-2 EFT (Monthly) sep'!AD21+'[5]Table 2A-2 EFT (Monthly)dec'!AD21+'[5]Table 2A-2 EFT (Monthly)feb'!AD21)*-1</f>
        <v>0</v>
      </c>
      <c r="AO22" s="1741">
        <f t="shared" si="30"/>
        <v>14570</v>
      </c>
      <c r="AP22" s="560">
        <f t="shared" si="31"/>
        <v>1922045.9000000004</v>
      </c>
      <c r="AQ22" s="309">
        <f t="shared" si="32"/>
        <v>961023</v>
      </c>
      <c r="AR22" s="309">
        <f>'Table 4A Stipends'!G19</f>
        <v>0</v>
      </c>
      <c r="AS22" s="309">
        <f t="shared" si="20"/>
        <v>10823969</v>
      </c>
      <c r="AU22" s="1339">
        <f>('Table 8 2.1.12 MFP Funded'!G19*'Table 3 Levels 1&amp;2'!AP23)+'Table 2_State with Midyear Adjs'!F22</f>
        <v>10447675.184329737</v>
      </c>
      <c r="AV22" s="959">
        <f t="shared" si="21"/>
        <v>376293.81567026302</v>
      </c>
      <c r="AW22" s="280">
        <f t="shared" si="33"/>
        <v>3.6016990290304848E-2</v>
      </c>
    </row>
    <row r="23" spans="1:50">
      <c r="A23" s="101">
        <v>17</v>
      </c>
      <c r="B23" s="299" t="s">
        <v>118</v>
      </c>
      <c r="C23" s="309">
        <f>'Table 3 Levels 1&amp;2'!AO24</f>
        <v>183345396.81180969</v>
      </c>
      <c r="D23" s="354">
        <f>'[2]Adjusted Amounts'!$C23</f>
        <v>-47632.868546129554</v>
      </c>
      <c r="E23" s="354">
        <f>'[2]Adjusted Amounts'!$H23</f>
        <v>-93515.353256418137</v>
      </c>
      <c r="F23" s="354">
        <f t="shared" si="22"/>
        <v>-141148.22180254769</v>
      </c>
      <c r="G23" s="309">
        <f t="shared" si="19"/>
        <v>0</v>
      </c>
      <c r="H23" s="354">
        <f t="shared" si="23"/>
        <v>-141148.22180254769</v>
      </c>
      <c r="I23" s="354">
        <f>'[1]Midyear Adjustment Summary'!C21+'[1]Oct midyear Madison Prep'!K23+'[1]Oct midyear DArbonne'!K23+'[1]Oct midyear Intl_VIBE '!K23+'[1]Oct midyear NOMMA'!K23+'[1]Oct midyear LFNO'!K23+'[1]Oct midyear Lake Charles Chtr'!K23+'[1]Oct midyear LA Virtual Admy'!K20+'[1]Oct midyear LA Connections'!K20+'[1]Midyear Adjustment Summary'!$C$119+'[1]Midyear Adjustment Summary'!$C$120+'[1]Midyear Adjustment Summary'!$C$121+'[1]Midyear Adjustment Summary'!$C$122+'[1]Midyear Adjustment Summary'!$C$124+'[1]Midyear Adjustment Summary'!$C$125+'[1]Midyear Adjustment Summary'!$C$126+'[1]Midyear Adjustment Summary'!$C$187</f>
        <v>-939333.83183204255</v>
      </c>
      <c r="J23" s="354">
        <f>'[1]Midyear Adjustment Summary'!D21+'[1]Feb midyear Madison Prep'!K23+'[1]Feb midyear DArbonne'!K23+'[1]Feb midyear Intl_VIBE '!K23+'[1]Feb midyear NOMMA'!K23+'[1]Feb midyear LFNO '!K23+'[1]Feb midyear Lake Charles Ch'!K23+'[1]Feb midyear LA Virtual Admy'!K20+'[1]Feb midyear LA Connections'!K20+'[1]Midyear Adjustment Summary'!$D$187+'[1]Midyear Adjustment Summary'!$D$119+'[1]Midyear Adjustment Summary'!$D$120+'[1]Midyear Adjustment Summary'!$D$121+'[1]Midyear Adjustment Summary'!$D$122+'[1]Midyear Adjustment Summary'!$D$124+'[1]Midyear Adjustment Summary'!$D$125+'[1]Midyear Adjustment Summary'!$D$126</f>
        <v>-919187.26171232061</v>
      </c>
      <c r="K23" s="354">
        <f t="shared" si="24"/>
        <v>-1858521.093544363</v>
      </c>
      <c r="L23" s="354">
        <f>-'Table 5B2_RSD_LA'!L18</f>
        <v>-9815156.4330389295</v>
      </c>
      <c r="M23" s="354">
        <f>-'Table 5C1A-Madison Prep'!L23</f>
        <v>-908694.25644163217</v>
      </c>
      <c r="N23" s="354">
        <f>-'Table 5C1B-DArbonne'!L23</f>
        <v>0</v>
      </c>
      <c r="O23" s="354">
        <f>-'Table 5C1C-Intl_VIBE'!L23</f>
        <v>0</v>
      </c>
      <c r="P23" s="354">
        <f>-'Table 5C1D-NOMMA'!L23</f>
        <v>0</v>
      </c>
      <c r="Q23" s="354">
        <f>-'Table 5C1E-LFNO'!L23</f>
        <v>0</v>
      </c>
      <c r="R23" s="354">
        <f>-'Table 5C1F-Lake Charles Charter'!L23</f>
        <v>0</v>
      </c>
      <c r="S23" s="314">
        <f>-'Table 5C2 - LA Virtual Admy'!M21-'Table 5C2 - LA Virtual Admy'!I21</f>
        <v>-309458.22083621874</v>
      </c>
      <c r="T23" s="314">
        <f>-'Table 5C3 - LA Connections EBR'!M21-'Table 5C3 - LA Connections EBR'!I21</f>
        <v>-353556.26870673988</v>
      </c>
      <c r="U23" s="1692">
        <f t="shared" si="25"/>
        <v>-11386865.179023519</v>
      </c>
      <c r="V23" s="563">
        <f t="shared" si="26"/>
        <v>169958862</v>
      </c>
      <c r="W23" s="563">
        <f>[3]MFP!DT24</f>
        <v>140261875</v>
      </c>
      <c r="X23" s="563">
        <f t="shared" si="27"/>
        <v>44000</v>
      </c>
      <c r="Y23" s="563">
        <f>'[4]Table 4B Rewards'!G20</f>
        <v>194438.55000000008</v>
      </c>
      <c r="Z23" s="563">
        <f t="shared" si="28"/>
        <v>140500313.55000001</v>
      </c>
      <c r="AA23" s="1738">
        <f t="shared" si="29"/>
        <v>29458548.449999988</v>
      </c>
      <c r="AB23" s="1741">
        <f>('[5]Table 2A-2 EFT (Monthly)'!Z22+'[5]Table 2A-2 EFT (Monthly)Aug'!Z22+'[5]Table 2A-2 EFT (Monthly) sep'!Z22+'[5]Table 2A-2 EFT (Monthly)oct'!Z22+'[5]Table 2A-2 EFT (Monthly)oct'!Z22+'[5]Table 2A-2 EFT (Monthly)dec'!Z22+'[5]Table 2A-2 EFT (Monthly)jan'!Z22+'[5]Table 2A-2 EFT (Monthly)feb'!Z22+'[5]Table 2A-2 EFT (Monthly) mar'!Z22+'[5]Table 2A-2 EFT (Monthly)apr'!Z22)*-1</f>
        <v>49680</v>
      </c>
      <c r="AC23" s="1741">
        <f>('[5]Table 2A-2 EFT (Monthly)'!AA22+'[5]Table 2A-2 EFT (Monthly)Aug'!AA22+'[5]Table 2A-2 EFT (Monthly) sep'!AA22+'[5]Table 2A-2 EFT (Monthly)oct'!AA22+'[5]Table 2A-2 EFT (Monthly)oct'!AA22+'[5]Table 2A-2 EFT (Monthly)dec'!AA22+'[5]Table 2A-2 EFT (Monthly)jan'!AA22+'[5]Table 2A-2 EFT (Monthly)feb'!AA22+'[5]Table 2A-2 EFT (Monthly) mar'!AA22+'[5]Table 2A-2 EFT (Monthly)apr'!AA22)*-1</f>
        <v>1704</v>
      </c>
      <c r="AD23" s="1741">
        <f>('[5]Table 2A-2 EFT (Monthly)'!AB22+'[5]Table 2A-2 EFT (Monthly)Aug'!AB22+'[5]Table 2A-2 EFT (Monthly) sep'!AB22+'[5]Table 2A-2 EFT (Monthly)oct'!AB22+'[5]Table 2A-2 EFT (Monthly)oct'!AB22+'[5]Table 2A-2 EFT (Monthly)dec'!AB22+'[5]Table 2A-2 EFT (Monthly)jan'!AB22+'[5]Table 2A-2 EFT (Monthly)feb'!AB22+'[5]Table 2A-2 EFT (Monthly) mar'!AB22+'[5]Table 2A-2 EFT (Monthly)apr'!AB22)*-1</f>
        <v>193298</v>
      </c>
      <c r="AE23" s="1741">
        <f>('[5]Table 2A-2 EFT (Monthly)'!AC22+'[5]Table 2A-2 EFT (Monthly)Aug'!AC22+'[5]Table 2A-2 EFT (Monthly) sep'!AC22+'[5]Table 2A-2 EFT (Monthly)oct'!AC22+'[5]Table 2A-2 EFT (Monthly)oct'!AC22+'[5]Table 2A-2 EFT (Monthly)dec'!AC22+'[5]Table 2A-2 EFT (Monthly)jan'!AC22+'[5]Table 2A-2 EFT (Monthly)feb'!AC22+'[5]Table 2A-2 EFT (Monthly) mar'!AC22+'[5]Table 2A-2 EFT (Monthly)apr'!AC22)*-1</f>
        <v>64432</v>
      </c>
      <c r="AF23" s="1741">
        <f>('[5]Table 2A-2 EFT (Monthly)'!Q22+'[5]Table 2A-2 EFT (Monthly)Aug'!Q22+'[5]Table 2A-2 EFT (Monthly) sep'!Q22+'[5]Table 2A-2 EFT (Monthly)oct'!Q22+'[5]Table 2A-2 EFT (Monthly)oct'!Q22+'[5]Table 2A-2 EFT (Monthly)dec'!Q22+'[5]Table 2A-2 EFT (Monthly)jan'!Q22+'[5]Table 2A-2 EFT (Monthly)feb'!Q22+'[5]Table 2A-2 EFT (Monthly) mar'!Q22+'[5]Table 2A-2 EFT (Monthly)apr'!Q22+'[5]Table 2A-2 EFT (Monthly)'!AT22+'[5]Table 2A-2 EFT (Monthly) mar'!AT22)*-1</f>
        <v>0</v>
      </c>
      <c r="AG23" s="1741">
        <f>('[5]Table 2A-2 EFT (Monthly)'!R22+'[5]Table 2A-2 EFT (Monthly)Aug'!R22+'[5]Table 2A-2 EFT (Monthly) sep'!R22+'[5]Table 2A-2 EFT (Monthly)oct'!R22+'[5]Table 2A-2 EFT (Monthly)oct'!R22+'[5]Table 2A-2 EFT (Monthly)dec'!R22+'[5]Table 2A-2 EFT (Monthly)jan'!R22+'[5]Table 2A-2 EFT (Monthly)feb'!R22+'[5]Table 2A-2 EFT (Monthly) mar'!R22+'[5]Table 2A-2 EFT (Monthly)apr'!R22+'[5]Table 2A-2 EFT (Monthly)'!AU22+'[5]Table 2A-2 EFT (Monthly) mar'!AU22)*-1</f>
        <v>0</v>
      </c>
      <c r="AH23" s="1741">
        <f>('[5]Table 2A-2 EFT (Monthly)'!S22+'[5]Table 2A-2 EFT (Monthly)Aug'!S22+'[5]Table 2A-2 EFT (Monthly) sep'!S22+'[5]Table 2A-2 EFT (Monthly)oct'!S22+'[5]Table 2A-2 EFT (Monthly)oct'!S22+'[5]Table 2A-2 EFT (Monthly)dec'!S22+'[5]Table 2A-2 EFT (Monthly)jan'!S22+'[5]Table 2A-2 EFT (Monthly)feb'!S22+'[5]Table 2A-2 EFT (Monthly) mar'!S22+'[5]Table 2A-2 EFT (Monthly)apr'!S22+'[5]Table 2A-2 EFT (Monthly)'!AV22+'[5]Table 2A-2 EFT (Monthly) mar'!AV22)*-1</f>
        <v>0</v>
      </c>
      <c r="AI23" s="1741">
        <f>('[5]Table 2A-2 EFT (Monthly)'!T22+'[5]Table 2A-2 EFT (Monthly)Aug'!T22+'[5]Table 2A-2 EFT (Monthly) sep'!T22+'[5]Table 2A-2 EFT (Monthly)oct'!T22+'[5]Table 2A-2 EFT (Monthly)oct'!T22+'[5]Table 2A-2 EFT (Monthly)dec'!T22+'[5]Table 2A-2 EFT (Monthly)jan'!T22+'[5]Table 2A-2 EFT (Monthly)feb'!T22+'[5]Table 2A-2 EFT (Monthly) mar'!T22+'[5]Table 2A-2 EFT (Monthly)apr'!T22+'[5]Table 2A-2 EFT (Monthly)'!AW22+'[5]Table 2A-2 EFT (Monthly) mar'!AW22)*-1</f>
        <v>0</v>
      </c>
      <c r="AJ23" s="1741">
        <f>('[5]Table 2A-2 EFT (Monthly)'!U22+'[5]Table 2A-2 EFT (Monthly)Aug'!U22+'[5]Table 2A-2 EFT (Monthly) sep'!U22+'[5]Table 2A-2 EFT (Monthly)oct'!U22+'[5]Table 2A-2 EFT (Monthly)oct'!U22+'[5]Table 2A-2 EFT (Monthly)dec'!U22+'[5]Table 2A-2 EFT (Monthly)jan'!U22+'[5]Table 2A-2 EFT (Monthly)feb'!U22+'[5]Table 2A-2 EFT (Monthly) mar'!U22+'[5]Table 2A-2 EFT (Monthly)apr'!U22+'[5]Table 2A-2 EFT (Monthly)'!AX22+'[5]Table 2A-2 EFT (Monthly) mar'!AX22)*-1</f>
        <v>0</v>
      </c>
      <c r="AK23" s="1741">
        <f>('[5]Table 2A-2 EFT (Monthly)'!V22+'[5]Table 2A-2 EFT (Monthly)Aug'!V22+'[5]Table 2A-2 EFT (Monthly) sep'!V22+'[5]Table 2A-2 EFT (Monthly)oct'!V22+'[5]Table 2A-2 EFT (Monthly)oct'!V22+'[5]Table 2A-2 EFT (Monthly)dec'!V22+'[5]Table 2A-2 EFT (Monthly)jan'!V22+'[5]Table 2A-2 EFT (Monthly)feb'!V22+'[5]Table 2A-2 EFT (Monthly) mar'!V22+'[5]Table 2A-2 EFT (Monthly)apr'!V22+'[5]Table 2A-2 EFT (Monthly)'!AY22+'[5]Table 2A-2 EFT (Monthly) mar'!AY22)*-1</f>
        <v>0</v>
      </c>
      <c r="AL23" s="1741">
        <f>('[5]Table 2A-2 EFT (Monthly)'!W22+'[5]Table 2A-2 EFT (Monthly)Aug'!W22+'[5]Table 2A-2 EFT (Monthly) sep'!W22+'[5]Table 2A-2 EFT (Monthly)oct'!W22+'[5]Table 2A-2 EFT (Monthly)oct'!W22+'[5]Table 2A-2 EFT (Monthly)dec'!W22+'[5]Table 2A-2 EFT (Monthly)jan'!W22+'[5]Table 2A-2 EFT (Monthly)feb'!W22+'[5]Table 2A-2 EFT (Monthly) mar'!W22+'[5]Table 2A-2 EFT (Monthly)apr'!W22+'[5]Table 2A-2 EFT (Monthly)'!AZ22+'[5]Table 2A-2 EFT (Monthly) mar'!AZ22)*-1</f>
        <v>0</v>
      </c>
      <c r="AM23" s="1741">
        <f>('[5]Table 2A-2 EFT (Monthly)'!X22+'[5]Table 2A-2 EFT (Monthly)Aug'!X22+'[5]Table 2A-2 EFT (Monthly) sep'!X22+'[5]Table 2A-2 EFT (Monthly)oct'!X22+'[5]Table 2A-2 EFT (Monthly)oct'!X22+'[5]Table 2A-2 EFT (Monthly)dec'!X22+'[5]Table 2A-2 EFT (Monthly)jan'!X22+'[5]Table 2A-2 EFT (Monthly)feb'!X22+'[5]Table 2A-2 EFT (Monthly) mar'!X22+'[5]Table 2A-2 EFT (Monthly)apr'!X22+'[5]Table 2A-2 EFT (Monthly)'!BA22+'[5]Table 2A-2 EFT (Monthly) mar'!BA22)*-1</f>
        <v>0</v>
      </c>
      <c r="AN23" s="1741">
        <f>('[5]Table 2A-2 EFT (Monthly) sep'!AD22+'[5]Table 2A-2 EFT (Monthly)dec'!AD22+'[5]Table 2A-2 EFT (Monthly)feb'!AD22)*-1</f>
        <v>1351861.9760131501</v>
      </c>
      <c r="AO23" s="1741">
        <f t="shared" si="30"/>
        <v>1660975.9760131501</v>
      </c>
      <c r="AP23" s="563">
        <f t="shared" si="31"/>
        <v>31119524.426013138</v>
      </c>
      <c r="AQ23" s="309">
        <f t="shared" si="32"/>
        <v>15559762</v>
      </c>
      <c r="AR23" s="309">
        <f>'Table 4A Stipends'!G20</f>
        <v>44000</v>
      </c>
      <c r="AS23" s="354">
        <f t="shared" si="20"/>
        <v>170002862</v>
      </c>
      <c r="AU23" s="1339">
        <f>(('Table 8 2.1.12 MFP Funded'!G20-640)*'Table 3 Levels 1&amp;2'!AP24)+'Table 2_State with Midyear Adjs'!F23</f>
        <v>169287038.20136201</v>
      </c>
      <c r="AV23" s="959">
        <f t="shared" si="21"/>
        <v>671823.79863798618</v>
      </c>
      <c r="AW23" s="280">
        <f t="shared" si="33"/>
        <v>3.9685483648126164E-3</v>
      </c>
      <c r="AX23" t="s">
        <v>1084</v>
      </c>
    </row>
    <row r="24" spans="1:50">
      <c r="A24" s="101">
        <v>18</v>
      </c>
      <c r="B24" s="299" t="s">
        <v>119</v>
      </c>
      <c r="C24" s="309">
        <f>'Table 3 Levels 1&amp;2'!AO25</f>
        <v>7556595.1981039997</v>
      </c>
      <c r="D24" s="354">
        <f>'[2]Adjusted Amounts'!$C24</f>
        <v>-3330.429231440758</v>
      </c>
      <c r="E24" s="354">
        <f>'[2]Adjusted Amounts'!$H24</f>
        <v>50881.31949760954</v>
      </c>
      <c r="F24" s="354">
        <f t="shared" si="22"/>
        <v>47550.890266168783</v>
      </c>
      <c r="G24" s="309">
        <f t="shared" si="19"/>
        <v>47550.890266168783</v>
      </c>
      <c r="H24" s="354">
        <f t="shared" si="23"/>
        <v>0</v>
      </c>
      <c r="I24" s="354">
        <f>'[1]Midyear Adjustment Summary'!C22+'[1]Oct midyear Madison Prep'!K24+'[1]Oct midyear DArbonne'!K24+'[1]Oct midyear Intl_VIBE '!K24+'[1]Oct midyear NOMMA'!K24+'[1]Oct midyear LFNO'!K24+'[1]Oct midyear Lake Charles Chtr'!K24+'[1]Oct midyear LA Virtual Admy'!K21+'[1]Oct midyear LA Connections'!K21</f>
        <v>-252998.97104665378</v>
      </c>
      <c r="J24" s="354">
        <f>'[1]Midyear Adjustment Summary'!D22+'[1]Feb midyear Madison Prep'!K24+'[1]Feb midyear DArbonne'!K24+'[1]Feb midyear Intl_VIBE '!K24+'[1]Feb midyear NOMMA'!K24+'[1]Feb midyear LFNO '!K24+'[1]Feb midyear Lake Charles Ch'!K24+'[1]Feb midyear LA Virtual Admy'!K21+'[1]Feb midyear LA Connections'!K21</f>
        <v>56591.875102540973</v>
      </c>
      <c r="K24" s="354">
        <f t="shared" si="24"/>
        <v>-196407.09594411281</v>
      </c>
      <c r="L24" s="354"/>
      <c r="M24" s="354">
        <f>-'Table 5C1A-Madison Prep'!L24</f>
        <v>0</v>
      </c>
      <c r="N24" s="354">
        <f>-'Table 5C1B-DArbonne'!L24</f>
        <v>0</v>
      </c>
      <c r="O24" s="354">
        <f>-'Table 5C1C-Intl_VIBE'!L24</f>
        <v>0</v>
      </c>
      <c r="P24" s="354">
        <f>-'Table 5C1D-NOMMA'!L24</f>
        <v>0</v>
      </c>
      <c r="Q24" s="354">
        <f>-'Table 5C1E-LFNO'!L24</f>
        <v>0</v>
      </c>
      <c r="R24" s="354">
        <f>-'Table 5C1F-Lake Charles Charter'!L24</f>
        <v>0</v>
      </c>
      <c r="S24" s="314">
        <f>-'Table 5C2 - LA Virtual Admy'!M22-'Table 5C2 - LA Virtual Admy'!I22</f>
        <v>-6573.2726591224673</v>
      </c>
      <c r="T24" s="314">
        <f>-'Table 5C3 - LA Connections EBR'!M22-'Table 5C3 - LA Connections EBR'!I22</f>
        <v>0</v>
      </c>
      <c r="U24" s="1692">
        <f t="shared" si="25"/>
        <v>-6573.2726591224673</v>
      </c>
      <c r="V24" s="563">
        <f t="shared" si="26"/>
        <v>7401166</v>
      </c>
      <c r="W24" s="563">
        <f>[3]MFP!DT25</f>
        <v>6220145</v>
      </c>
      <c r="X24" s="563">
        <f t="shared" si="27"/>
        <v>0</v>
      </c>
      <c r="Y24" s="563">
        <f>'[4]Table 4B Rewards'!G21</f>
        <v>8453.85</v>
      </c>
      <c r="Z24" s="563">
        <f t="shared" si="28"/>
        <v>6228598.8499999996</v>
      </c>
      <c r="AA24" s="1738">
        <f t="shared" si="29"/>
        <v>1172567.1500000004</v>
      </c>
      <c r="AB24" s="1741">
        <f>('[5]Table 2A-2 EFT (Monthly)'!Z23+'[5]Table 2A-2 EFT (Monthly)Aug'!Z23+'[5]Table 2A-2 EFT (Monthly) sep'!Z23+'[5]Table 2A-2 EFT (Monthly)oct'!Z23+'[5]Table 2A-2 EFT (Monthly)oct'!Z23+'[5]Table 2A-2 EFT (Monthly)dec'!Z23+'[5]Table 2A-2 EFT (Monthly)jan'!Z23+'[5]Table 2A-2 EFT (Monthly)feb'!Z23+'[5]Table 2A-2 EFT (Monthly) mar'!Z23+'[5]Table 2A-2 EFT (Monthly)apr'!Z23)*-1</f>
        <v>0</v>
      </c>
      <c r="AC24" s="1741">
        <f>('[5]Table 2A-2 EFT (Monthly)'!AA23+'[5]Table 2A-2 EFT (Monthly)Aug'!AA23+'[5]Table 2A-2 EFT (Monthly) sep'!AA23+'[5]Table 2A-2 EFT (Monthly)oct'!AA23+'[5]Table 2A-2 EFT (Monthly)oct'!AA23+'[5]Table 2A-2 EFT (Monthly)dec'!AA23+'[5]Table 2A-2 EFT (Monthly)jan'!AA23+'[5]Table 2A-2 EFT (Monthly)feb'!AA23+'[5]Table 2A-2 EFT (Monthly) mar'!AA23+'[5]Table 2A-2 EFT (Monthly)apr'!AA23)*-1</f>
        <v>0</v>
      </c>
      <c r="AD24" s="1741">
        <f>('[5]Table 2A-2 EFT (Monthly)'!AB23+'[5]Table 2A-2 EFT (Monthly)Aug'!AB23+'[5]Table 2A-2 EFT (Monthly) sep'!AB23+'[5]Table 2A-2 EFT (Monthly)oct'!AB23+'[5]Table 2A-2 EFT (Monthly)oct'!AB23+'[5]Table 2A-2 EFT (Monthly)dec'!AB23+'[5]Table 2A-2 EFT (Monthly)jan'!AB23+'[5]Table 2A-2 EFT (Monthly)feb'!AB23+'[5]Table 2A-2 EFT (Monthly) mar'!AB23+'[5]Table 2A-2 EFT (Monthly)apr'!AB23)*-1</f>
        <v>0</v>
      </c>
      <c r="AE24" s="1741">
        <f>('[5]Table 2A-2 EFT (Monthly)'!AC23+'[5]Table 2A-2 EFT (Monthly)Aug'!AC23+'[5]Table 2A-2 EFT (Monthly) sep'!AC23+'[5]Table 2A-2 EFT (Monthly)oct'!AC23+'[5]Table 2A-2 EFT (Monthly)oct'!AC23+'[5]Table 2A-2 EFT (Monthly)dec'!AC23+'[5]Table 2A-2 EFT (Monthly)jan'!AC23+'[5]Table 2A-2 EFT (Monthly)feb'!AC23+'[5]Table 2A-2 EFT (Monthly) mar'!AC23+'[5]Table 2A-2 EFT (Monthly)apr'!AC23)*-1</f>
        <v>452</v>
      </c>
      <c r="AF24" s="1741">
        <f>('[5]Table 2A-2 EFT (Monthly)'!Q23+'[5]Table 2A-2 EFT (Monthly)Aug'!Q23+'[5]Table 2A-2 EFT (Monthly) sep'!Q23+'[5]Table 2A-2 EFT (Monthly)oct'!Q23+'[5]Table 2A-2 EFT (Monthly)oct'!Q23+'[5]Table 2A-2 EFT (Monthly)dec'!Q23+'[5]Table 2A-2 EFT (Monthly)jan'!Q23+'[5]Table 2A-2 EFT (Monthly)feb'!Q23+'[5]Table 2A-2 EFT (Monthly) mar'!Q23+'[5]Table 2A-2 EFT (Monthly)apr'!Q23+'[5]Table 2A-2 EFT (Monthly)'!AT23+'[5]Table 2A-2 EFT (Monthly) mar'!AT23)*-1</f>
        <v>0</v>
      </c>
      <c r="AG24" s="1741">
        <f>('[5]Table 2A-2 EFT (Monthly)'!R23+'[5]Table 2A-2 EFT (Monthly)Aug'!R23+'[5]Table 2A-2 EFT (Monthly) sep'!R23+'[5]Table 2A-2 EFT (Monthly)oct'!R23+'[5]Table 2A-2 EFT (Monthly)oct'!R23+'[5]Table 2A-2 EFT (Monthly)dec'!R23+'[5]Table 2A-2 EFT (Monthly)jan'!R23+'[5]Table 2A-2 EFT (Monthly)feb'!R23+'[5]Table 2A-2 EFT (Monthly) mar'!R23+'[5]Table 2A-2 EFT (Monthly)apr'!R23+'[5]Table 2A-2 EFT (Monthly)'!AU23+'[5]Table 2A-2 EFT (Monthly) mar'!AU23)*-1</f>
        <v>0</v>
      </c>
      <c r="AH24" s="1741">
        <f>('[5]Table 2A-2 EFT (Monthly)'!S23+'[5]Table 2A-2 EFT (Monthly)Aug'!S23+'[5]Table 2A-2 EFT (Monthly) sep'!S23+'[5]Table 2A-2 EFT (Monthly)oct'!S23+'[5]Table 2A-2 EFT (Monthly)oct'!S23+'[5]Table 2A-2 EFT (Monthly)dec'!S23+'[5]Table 2A-2 EFT (Monthly)jan'!S23+'[5]Table 2A-2 EFT (Monthly)feb'!S23+'[5]Table 2A-2 EFT (Monthly) mar'!S23+'[5]Table 2A-2 EFT (Monthly)apr'!S23+'[5]Table 2A-2 EFT (Monthly)'!AV23+'[5]Table 2A-2 EFT (Monthly) mar'!AV23)*-1</f>
        <v>0</v>
      </c>
      <c r="AI24" s="1741">
        <f>('[5]Table 2A-2 EFT (Monthly)'!T23+'[5]Table 2A-2 EFT (Monthly)Aug'!T23+'[5]Table 2A-2 EFT (Monthly) sep'!T23+'[5]Table 2A-2 EFT (Monthly)oct'!T23+'[5]Table 2A-2 EFT (Monthly)oct'!T23+'[5]Table 2A-2 EFT (Monthly)dec'!T23+'[5]Table 2A-2 EFT (Monthly)jan'!T23+'[5]Table 2A-2 EFT (Monthly)feb'!T23+'[5]Table 2A-2 EFT (Monthly) mar'!T23+'[5]Table 2A-2 EFT (Monthly)apr'!T23+'[5]Table 2A-2 EFT (Monthly)'!AW23+'[5]Table 2A-2 EFT (Monthly) mar'!AW23)*-1</f>
        <v>0</v>
      </c>
      <c r="AJ24" s="1741">
        <f>('[5]Table 2A-2 EFT (Monthly)'!U23+'[5]Table 2A-2 EFT (Monthly)Aug'!U23+'[5]Table 2A-2 EFT (Monthly) sep'!U23+'[5]Table 2A-2 EFT (Monthly)oct'!U23+'[5]Table 2A-2 EFT (Monthly)oct'!U23+'[5]Table 2A-2 EFT (Monthly)dec'!U23+'[5]Table 2A-2 EFT (Monthly)jan'!U23+'[5]Table 2A-2 EFT (Monthly)feb'!U23+'[5]Table 2A-2 EFT (Monthly) mar'!U23+'[5]Table 2A-2 EFT (Monthly)apr'!U23+'[5]Table 2A-2 EFT (Monthly)'!AX23+'[5]Table 2A-2 EFT (Monthly) mar'!AX23)*-1</f>
        <v>14539.887500000001</v>
      </c>
      <c r="AK24" s="1741">
        <f>('[5]Table 2A-2 EFT (Monthly)'!V23+'[5]Table 2A-2 EFT (Monthly)Aug'!V23+'[5]Table 2A-2 EFT (Monthly) sep'!V23+'[5]Table 2A-2 EFT (Monthly)oct'!V23+'[5]Table 2A-2 EFT (Monthly)oct'!V23+'[5]Table 2A-2 EFT (Monthly)dec'!V23+'[5]Table 2A-2 EFT (Monthly)jan'!V23+'[5]Table 2A-2 EFT (Monthly)feb'!V23+'[5]Table 2A-2 EFT (Monthly) mar'!V23+'[5]Table 2A-2 EFT (Monthly)apr'!V23+'[5]Table 2A-2 EFT (Monthly)'!AY23+'[5]Table 2A-2 EFT (Monthly) mar'!AY23)*-1</f>
        <v>0</v>
      </c>
      <c r="AL24" s="1741">
        <f>('[5]Table 2A-2 EFT (Monthly)'!W23+'[5]Table 2A-2 EFT (Monthly)Aug'!W23+'[5]Table 2A-2 EFT (Monthly) sep'!W23+'[5]Table 2A-2 EFT (Monthly)oct'!W23+'[5]Table 2A-2 EFT (Monthly)oct'!W23+'[5]Table 2A-2 EFT (Monthly)dec'!W23+'[5]Table 2A-2 EFT (Monthly)jan'!W23+'[5]Table 2A-2 EFT (Monthly)feb'!W23+'[5]Table 2A-2 EFT (Monthly) mar'!W23+'[5]Table 2A-2 EFT (Monthly)apr'!W23+'[5]Table 2A-2 EFT (Monthly)'!AZ23+'[5]Table 2A-2 EFT (Monthly) mar'!AZ23)*-1</f>
        <v>0</v>
      </c>
      <c r="AM24" s="1741">
        <f>('[5]Table 2A-2 EFT (Monthly)'!X23+'[5]Table 2A-2 EFT (Monthly)Aug'!X23+'[5]Table 2A-2 EFT (Monthly) sep'!X23+'[5]Table 2A-2 EFT (Monthly)oct'!X23+'[5]Table 2A-2 EFT (Monthly)oct'!X23+'[5]Table 2A-2 EFT (Monthly)dec'!X23+'[5]Table 2A-2 EFT (Monthly)jan'!X23+'[5]Table 2A-2 EFT (Monthly)feb'!X23+'[5]Table 2A-2 EFT (Monthly) mar'!X23+'[5]Table 2A-2 EFT (Monthly)apr'!X23+'[5]Table 2A-2 EFT (Monthly)'!BA23+'[5]Table 2A-2 EFT (Monthly) mar'!BA23)*-1</f>
        <v>0</v>
      </c>
      <c r="AN24" s="1741">
        <f>('[5]Table 2A-2 EFT (Monthly) sep'!AD23+'[5]Table 2A-2 EFT (Monthly)dec'!AD23+'[5]Table 2A-2 EFT (Monthly)feb'!AD23)*-1</f>
        <v>0</v>
      </c>
      <c r="AO24" s="1741">
        <f t="shared" si="30"/>
        <v>14991.887500000001</v>
      </c>
      <c r="AP24" s="563">
        <f t="shared" si="31"/>
        <v>1187559.0375000003</v>
      </c>
      <c r="AQ24" s="309">
        <f t="shared" si="32"/>
        <v>593780</v>
      </c>
      <c r="AR24" s="309">
        <f>'Table 4A Stipends'!G21</f>
        <v>0</v>
      </c>
      <c r="AS24" s="354">
        <f t="shared" si="20"/>
        <v>7401166</v>
      </c>
      <c r="AU24" s="1339">
        <f>('Table 8 2.1.12 MFP Funded'!G21*'Table 3 Levels 1&amp;2'!AP25)+'Table 2_State with Midyear Adjs'!F24</f>
        <v>7597488.2952440856</v>
      </c>
      <c r="AV24" s="959">
        <f t="shared" si="21"/>
        <v>-196322.2952440856</v>
      </c>
      <c r="AW24" s="280">
        <f t="shared" si="33"/>
        <v>-2.5840420888437621E-2</v>
      </c>
    </row>
    <row r="25" spans="1:50">
      <c r="A25" s="101">
        <v>19</v>
      </c>
      <c r="B25" s="299" t="s">
        <v>120</v>
      </c>
      <c r="C25" s="309">
        <f>'Table 3 Levels 1&amp;2'!AO26</f>
        <v>11834936.3202</v>
      </c>
      <c r="D25" s="354">
        <f>'[2]Adjusted Amounts'!$C25</f>
        <v>18357.993118527462</v>
      </c>
      <c r="E25" s="354">
        <f>'[2]Adjusted Amounts'!$H25</f>
        <v>-43538.03164668387</v>
      </c>
      <c r="F25" s="354">
        <f t="shared" si="22"/>
        <v>-25180.038528156409</v>
      </c>
      <c r="G25" s="309">
        <f t="shared" si="19"/>
        <v>0</v>
      </c>
      <c r="H25" s="354">
        <f t="shared" si="23"/>
        <v>-25180.038528156409</v>
      </c>
      <c r="I25" s="354">
        <f>'[1]Midyear Adjustment Summary'!C23+'[1]Oct midyear Madison Prep'!K25+'[1]Oct midyear DArbonne'!K25+'[1]Oct midyear Intl_VIBE '!K25+'[1]Oct midyear NOMMA'!K25+'[1]Oct midyear LFNO'!K25+'[1]Oct midyear Lake Charles Chtr'!K25+'[1]Oct midyear LA Virtual Admy'!K22+'[1]Oct midyear LA Connections'!K22</f>
        <v>-182605.24308321983</v>
      </c>
      <c r="J25" s="354">
        <f>'[1]Midyear Adjustment Summary'!D23+'[1]Feb midyear Madison Prep'!K25+'[1]Feb midyear DArbonne'!K25+'[1]Feb midyear Intl_VIBE '!K25+'[1]Feb midyear NOMMA'!K25+'[1]Feb midyear LFNO '!K25+'[1]Feb midyear Lake Charles Ch'!K25+'[1]Feb midyear LA Virtual Admy'!K22+'[1]Feb midyear LA Connections'!K22</f>
        <v>29619.91401182663</v>
      </c>
      <c r="K25" s="354">
        <f t="shared" si="24"/>
        <v>-152985.32907139321</v>
      </c>
      <c r="L25" s="354"/>
      <c r="M25" s="354">
        <f>-'Table 5C1A-Madison Prep'!L25</f>
        <v>0</v>
      </c>
      <c r="N25" s="354">
        <f>-'Table 5C1B-DArbonne'!L25</f>
        <v>0</v>
      </c>
      <c r="O25" s="354">
        <f>-'Table 5C1C-Intl_VIBE'!L25</f>
        <v>0</v>
      </c>
      <c r="P25" s="354">
        <f>-'Table 5C1D-NOMMA'!L25</f>
        <v>0</v>
      </c>
      <c r="Q25" s="354">
        <f>-'Table 5C1E-LFNO'!L25</f>
        <v>0</v>
      </c>
      <c r="R25" s="354">
        <f>-'Table 5C1F-Lake Charles Charter'!L25</f>
        <v>0</v>
      </c>
      <c r="S25" s="314">
        <f>-'Table 5C2 - LA Virtual Admy'!M23-'Table 5C2 - LA Virtual Admy'!I23</f>
        <v>-37140.288345015484</v>
      </c>
      <c r="T25" s="314">
        <f>-'Table 5C3 - LA Connections EBR'!M23-'Table 5C3 - LA Connections EBR'!I23</f>
        <v>-19757.852987306502</v>
      </c>
      <c r="U25" s="1692">
        <f t="shared" si="25"/>
        <v>-56898.141332321989</v>
      </c>
      <c r="V25" s="563">
        <f t="shared" si="26"/>
        <v>11599873</v>
      </c>
      <c r="W25" s="563">
        <f>[3]MFP!DT26</f>
        <v>9735330</v>
      </c>
      <c r="X25" s="563">
        <f t="shared" si="27"/>
        <v>0</v>
      </c>
      <c r="Y25" s="563">
        <f>'[4]Table 4B Rewards'!G22</f>
        <v>0</v>
      </c>
      <c r="Z25" s="563">
        <f t="shared" si="28"/>
        <v>9735330</v>
      </c>
      <c r="AA25" s="1738">
        <f t="shared" si="29"/>
        <v>1864543</v>
      </c>
      <c r="AB25" s="1741">
        <f>('[5]Table 2A-2 EFT (Monthly)'!Z24+'[5]Table 2A-2 EFT (Monthly)Aug'!Z24+'[5]Table 2A-2 EFT (Monthly) sep'!Z24+'[5]Table 2A-2 EFT (Monthly)oct'!Z24+'[5]Table 2A-2 EFT (Monthly)oct'!Z24+'[5]Table 2A-2 EFT (Monthly)dec'!Z24+'[5]Table 2A-2 EFT (Monthly)jan'!Z24+'[5]Table 2A-2 EFT (Monthly)feb'!Z24+'[5]Table 2A-2 EFT (Monthly) mar'!Z24+'[5]Table 2A-2 EFT (Monthly)apr'!Z24)*-1</f>
        <v>0</v>
      </c>
      <c r="AC25" s="1741">
        <f>('[5]Table 2A-2 EFT (Monthly)'!AA24+'[5]Table 2A-2 EFT (Monthly)Aug'!AA24+'[5]Table 2A-2 EFT (Monthly) sep'!AA24+'[5]Table 2A-2 EFT (Monthly)oct'!AA24+'[5]Table 2A-2 EFT (Monthly)oct'!AA24+'[5]Table 2A-2 EFT (Monthly)dec'!AA24+'[5]Table 2A-2 EFT (Monthly)jan'!AA24+'[5]Table 2A-2 EFT (Monthly)feb'!AA24+'[5]Table 2A-2 EFT (Monthly) mar'!AA24+'[5]Table 2A-2 EFT (Monthly)apr'!AA24)*-1</f>
        <v>0</v>
      </c>
      <c r="AD25" s="1741">
        <f>('[5]Table 2A-2 EFT (Monthly)'!AB24+'[5]Table 2A-2 EFT (Monthly)Aug'!AB24+'[5]Table 2A-2 EFT (Monthly) sep'!AB24+'[5]Table 2A-2 EFT (Monthly)oct'!AB24+'[5]Table 2A-2 EFT (Monthly)oct'!AB24+'[5]Table 2A-2 EFT (Monthly)dec'!AB24+'[5]Table 2A-2 EFT (Monthly)jan'!AB24+'[5]Table 2A-2 EFT (Monthly)feb'!AB24+'[5]Table 2A-2 EFT (Monthly) mar'!AB24+'[5]Table 2A-2 EFT (Monthly)apr'!AB24)*-1</f>
        <v>7558</v>
      </c>
      <c r="AE25" s="1741">
        <f>('[5]Table 2A-2 EFT (Monthly)'!AC24+'[5]Table 2A-2 EFT (Monthly)Aug'!AC24+'[5]Table 2A-2 EFT (Monthly) sep'!AC24+'[5]Table 2A-2 EFT (Monthly)oct'!AC24+'[5]Table 2A-2 EFT (Monthly)oct'!AC24+'[5]Table 2A-2 EFT (Monthly)dec'!AC24+'[5]Table 2A-2 EFT (Monthly)jan'!AC24+'[5]Table 2A-2 EFT (Monthly)feb'!AC24+'[5]Table 2A-2 EFT (Monthly) mar'!AC24+'[5]Table 2A-2 EFT (Monthly)apr'!AC24)*-1</f>
        <v>10580</v>
      </c>
      <c r="AF25" s="1741">
        <f>('[5]Table 2A-2 EFT (Monthly)'!Q24+'[5]Table 2A-2 EFT (Monthly)Aug'!Q24+'[5]Table 2A-2 EFT (Monthly) sep'!Q24+'[5]Table 2A-2 EFT (Monthly)oct'!Q24+'[5]Table 2A-2 EFT (Monthly)oct'!Q24+'[5]Table 2A-2 EFT (Monthly)dec'!Q24+'[5]Table 2A-2 EFT (Monthly)jan'!Q24+'[5]Table 2A-2 EFT (Monthly)feb'!Q24+'[5]Table 2A-2 EFT (Monthly) mar'!Q24+'[5]Table 2A-2 EFT (Monthly)apr'!Q24+'[5]Table 2A-2 EFT (Monthly)'!AT24+'[5]Table 2A-2 EFT (Monthly) mar'!AT24)*-1</f>
        <v>0</v>
      </c>
      <c r="AG25" s="1741">
        <f>('[5]Table 2A-2 EFT (Monthly)'!R24+'[5]Table 2A-2 EFT (Monthly)Aug'!R24+'[5]Table 2A-2 EFT (Monthly) sep'!R24+'[5]Table 2A-2 EFT (Monthly)oct'!R24+'[5]Table 2A-2 EFT (Monthly)oct'!R24+'[5]Table 2A-2 EFT (Monthly)dec'!R24+'[5]Table 2A-2 EFT (Monthly)jan'!R24+'[5]Table 2A-2 EFT (Monthly)feb'!R24+'[5]Table 2A-2 EFT (Monthly) mar'!R24+'[5]Table 2A-2 EFT (Monthly)apr'!R24+'[5]Table 2A-2 EFT (Monthly)'!AU24+'[5]Table 2A-2 EFT (Monthly) mar'!AU24)*-1</f>
        <v>0</v>
      </c>
      <c r="AH25" s="1741">
        <f>('[5]Table 2A-2 EFT (Monthly)'!S24+'[5]Table 2A-2 EFT (Monthly)Aug'!S24+'[5]Table 2A-2 EFT (Monthly) sep'!S24+'[5]Table 2A-2 EFT (Monthly)oct'!S24+'[5]Table 2A-2 EFT (Monthly)oct'!S24+'[5]Table 2A-2 EFT (Monthly)dec'!S24+'[5]Table 2A-2 EFT (Monthly)jan'!S24+'[5]Table 2A-2 EFT (Monthly)feb'!S24+'[5]Table 2A-2 EFT (Monthly) mar'!S24+'[5]Table 2A-2 EFT (Monthly)apr'!S24+'[5]Table 2A-2 EFT (Monthly)'!AV24+'[5]Table 2A-2 EFT (Monthly) mar'!AV24)*-1</f>
        <v>0</v>
      </c>
      <c r="AI25" s="1741">
        <f>('[5]Table 2A-2 EFT (Monthly)'!T24+'[5]Table 2A-2 EFT (Monthly)Aug'!T24+'[5]Table 2A-2 EFT (Monthly) sep'!T24+'[5]Table 2A-2 EFT (Monthly)oct'!T24+'[5]Table 2A-2 EFT (Monthly)oct'!T24+'[5]Table 2A-2 EFT (Monthly)dec'!T24+'[5]Table 2A-2 EFT (Monthly)jan'!T24+'[5]Table 2A-2 EFT (Monthly)feb'!T24+'[5]Table 2A-2 EFT (Monthly) mar'!T24+'[5]Table 2A-2 EFT (Monthly)apr'!T24+'[5]Table 2A-2 EFT (Monthly)'!AW24+'[5]Table 2A-2 EFT (Monthly) mar'!AW24)*-1</f>
        <v>0</v>
      </c>
      <c r="AJ25" s="1741">
        <f>('[5]Table 2A-2 EFT (Monthly)'!U24+'[5]Table 2A-2 EFT (Monthly)Aug'!U24+'[5]Table 2A-2 EFT (Monthly) sep'!U24+'[5]Table 2A-2 EFT (Monthly)oct'!U24+'[5]Table 2A-2 EFT (Monthly)oct'!U24+'[5]Table 2A-2 EFT (Monthly)dec'!U24+'[5]Table 2A-2 EFT (Monthly)jan'!U24+'[5]Table 2A-2 EFT (Monthly)feb'!U24+'[5]Table 2A-2 EFT (Monthly) mar'!U24+'[5]Table 2A-2 EFT (Monthly)apr'!U24+'[5]Table 2A-2 EFT (Monthly)'!AX24+'[5]Table 2A-2 EFT (Monthly) mar'!AX24)*-1</f>
        <v>0</v>
      </c>
      <c r="AK25" s="1741">
        <f>('[5]Table 2A-2 EFT (Monthly)'!V24+'[5]Table 2A-2 EFT (Monthly)Aug'!V24+'[5]Table 2A-2 EFT (Monthly) sep'!V24+'[5]Table 2A-2 EFT (Monthly)oct'!V24+'[5]Table 2A-2 EFT (Monthly)oct'!V24+'[5]Table 2A-2 EFT (Monthly)dec'!V24+'[5]Table 2A-2 EFT (Monthly)jan'!V24+'[5]Table 2A-2 EFT (Monthly)feb'!V24+'[5]Table 2A-2 EFT (Monthly) mar'!V24+'[5]Table 2A-2 EFT (Monthly)apr'!V24+'[5]Table 2A-2 EFT (Monthly)'!AY24+'[5]Table 2A-2 EFT (Monthly) mar'!AY24)*-1</f>
        <v>0</v>
      </c>
      <c r="AL25" s="1741">
        <f>('[5]Table 2A-2 EFT (Monthly)'!W24+'[5]Table 2A-2 EFT (Monthly)Aug'!W24+'[5]Table 2A-2 EFT (Monthly) sep'!W24+'[5]Table 2A-2 EFT (Monthly)oct'!W24+'[5]Table 2A-2 EFT (Monthly)oct'!W24+'[5]Table 2A-2 EFT (Monthly)dec'!W24+'[5]Table 2A-2 EFT (Monthly)jan'!W24+'[5]Table 2A-2 EFT (Monthly)feb'!W24+'[5]Table 2A-2 EFT (Monthly) mar'!W24+'[5]Table 2A-2 EFT (Monthly)apr'!W24+'[5]Table 2A-2 EFT (Monthly)'!AZ24+'[5]Table 2A-2 EFT (Monthly) mar'!AZ24)*-1</f>
        <v>0</v>
      </c>
      <c r="AM25" s="1741">
        <f>('[5]Table 2A-2 EFT (Monthly)'!X24+'[5]Table 2A-2 EFT (Monthly)Aug'!X24+'[5]Table 2A-2 EFT (Monthly) sep'!X24+'[5]Table 2A-2 EFT (Monthly)oct'!X24+'[5]Table 2A-2 EFT (Monthly)oct'!X24+'[5]Table 2A-2 EFT (Monthly)dec'!X24+'[5]Table 2A-2 EFT (Monthly)jan'!X24+'[5]Table 2A-2 EFT (Monthly)feb'!X24+'[5]Table 2A-2 EFT (Monthly) mar'!X24+'[5]Table 2A-2 EFT (Monthly)apr'!X24+'[5]Table 2A-2 EFT (Monthly)'!BA24+'[5]Table 2A-2 EFT (Monthly) mar'!BA24)*-1</f>
        <v>0</v>
      </c>
      <c r="AN25" s="1741">
        <f>('[5]Table 2A-2 EFT (Monthly) sep'!AD24+'[5]Table 2A-2 EFT (Monthly)dec'!AD24+'[5]Table 2A-2 EFT (Monthly)feb'!AD24)*-1</f>
        <v>3461.9621139432902</v>
      </c>
      <c r="AO25" s="1741">
        <f t="shared" si="30"/>
        <v>21599.962113943289</v>
      </c>
      <c r="AP25" s="563">
        <f t="shared" si="31"/>
        <v>1886142.9621139432</v>
      </c>
      <c r="AQ25" s="309">
        <f t="shared" si="32"/>
        <v>943071</v>
      </c>
      <c r="AR25" s="309">
        <f>'Table 4A Stipends'!G22</f>
        <v>0</v>
      </c>
      <c r="AS25" s="354">
        <f t="shared" si="20"/>
        <v>11599873</v>
      </c>
      <c r="AU25" s="1339">
        <f>('Table 8 2.1.12 MFP Funded'!G22*'Table 3 Levels 1&amp;2'!AP26)+'Table 2_State with Midyear Adjs'!F25</f>
        <v>11754795.277088873</v>
      </c>
      <c r="AV25" s="959">
        <f t="shared" si="21"/>
        <v>-154922.27708887309</v>
      </c>
      <c r="AW25" s="280">
        <f t="shared" si="33"/>
        <v>-1.3179495979043564E-2</v>
      </c>
    </row>
    <row r="26" spans="1:50">
      <c r="A26" s="102">
        <v>20</v>
      </c>
      <c r="B26" s="300" t="s">
        <v>121</v>
      </c>
      <c r="C26" s="318">
        <f>'Table 3 Levels 1&amp;2'!AO27</f>
        <v>35055937.313891999</v>
      </c>
      <c r="D26" s="355">
        <f>'[2]Adjusted Amounts'!$C26</f>
        <v>0</v>
      </c>
      <c r="E26" s="355">
        <f>'[2]Adjusted Amounts'!$H26</f>
        <v>0</v>
      </c>
      <c r="F26" s="355">
        <f t="shared" si="22"/>
        <v>0</v>
      </c>
      <c r="G26" s="318">
        <f t="shared" si="19"/>
        <v>0</v>
      </c>
      <c r="H26" s="355">
        <f t="shared" si="23"/>
        <v>0</v>
      </c>
      <c r="I26" s="355">
        <f>'[1]Midyear Adjustment Summary'!C24+'[1]Oct midyear Madison Prep'!K26+'[1]Oct midyear DArbonne'!K26+'[1]Oct midyear Intl_VIBE '!K26+'[1]Oct midyear NOMMA'!K26+'[1]Oct midyear LFNO'!K26+'[1]Oct midyear Lake Charles Chtr'!K26+'[1]Oct midyear LA Virtual Admy'!K23+'[1]Oct midyear LA Connections'!K23</f>
        <v>767972.46215029282</v>
      </c>
      <c r="J26" s="355">
        <f>'[1]Midyear Adjustment Summary'!D24+'[1]Feb midyear Madison Prep'!K26+'[1]Feb midyear DArbonne'!K26+'[1]Feb midyear Intl_VIBE '!K26+'[1]Feb midyear NOMMA'!K26+'[1]Feb midyear LFNO '!K26+'[1]Feb midyear Lake Charles Ch'!K26+'[1]Feb midyear LA Virtual Admy'!K23+'[1]Feb midyear LA Connections'!K23</f>
        <v>-136944.02899302158</v>
      </c>
      <c r="K26" s="355">
        <f t="shared" si="24"/>
        <v>631028.43315727124</v>
      </c>
      <c r="L26" s="355"/>
      <c r="M26" s="355">
        <f>-'Table 5C1A-Madison Prep'!L26</f>
        <v>0</v>
      </c>
      <c r="N26" s="355">
        <f>-'Table 5C1B-DArbonne'!L26</f>
        <v>0</v>
      </c>
      <c r="O26" s="355">
        <f>-'Table 5C1C-Intl_VIBE'!L26</f>
        <v>0</v>
      </c>
      <c r="P26" s="355">
        <f>-'Table 5C1D-NOMMA'!L26</f>
        <v>0</v>
      </c>
      <c r="Q26" s="355">
        <f>-'Table 5C1E-LFNO'!L26</f>
        <v>0</v>
      </c>
      <c r="R26" s="355">
        <f>-'Table 5C1F-Lake Charles Charter'!L26</f>
        <v>0</v>
      </c>
      <c r="S26" s="321">
        <f>-'Table 5C2 - LA Virtual Admy'!M24-'Table 5C2 - LA Virtual Admy'!I24</f>
        <v>-36934.278967256992</v>
      </c>
      <c r="T26" s="321">
        <f>-'Table 5C3 - LA Connections EBR'!M24-'Table 5C3 - LA Connections EBR'!I24</f>
        <v>-38551.15328878141</v>
      </c>
      <c r="U26" s="321">
        <f t="shared" si="25"/>
        <v>-75485.432256038403</v>
      </c>
      <c r="V26" s="564">
        <f t="shared" si="26"/>
        <v>35611480</v>
      </c>
      <c r="W26" s="564">
        <f>[3]MFP!DT27</f>
        <v>29449110</v>
      </c>
      <c r="X26" s="564">
        <f t="shared" si="27"/>
        <v>0</v>
      </c>
      <c r="Y26" s="564">
        <f>'[4]Table 4B Rewards'!G23</f>
        <v>33815.4</v>
      </c>
      <c r="Z26" s="564">
        <f t="shared" si="28"/>
        <v>29482925.399999999</v>
      </c>
      <c r="AA26" s="564">
        <f t="shared" si="29"/>
        <v>6128554.6000000015</v>
      </c>
      <c r="AB26" s="1742">
        <f>('[5]Table 2A-2 EFT (Monthly)'!Z25+'[5]Table 2A-2 EFT (Monthly)Aug'!Z25+'[5]Table 2A-2 EFT (Monthly) sep'!Z25+'[5]Table 2A-2 EFT (Monthly)oct'!Z25+'[5]Table 2A-2 EFT (Monthly)oct'!Z25+'[5]Table 2A-2 EFT (Monthly)dec'!Z25+'[5]Table 2A-2 EFT (Monthly)jan'!Z25+'[5]Table 2A-2 EFT (Monthly)feb'!Z25+'[5]Table 2A-2 EFT (Monthly) mar'!Z25+'[5]Table 2A-2 EFT (Monthly)apr'!Z25)*-1</f>
        <v>1612</v>
      </c>
      <c r="AC26" s="1742">
        <f>('[5]Table 2A-2 EFT (Monthly)'!AA25+'[5]Table 2A-2 EFT (Monthly)Aug'!AA25+'[5]Table 2A-2 EFT (Monthly) sep'!AA25+'[5]Table 2A-2 EFT (Monthly)oct'!AA25+'[5]Table 2A-2 EFT (Monthly)oct'!AA25+'[5]Table 2A-2 EFT (Monthly)dec'!AA25+'[5]Table 2A-2 EFT (Monthly)jan'!AA25+'[5]Table 2A-2 EFT (Monthly)feb'!AA25+'[5]Table 2A-2 EFT (Monthly) mar'!AA25+'[5]Table 2A-2 EFT (Monthly)apr'!AA25)*-1</f>
        <v>0</v>
      </c>
      <c r="AD26" s="1742">
        <f>('[5]Table 2A-2 EFT (Monthly)'!AB25+'[5]Table 2A-2 EFT (Monthly)Aug'!AB25+'[5]Table 2A-2 EFT (Monthly) sep'!AB25+'[5]Table 2A-2 EFT (Monthly)oct'!AB25+'[5]Table 2A-2 EFT (Monthly)oct'!AB25+'[5]Table 2A-2 EFT (Monthly)dec'!AB25+'[5]Table 2A-2 EFT (Monthly)jan'!AB25+'[5]Table 2A-2 EFT (Monthly)feb'!AB25+'[5]Table 2A-2 EFT (Monthly) mar'!AB25+'[5]Table 2A-2 EFT (Monthly)apr'!AB25)*-1</f>
        <v>7488</v>
      </c>
      <c r="AE26" s="1742">
        <f>('[5]Table 2A-2 EFT (Monthly)'!AC25+'[5]Table 2A-2 EFT (Monthly)Aug'!AC25+'[5]Table 2A-2 EFT (Monthly) sep'!AC25+'[5]Table 2A-2 EFT (Monthly)oct'!AC25+'[5]Table 2A-2 EFT (Monthly)oct'!AC25+'[5]Table 2A-2 EFT (Monthly)dec'!AC25+'[5]Table 2A-2 EFT (Monthly)jan'!AC25+'[5]Table 2A-2 EFT (Monthly)feb'!AC25+'[5]Table 2A-2 EFT (Monthly) mar'!AC25+'[5]Table 2A-2 EFT (Monthly)apr'!AC25)*-1</f>
        <v>5804</v>
      </c>
      <c r="AF26" s="1742">
        <f>('[5]Table 2A-2 EFT (Monthly)'!Q25+'[5]Table 2A-2 EFT (Monthly)Aug'!Q25+'[5]Table 2A-2 EFT (Monthly) sep'!Q25+'[5]Table 2A-2 EFT (Monthly)oct'!Q25+'[5]Table 2A-2 EFT (Monthly)oct'!Q25+'[5]Table 2A-2 EFT (Monthly)dec'!Q25+'[5]Table 2A-2 EFT (Monthly)jan'!Q25+'[5]Table 2A-2 EFT (Monthly)feb'!Q25+'[5]Table 2A-2 EFT (Monthly) mar'!Q25+'[5]Table 2A-2 EFT (Monthly)apr'!Q25+'[5]Table 2A-2 EFT (Monthly)'!AT25+'[5]Table 2A-2 EFT (Monthly) mar'!AT25)*-1</f>
        <v>0</v>
      </c>
      <c r="AG26" s="1742">
        <f>('[5]Table 2A-2 EFT (Monthly)'!R25+'[5]Table 2A-2 EFT (Monthly)Aug'!R25+'[5]Table 2A-2 EFT (Monthly) sep'!R25+'[5]Table 2A-2 EFT (Monthly)oct'!R25+'[5]Table 2A-2 EFT (Monthly)oct'!R25+'[5]Table 2A-2 EFT (Monthly)dec'!R25+'[5]Table 2A-2 EFT (Monthly)jan'!R25+'[5]Table 2A-2 EFT (Monthly)feb'!R25+'[5]Table 2A-2 EFT (Monthly) mar'!R25+'[5]Table 2A-2 EFT (Monthly)apr'!R25+'[5]Table 2A-2 EFT (Monthly)'!AU25+'[5]Table 2A-2 EFT (Monthly) mar'!AU25)*-1</f>
        <v>0</v>
      </c>
      <c r="AH26" s="1742">
        <f>('[5]Table 2A-2 EFT (Monthly)'!S25+'[5]Table 2A-2 EFT (Monthly)Aug'!S25+'[5]Table 2A-2 EFT (Monthly) sep'!S25+'[5]Table 2A-2 EFT (Monthly)oct'!S25+'[5]Table 2A-2 EFT (Monthly)oct'!S25+'[5]Table 2A-2 EFT (Monthly)dec'!S25+'[5]Table 2A-2 EFT (Monthly)jan'!S25+'[5]Table 2A-2 EFT (Monthly)feb'!S25+'[5]Table 2A-2 EFT (Monthly) mar'!S25+'[5]Table 2A-2 EFT (Monthly)apr'!S25+'[5]Table 2A-2 EFT (Monthly)'!AV25+'[5]Table 2A-2 EFT (Monthly) mar'!AV25)*-1</f>
        <v>0</v>
      </c>
      <c r="AI26" s="1742">
        <f>('[5]Table 2A-2 EFT (Monthly)'!T25+'[5]Table 2A-2 EFT (Monthly)Aug'!T25+'[5]Table 2A-2 EFT (Monthly) sep'!T25+'[5]Table 2A-2 EFT (Monthly)oct'!T25+'[5]Table 2A-2 EFT (Monthly)oct'!T25+'[5]Table 2A-2 EFT (Monthly)dec'!T25+'[5]Table 2A-2 EFT (Monthly)jan'!T25+'[5]Table 2A-2 EFT (Monthly)feb'!T25+'[5]Table 2A-2 EFT (Monthly) mar'!T25+'[5]Table 2A-2 EFT (Monthly)apr'!T25+'[5]Table 2A-2 EFT (Monthly)'!AW25+'[5]Table 2A-2 EFT (Monthly) mar'!AW25)*-1</f>
        <v>0</v>
      </c>
      <c r="AJ26" s="1742">
        <f>('[5]Table 2A-2 EFT (Monthly)'!U25+'[5]Table 2A-2 EFT (Monthly)Aug'!U25+'[5]Table 2A-2 EFT (Monthly) sep'!U25+'[5]Table 2A-2 EFT (Monthly)oct'!U25+'[5]Table 2A-2 EFT (Monthly)oct'!U25+'[5]Table 2A-2 EFT (Monthly)dec'!U25+'[5]Table 2A-2 EFT (Monthly)jan'!U25+'[5]Table 2A-2 EFT (Monthly)feb'!U25+'[5]Table 2A-2 EFT (Monthly) mar'!U25+'[5]Table 2A-2 EFT (Monthly)apr'!U25+'[5]Table 2A-2 EFT (Monthly)'!AX25+'[5]Table 2A-2 EFT (Monthly) mar'!AX25)*-1</f>
        <v>0</v>
      </c>
      <c r="AK26" s="1742">
        <f>('[5]Table 2A-2 EFT (Monthly)'!V25+'[5]Table 2A-2 EFT (Monthly)Aug'!V25+'[5]Table 2A-2 EFT (Monthly) sep'!V25+'[5]Table 2A-2 EFT (Monthly)oct'!V25+'[5]Table 2A-2 EFT (Monthly)oct'!V25+'[5]Table 2A-2 EFT (Monthly)dec'!V25+'[5]Table 2A-2 EFT (Monthly)jan'!V25+'[5]Table 2A-2 EFT (Monthly)feb'!V25+'[5]Table 2A-2 EFT (Monthly) mar'!V25+'[5]Table 2A-2 EFT (Monthly)apr'!V25+'[5]Table 2A-2 EFT (Monthly)'!AY25+'[5]Table 2A-2 EFT (Monthly) mar'!AY25)*-1</f>
        <v>0</v>
      </c>
      <c r="AL26" s="1742">
        <f>('[5]Table 2A-2 EFT (Monthly)'!W25+'[5]Table 2A-2 EFT (Monthly)Aug'!W25+'[5]Table 2A-2 EFT (Monthly) sep'!W25+'[5]Table 2A-2 EFT (Monthly)oct'!W25+'[5]Table 2A-2 EFT (Monthly)oct'!W25+'[5]Table 2A-2 EFT (Monthly)dec'!W25+'[5]Table 2A-2 EFT (Monthly)jan'!W25+'[5]Table 2A-2 EFT (Monthly)feb'!W25+'[5]Table 2A-2 EFT (Monthly) mar'!W25+'[5]Table 2A-2 EFT (Monthly)apr'!W25+'[5]Table 2A-2 EFT (Monthly)'!AZ25+'[5]Table 2A-2 EFT (Monthly) mar'!AZ25)*-1</f>
        <v>0</v>
      </c>
      <c r="AM26" s="1742">
        <f>('[5]Table 2A-2 EFT (Monthly)'!X25+'[5]Table 2A-2 EFT (Monthly)Aug'!X25+'[5]Table 2A-2 EFT (Monthly) sep'!X25+'[5]Table 2A-2 EFT (Monthly)oct'!X25+'[5]Table 2A-2 EFT (Monthly)oct'!X25+'[5]Table 2A-2 EFT (Monthly)dec'!X25+'[5]Table 2A-2 EFT (Monthly)jan'!X25+'[5]Table 2A-2 EFT (Monthly)feb'!X25+'[5]Table 2A-2 EFT (Monthly) mar'!X25+'[5]Table 2A-2 EFT (Monthly)apr'!X25+'[5]Table 2A-2 EFT (Monthly)'!BA25+'[5]Table 2A-2 EFT (Monthly) mar'!BA25)*-1</f>
        <v>0</v>
      </c>
      <c r="AN26" s="1742">
        <f>('[5]Table 2A-2 EFT (Monthly) sep'!AD25+'[5]Table 2A-2 EFT (Monthly)dec'!AD25+'[5]Table 2A-2 EFT (Monthly)feb'!AD25)*-1</f>
        <v>0</v>
      </c>
      <c r="AO26" s="1742">
        <f t="shared" si="30"/>
        <v>14904</v>
      </c>
      <c r="AP26" s="564">
        <f t="shared" si="31"/>
        <v>6143458.6000000015</v>
      </c>
      <c r="AQ26" s="318">
        <f t="shared" si="32"/>
        <v>3071729</v>
      </c>
      <c r="AR26" s="318">
        <f>'Table 4A Stipends'!G23</f>
        <v>0</v>
      </c>
      <c r="AS26" s="355">
        <f t="shared" si="20"/>
        <v>35611480</v>
      </c>
      <c r="AU26" s="1339">
        <f>('Table 8 2.1.12 MFP Funded'!G23*'Table 3 Levels 1&amp;2'!AP27)+'Table 2_State with Midyear Adjs'!F26</f>
        <v>35001643.141490519</v>
      </c>
      <c r="AV26" s="959">
        <f t="shared" si="21"/>
        <v>609836.85850948095</v>
      </c>
      <c r="AW26" s="280">
        <f t="shared" si="33"/>
        <v>1.7423092282961648E-2</v>
      </c>
    </row>
    <row r="27" spans="1:50">
      <c r="A27" s="101">
        <v>21</v>
      </c>
      <c r="B27" s="299" t="s">
        <v>122</v>
      </c>
      <c r="C27" s="309">
        <f>'Table 3 Levels 1&amp;2'!AO28</f>
        <v>18797640.646895997</v>
      </c>
      <c r="D27" s="354">
        <f>'[2]Adjusted Amounts'!$C27</f>
        <v>18633.63105771839</v>
      </c>
      <c r="E27" s="354">
        <f>'[2]Adjusted Amounts'!$H27</f>
        <v>0</v>
      </c>
      <c r="F27" s="354">
        <f t="shared" si="22"/>
        <v>18633.63105771839</v>
      </c>
      <c r="G27" s="309">
        <f t="shared" si="19"/>
        <v>18633.63105771839</v>
      </c>
      <c r="H27" s="354">
        <f t="shared" si="23"/>
        <v>0</v>
      </c>
      <c r="I27" s="354">
        <f>'[1]Midyear Adjustment Summary'!C25+'[1]Oct midyear Madison Prep'!K27+'[1]Oct midyear DArbonne'!K27+'[1]Oct midyear Intl_VIBE '!K27+'[1]Oct midyear NOMMA'!K27+'[1]Oct midyear LFNO'!K27+'[1]Oct midyear Lake Charles Chtr'!K27+'[1]Oct midyear LA Virtual Admy'!K24+'[1]Oct midyear LA Connections'!K24</f>
        <v>216021.98202297438</v>
      </c>
      <c r="J27" s="354">
        <f>'[1]Midyear Adjustment Summary'!D25+'[1]Feb midyear Madison Prep'!K27+'[1]Feb midyear DArbonne'!K27+'[1]Feb midyear Intl_VIBE '!K27+'[1]Feb midyear NOMMA'!K27+'[1]Feb midyear LFNO '!K27+'[1]Feb midyear Lake Charles Ch'!K27+'[1]Feb midyear LA Virtual Admy'!K24+'[1]Feb midyear LA Connections'!K24</f>
        <v>-54164.803752073225</v>
      </c>
      <c r="K27" s="354">
        <f t="shared" si="24"/>
        <v>161857.17827090115</v>
      </c>
      <c r="L27" s="354"/>
      <c r="M27" s="354">
        <f>-'Table 5C1A-Madison Prep'!L27</f>
        <v>0</v>
      </c>
      <c r="N27" s="354">
        <f>-'Table 5C1B-DArbonne'!L27</f>
        <v>0</v>
      </c>
      <c r="O27" s="354">
        <f>-'Table 5C1C-Intl_VIBE'!L27</f>
        <v>0</v>
      </c>
      <c r="P27" s="354">
        <f>-'Table 5C1D-NOMMA'!L27</f>
        <v>0</v>
      </c>
      <c r="Q27" s="354">
        <f>-'Table 5C1E-LFNO'!L27</f>
        <v>0</v>
      </c>
      <c r="R27" s="354">
        <f>-'Table 5C1F-Lake Charles Charter'!L27</f>
        <v>0</v>
      </c>
      <c r="S27" s="314">
        <f>-'Table 5C2 - LA Virtual Admy'!M25-'Table 5C2 - LA Virtual Admy'!I25</f>
        <v>-18933.884559555256</v>
      </c>
      <c r="T27" s="314">
        <f>-'Table 5C3 - LA Connections EBR'!M25-'Table 5C3 - LA Connections EBR'!I25</f>
        <v>-62536.750546532341</v>
      </c>
      <c r="U27" s="1692">
        <f t="shared" si="25"/>
        <v>-81470.635106087604</v>
      </c>
      <c r="V27" s="563">
        <f t="shared" si="26"/>
        <v>18896661</v>
      </c>
      <c r="W27" s="563">
        <f>[3]MFP!DT28</f>
        <v>15511139</v>
      </c>
      <c r="X27" s="563">
        <f t="shared" si="27"/>
        <v>0</v>
      </c>
      <c r="Y27" s="563">
        <f>'[4]Table 4B Rewards'!G24</f>
        <v>8453.85</v>
      </c>
      <c r="Z27" s="563">
        <f t="shared" si="28"/>
        <v>15519592.85</v>
      </c>
      <c r="AA27" s="1738">
        <f t="shared" si="29"/>
        <v>3377068.1500000004</v>
      </c>
      <c r="AB27" s="1741">
        <f>('[5]Table 2A-2 EFT (Monthly)'!Z26+'[5]Table 2A-2 EFT (Monthly)Aug'!Z26+'[5]Table 2A-2 EFT (Monthly) sep'!Z26+'[5]Table 2A-2 EFT (Monthly)oct'!Z26+'[5]Table 2A-2 EFT (Monthly)oct'!Z26+'[5]Table 2A-2 EFT (Monthly)dec'!Z26+'[5]Table 2A-2 EFT (Monthly)jan'!Z26+'[5]Table 2A-2 EFT (Monthly)feb'!Z26+'[5]Table 2A-2 EFT (Monthly) mar'!Z26+'[5]Table 2A-2 EFT (Monthly)apr'!Z26)*-1</f>
        <v>0</v>
      </c>
      <c r="AC27" s="1741">
        <f>('[5]Table 2A-2 EFT (Monthly)'!AA26+'[5]Table 2A-2 EFT (Monthly)Aug'!AA26+'[5]Table 2A-2 EFT (Monthly) sep'!AA26+'[5]Table 2A-2 EFT (Monthly)oct'!AA26+'[5]Table 2A-2 EFT (Monthly)oct'!AA26+'[5]Table 2A-2 EFT (Monthly)dec'!AA26+'[5]Table 2A-2 EFT (Monthly)jan'!AA26+'[5]Table 2A-2 EFT (Monthly)feb'!AA26+'[5]Table 2A-2 EFT (Monthly) mar'!AA26+'[5]Table 2A-2 EFT (Monthly)apr'!AA26)*-1</f>
        <v>0</v>
      </c>
      <c r="AD27" s="1741">
        <f>('[5]Table 2A-2 EFT (Monthly)'!AB26+'[5]Table 2A-2 EFT (Monthly)Aug'!AB26+'[5]Table 2A-2 EFT (Monthly) sep'!AB26+'[5]Table 2A-2 EFT (Monthly)oct'!AB26+'[5]Table 2A-2 EFT (Monthly)oct'!AB26+'[5]Table 2A-2 EFT (Monthly)dec'!AB26+'[5]Table 2A-2 EFT (Monthly)jan'!AB26+'[5]Table 2A-2 EFT (Monthly)feb'!AB26+'[5]Table 2A-2 EFT (Monthly) mar'!AB26+'[5]Table 2A-2 EFT (Monthly)apr'!AB26)*-1</f>
        <v>0</v>
      </c>
      <c r="AE27" s="1741">
        <f>('[5]Table 2A-2 EFT (Monthly)'!AC26+'[5]Table 2A-2 EFT (Monthly)Aug'!AC26+'[5]Table 2A-2 EFT (Monthly) sep'!AC26+'[5]Table 2A-2 EFT (Monthly)oct'!AC26+'[5]Table 2A-2 EFT (Monthly)oct'!AC26+'[5]Table 2A-2 EFT (Monthly)dec'!AC26+'[5]Table 2A-2 EFT (Monthly)jan'!AC26+'[5]Table 2A-2 EFT (Monthly)feb'!AC26+'[5]Table 2A-2 EFT (Monthly) mar'!AC26+'[5]Table 2A-2 EFT (Monthly)apr'!AC26)*-1</f>
        <v>2200</v>
      </c>
      <c r="AF27" s="1741">
        <f>('[5]Table 2A-2 EFT (Monthly)'!Q26+'[5]Table 2A-2 EFT (Monthly)Aug'!Q26+'[5]Table 2A-2 EFT (Monthly) sep'!Q26+'[5]Table 2A-2 EFT (Monthly)oct'!Q26+'[5]Table 2A-2 EFT (Monthly)oct'!Q26+'[5]Table 2A-2 EFT (Monthly)dec'!Q26+'[5]Table 2A-2 EFT (Monthly)jan'!Q26+'[5]Table 2A-2 EFT (Monthly)feb'!Q26+'[5]Table 2A-2 EFT (Monthly) mar'!Q26+'[5]Table 2A-2 EFT (Monthly)apr'!Q26+'[5]Table 2A-2 EFT (Monthly)'!AT26+'[5]Table 2A-2 EFT (Monthly) mar'!AT26)*-1</f>
        <v>0</v>
      </c>
      <c r="AG27" s="1741">
        <f>('[5]Table 2A-2 EFT (Monthly)'!R26+'[5]Table 2A-2 EFT (Monthly)Aug'!R26+'[5]Table 2A-2 EFT (Monthly) sep'!R26+'[5]Table 2A-2 EFT (Monthly)oct'!R26+'[5]Table 2A-2 EFT (Monthly)oct'!R26+'[5]Table 2A-2 EFT (Monthly)dec'!R26+'[5]Table 2A-2 EFT (Monthly)jan'!R26+'[5]Table 2A-2 EFT (Monthly)feb'!R26+'[5]Table 2A-2 EFT (Monthly) mar'!R26+'[5]Table 2A-2 EFT (Monthly)apr'!R26+'[5]Table 2A-2 EFT (Monthly)'!AU26+'[5]Table 2A-2 EFT (Monthly) mar'!AU26)*-1</f>
        <v>0</v>
      </c>
      <c r="AH27" s="1741">
        <f>('[5]Table 2A-2 EFT (Monthly)'!S26+'[5]Table 2A-2 EFT (Monthly)Aug'!S26+'[5]Table 2A-2 EFT (Monthly) sep'!S26+'[5]Table 2A-2 EFT (Monthly)oct'!S26+'[5]Table 2A-2 EFT (Monthly)oct'!S26+'[5]Table 2A-2 EFT (Monthly)dec'!S26+'[5]Table 2A-2 EFT (Monthly)jan'!S26+'[5]Table 2A-2 EFT (Monthly)feb'!S26+'[5]Table 2A-2 EFT (Monthly) mar'!S26+'[5]Table 2A-2 EFT (Monthly)apr'!S26+'[5]Table 2A-2 EFT (Monthly)'!AV26+'[5]Table 2A-2 EFT (Monthly) mar'!AV26)*-1</f>
        <v>0</v>
      </c>
      <c r="AI27" s="1741">
        <f>('[5]Table 2A-2 EFT (Monthly)'!T26+'[5]Table 2A-2 EFT (Monthly)Aug'!T26+'[5]Table 2A-2 EFT (Monthly) sep'!T26+'[5]Table 2A-2 EFT (Monthly)oct'!T26+'[5]Table 2A-2 EFT (Monthly)oct'!T26+'[5]Table 2A-2 EFT (Monthly)dec'!T26+'[5]Table 2A-2 EFT (Monthly)jan'!T26+'[5]Table 2A-2 EFT (Monthly)feb'!T26+'[5]Table 2A-2 EFT (Monthly) mar'!T26+'[5]Table 2A-2 EFT (Monthly)apr'!T26+'[5]Table 2A-2 EFT (Monthly)'!AW26+'[5]Table 2A-2 EFT (Monthly) mar'!AW26)*-1</f>
        <v>0</v>
      </c>
      <c r="AJ27" s="1741">
        <f>('[5]Table 2A-2 EFT (Monthly)'!U26+'[5]Table 2A-2 EFT (Monthly)Aug'!U26+'[5]Table 2A-2 EFT (Monthly) sep'!U26+'[5]Table 2A-2 EFT (Monthly)oct'!U26+'[5]Table 2A-2 EFT (Monthly)oct'!U26+'[5]Table 2A-2 EFT (Monthly)dec'!U26+'[5]Table 2A-2 EFT (Monthly)jan'!U26+'[5]Table 2A-2 EFT (Monthly)feb'!U26+'[5]Table 2A-2 EFT (Monthly) mar'!U26+'[5]Table 2A-2 EFT (Monthly)apr'!U26+'[5]Table 2A-2 EFT (Monthly)'!AX26+'[5]Table 2A-2 EFT (Monthly) mar'!AX26)*-1</f>
        <v>137141.07125000001</v>
      </c>
      <c r="AK27" s="1741">
        <f>('[5]Table 2A-2 EFT (Monthly)'!V26+'[5]Table 2A-2 EFT (Monthly)Aug'!V26+'[5]Table 2A-2 EFT (Monthly) sep'!V26+'[5]Table 2A-2 EFT (Monthly)oct'!V26+'[5]Table 2A-2 EFT (Monthly)oct'!V26+'[5]Table 2A-2 EFT (Monthly)dec'!V26+'[5]Table 2A-2 EFT (Monthly)jan'!V26+'[5]Table 2A-2 EFT (Monthly)feb'!V26+'[5]Table 2A-2 EFT (Monthly) mar'!V26+'[5]Table 2A-2 EFT (Monthly)apr'!V26+'[5]Table 2A-2 EFT (Monthly)'!AY26+'[5]Table 2A-2 EFT (Monthly) mar'!AY26)*-1</f>
        <v>0</v>
      </c>
      <c r="AL27" s="1741">
        <f>('[5]Table 2A-2 EFT (Monthly)'!W26+'[5]Table 2A-2 EFT (Monthly)Aug'!W26+'[5]Table 2A-2 EFT (Monthly) sep'!W26+'[5]Table 2A-2 EFT (Monthly)oct'!W26+'[5]Table 2A-2 EFT (Monthly)oct'!W26+'[5]Table 2A-2 EFT (Monthly)dec'!W26+'[5]Table 2A-2 EFT (Monthly)jan'!W26+'[5]Table 2A-2 EFT (Monthly)feb'!W26+'[5]Table 2A-2 EFT (Monthly) mar'!W26+'[5]Table 2A-2 EFT (Monthly)apr'!W26+'[5]Table 2A-2 EFT (Monthly)'!AZ26+'[5]Table 2A-2 EFT (Monthly) mar'!AZ26)*-1</f>
        <v>0</v>
      </c>
      <c r="AM27" s="1741">
        <f>('[5]Table 2A-2 EFT (Monthly)'!X26+'[5]Table 2A-2 EFT (Monthly)Aug'!X26+'[5]Table 2A-2 EFT (Monthly) sep'!X26+'[5]Table 2A-2 EFT (Monthly)oct'!X26+'[5]Table 2A-2 EFT (Monthly)oct'!X26+'[5]Table 2A-2 EFT (Monthly)dec'!X26+'[5]Table 2A-2 EFT (Monthly)jan'!X26+'[5]Table 2A-2 EFT (Monthly)feb'!X26+'[5]Table 2A-2 EFT (Monthly) mar'!X26+'[5]Table 2A-2 EFT (Monthly)apr'!X26+'[5]Table 2A-2 EFT (Monthly)'!BA26+'[5]Table 2A-2 EFT (Monthly) mar'!BA26)*-1</f>
        <v>0</v>
      </c>
      <c r="AN27" s="1741">
        <f>('[5]Table 2A-2 EFT (Monthly) sep'!AD26+'[5]Table 2A-2 EFT (Monthly)dec'!AD26+'[5]Table 2A-2 EFT (Monthly)feb'!AD26)*-1</f>
        <v>33273.754946775021</v>
      </c>
      <c r="AO27" s="1741">
        <f t="shared" si="30"/>
        <v>172614.82619677501</v>
      </c>
      <c r="AP27" s="563">
        <f t="shared" si="31"/>
        <v>3549682.9761967752</v>
      </c>
      <c r="AQ27" s="309">
        <f t="shared" si="32"/>
        <v>1774841</v>
      </c>
      <c r="AR27" s="309">
        <f>'Table 4A Stipends'!G24</f>
        <v>0</v>
      </c>
      <c r="AS27" s="354">
        <f t="shared" si="20"/>
        <v>18896661</v>
      </c>
      <c r="AU27" s="1339">
        <f>('Table 8 2.1.12 MFP Funded'!G24*'Table 3 Levels 1&amp;2'!AP28)+'Table 2_State with Midyear Adjs'!F27</f>
        <v>18739809.299051087</v>
      </c>
      <c r="AV27" s="959">
        <f t="shared" si="21"/>
        <v>156851.70094891265</v>
      </c>
      <c r="AW27" s="280">
        <f t="shared" si="33"/>
        <v>8.3699731649272986E-3</v>
      </c>
    </row>
    <row r="28" spans="1:50">
      <c r="A28" s="101">
        <v>22</v>
      </c>
      <c r="B28" s="299" t="s">
        <v>123</v>
      </c>
      <c r="C28" s="309">
        <f>'Table 3 Levels 1&amp;2'!AO29</f>
        <v>21984743.445159998</v>
      </c>
      <c r="D28" s="354">
        <f>'[2]Adjusted Amounts'!$C28</f>
        <v>22200.776597304604</v>
      </c>
      <c r="E28" s="354">
        <f>'[2]Adjusted Amounts'!$H28</f>
        <v>2348.1635514570426</v>
      </c>
      <c r="F28" s="354">
        <f t="shared" si="22"/>
        <v>24548.940148761649</v>
      </c>
      <c r="G28" s="309">
        <f t="shared" si="19"/>
        <v>24548.940148761649</v>
      </c>
      <c r="H28" s="354">
        <f t="shared" si="23"/>
        <v>0</v>
      </c>
      <c r="I28" s="354">
        <f>'[1]Midyear Adjustment Summary'!C26+'[1]Oct midyear Madison Prep'!K28+'[1]Oct midyear DArbonne'!K28+'[1]Oct midyear Intl_VIBE '!K28+'[1]Oct midyear NOMMA'!K28+'[1]Oct midyear LFNO'!K28+'[1]Oct midyear Lake Charles Chtr'!K28+'[1]Oct midyear LA Virtual Admy'!K25+'[1]Oct midyear LA Connections'!K25</f>
        <v>-40924.614834139757</v>
      </c>
      <c r="J28" s="354">
        <f>'[1]Midyear Adjustment Summary'!D26+'[1]Feb midyear Madison Prep'!K28+'[1]Feb midyear DArbonne'!K28+'[1]Feb midyear Intl_VIBE '!K28+'[1]Feb midyear NOMMA'!K28+'[1]Feb midyear LFNO '!K28+'[1]Feb midyear Lake Charles Ch'!K28+'[1]Feb midyear LA Virtual Admy'!K25+'[1]Feb midyear LA Connections'!K25</f>
        <v>-203281.28352039913</v>
      </c>
      <c r="K28" s="354">
        <f t="shared" si="24"/>
        <v>-244205.89835453889</v>
      </c>
      <c r="L28" s="354"/>
      <c r="M28" s="354">
        <f>-'Table 5C1A-Madison Prep'!L28</f>
        <v>0</v>
      </c>
      <c r="N28" s="354">
        <f>-'Table 5C1B-DArbonne'!L28</f>
        <v>0</v>
      </c>
      <c r="O28" s="354">
        <f>-'Table 5C1C-Intl_VIBE'!L28</f>
        <v>0</v>
      </c>
      <c r="P28" s="354">
        <f>-'Table 5C1D-NOMMA'!L28</f>
        <v>0</v>
      </c>
      <c r="Q28" s="354">
        <f>-'Table 5C1E-LFNO'!L28</f>
        <v>0</v>
      </c>
      <c r="R28" s="354">
        <f>-'Table 5C1F-Lake Charles Charter'!L28</f>
        <v>0</v>
      </c>
      <c r="S28" s="314">
        <f>-'Table 5C2 - LA Virtual Admy'!M26-'Table 5C2 - LA Virtual Admy'!I26</f>
        <v>-13318.634502996643</v>
      </c>
      <c r="T28" s="314">
        <f>-'Table 5C3 - LA Connections EBR'!M26-'Table 5C3 - LA Connections EBR'!I26</f>
        <v>-47236.480085638083</v>
      </c>
      <c r="U28" s="1692">
        <f t="shared" si="25"/>
        <v>-60555.114588634722</v>
      </c>
      <c r="V28" s="563">
        <f t="shared" si="26"/>
        <v>21704531</v>
      </c>
      <c r="W28" s="563">
        <f>[3]MFP!DT29</f>
        <v>18126850</v>
      </c>
      <c r="X28" s="563">
        <f t="shared" si="27"/>
        <v>0</v>
      </c>
      <c r="Y28" s="563">
        <f>'[4]Table 4B Rewards'!G25</f>
        <v>25361.550000000003</v>
      </c>
      <c r="Z28" s="563">
        <f t="shared" si="28"/>
        <v>18152211.550000001</v>
      </c>
      <c r="AA28" s="1738">
        <f t="shared" si="29"/>
        <v>3552319.4499999993</v>
      </c>
      <c r="AB28" s="1741">
        <f>('[5]Table 2A-2 EFT (Monthly)'!Z27+'[5]Table 2A-2 EFT (Monthly)Aug'!Z27+'[5]Table 2A-2 EFT (Monthly) sep'!Z27+'[5]Table 2A-2 EFT (Monthly)oct'!Z27+'[5]Table 2A-2 EFT (Monthly)oct'!Z27+'[5]Table 2A-2 EFT (Monthly)dec'!Z27+'[5]Table 2A-2 EFT (Monthly)jan'!Z27+'[5]Table 2A-2 EFT (Monthly)feb'!Z27+'[5]Table 2A-2 EFT (Monthly) mar'!Z27+'[5]Table 2A-2 EFT (Monthly)apr'!Z27)*-1</f>
        <v>680</v>
      </c>
      <c r="AC28" s="1741">
        <f>('[5]Table 2A-2 EFT (Monthly)'!AA27+'[5]Table 2A-2 EFT (Monthly)Aug'!AA27+'[5]Table 2A-2 EFT (Monthly) sep'!AA27+'[5]Table 2A-2 EFT (Monthly)oct'!AA27+'[5]Table 2A-2 EFT (Monthly)oct'!AA27+'[5]Table 2A-2 EFT (Monthly)dec'!AA27+'[5]Table 2A-2 EFT (Monthly)jan'!AA27+'[5]Table 2A-2 EFT (Monthly)feb'!AA27+'[5]Table 2A-2 EFT (Monthly) mar'!AA27+'[5]Table 2A-2 EFT (Monthly)apr'!AA27)*-1</f>
        <v>0</v>
      </c>
      <c r="AD28" s="1741">
        <f>('[5]Table 2A-2 EFT (Monthly)'!AB27+'[5]Table 2A-2 EFT (Monthly)Aug'!AB27+'[5]Table 2A-2 EFT (Monthly) sep'!AB27+'[5]Table 2A-2 EFT (Monthly)oct'!AB27+'[5]Table 2A-2 EFT (Monthly)oct'!AB27+'[5]Table 2A-2 EFT (Monthly)dec'!AB27+'[5]Table 2A-2 EFT (Monthly)jan'!AB27+'[5]Table 2A-2 EFT (Monthly)feb'!AB27+'[5]Table 2A-2 EFT (Monthly) mar'!AB27+'[5]Table 2A-2 EFT (Monthly)apr'!AB27)*-1</f>
        <v>788</v>
      </c>
      <c r="AE28" s="1741">
        <f>('[5]Table 2A-2 EFT (Monthly)'!AC27+'[5]Table 2A-2 EFT (Monthly)Aug'!AC27+'[5]Table 2A-2 EFT (Monthly) sep'!AC27+'[5]Table 2A-2 EFT (Monthly)oct'!AC27+'[5]Table 2A-2 EFT (Monthly)oct'!AC27+'[5]Table 2A-2 EFT (Monthly)dec'!AC27+'[5]Table 2A-2 EFT (Monthly)jan'!AC27+'[5]Table 2A-2 EFT (Monthly)feb'!AC27+'[5]Table 2A-2 EFT (Monthly) mar'!AC27+'[5]Table 2A-2 EFT (Monthly)apr'!AC27)*-1</f>
        <v>3674</v>
      </c>
      <c r="AF28" s="1741">
        <f>('[5]Table 2A-2 EFT (Monthly)'!Q27+'[5]Table 2A-2 EFT (Monthly)Aug'!Q27+'[5]Table 2A-2 EFT (Monthly) sep'!Q27+'[5]Table 2A-2 EFT (Monthly)oct'!Q27+'[5]Table 2A-2 EFT (Monthly)oct'!Q27+'[5]Table 2A-2 EFT (Monthly)dec'!Q27+'[5]Table 2A-2 EFT (Monthly)jan'!Q27+'[5]Table 2A-2 EFT (Monthly)feb'!Q27+'[5]Table 2A-2 EFT (Monthly) mar'!Q27+'[5]Table 2A-2 EFT (Monthly)apr'!Q27+'[5]Table 2A-2 EFT (Monthly)'!AT27+'[5]Table 2A-2 EFT (Monthly) mar'!AT27)*-1</f>
        <v>0</v>
      </c>
      <c r="AG28" s="1741">
        <f>('[5]Table 2A-2 EFT (Monthly)'!R27+'[5]Table 2A-2 EFT (Monthly)Aug'!R27+'[5]Table 2A-2 EFT (Monthly) sep'!R27+'[5]Table 2A-2 EFT (Monthly)oct'!R27+'[5]Table 2A-2 EFT (Monthly)oct'!R27+'[5]Table 2A-2 EFT (Monthly)dec'!R27+'[5]Table 2A-2 EFT (Monthly)jan'!R27+'[5]Table 2A-2 EFT (Monthly)feb'!R27+'[5]Table 2A-2 EFT (Monthly) mar'!R27+'[5]Table 2A-2 EFT (Monthly)apr'!R27+'[5]Table 2A-2 EFT (Monthly)'!AU27+'[5]Table 2A-2 EFT (Monthly) mar'!AU27)*-1</f>
        <v>0</v>
      </c>
      <c r="AH28" s="1741">
        <f>('[5]Table 2A-2 EFT (Monthly)'!S27+'[5]Table 2A-2 EFT (Monthly)Aug'!S27+'[5]Table 2A-2 EFT (Monthly) sep'!S27+'[5]Table 2A-2 EFT (Monthly)oct'!S27+'[5]Table 2A-2 EFT (Monthly)oct'!S27+'[5]Table 2A-2 EFT (Monthly)dec'!S27+'[5]Table 2A-2 EFT (Monthly)jan'!S27+'[5]Table 2A-2 EFT (Monthly)feb'!S27+'[5]Table 2A-2 EFT (Monthly) mar'!S27+'[5]Table 2A-2 EFT (Monthly)apr'!S27+'[5]Table 2A-2 EFT (Monthly)'!AV27+'[5]Table 2A-2 EFT (Monthly) mar'!AV27)*-1</f>
        <v>0</v>
      </c>
      <c r="AI28" s="1741">
        <f>('[5]Table 2A-2 EFT (Monthly)'!T27+'[5]Table 2A-2 EFT (Monthly)Aug'!T27+'[5]Table 2A-2 EFT (Monthly) sep'!T27+'[5]Table 2A-2 EFT (Monthly)oct'!T27+'[5]Table 2A-2 EFT (Monthly)oct'!T27+'[5]Table 2A-2 EFT (Monthly)dec'!T27+'[5]Table 2A-2 EFT (Monthly)jan'!T27+'[5]Table 2A-2 EFT (Monthly)feb'!T27+'[5]Table 2A-2 EFT (Monthly) mar'!T27+'[5]Table 2A-2 EFT (Monthly)apr'!T27+'[5]Table 2A-2 EFT (Monthly)'!AW27+'[5]Table 2A-2 EFT (Monthly) mar'!AW27)*-1</f>
        <v>0</v>
      </c>
      <c r="AJ28" s="1741">
        <f>('[5]Table 2A-2 EFT (Monthly)'!U27+'[5]Table 2A-2 EFT (Monthly)Aug'!U27+'[5]Table 2A-2 EFT (Monthly) sep'!U27+'[5]Table 2A-2 EFT (Monthly)oct'!U27+'[5]Table 2A-2 EFT (Monthly)oct'!U27+'[5]Table 2A-2 EFT (Monthly)dec'!U27+'[5]Table 2A-2 EFT (Monthly)jan'!U27+'[5]Table 2A-2 EFT (Monthly)feb'!U27+'[5]Table 2A-2 EFT (Monthly) mar'!U27+'[5]Table 2A-2 EFT (Monthly)apr'!U27+'[5]Table 2A-2 EFT (Monthly)'!AX27+'[5]Table 2A-2 EFT (Monthly) mar'!AX27)*-1</f>
        <v>0</v>
      </c>
      <c r="AK28" s="1741">
        <f>('[5]Table 2A-2 EFT (Monthly)'!V27+'[5]Table 2A-2 EFT (Monthly)Aug'!V27+'[5]Table 2A-2 EFT (Monthly) sep'!V27+'[5]Table 2A-2 EFT (Monthly)oct'!V27+'[5]Table 2A-2 EFT (Monthly)oct'!V27+'[5]Table 2A-2 EFT (Monthly)dec'!V27+'[5]Table 2A-2 EFT (Monthly)jan'!V27+'[5]Table 2A-2 EFT (Monthly)feb'!V27+'[5]Table 2A-2 EFT (Monthly) mar'!V27+'[5]Table 2A-2 EFT (Monthly)apr'!V27+'[5]Table 2A-2 EFT (Monthly)'!AY27+'[5]Table 2A-2 EFT (Monthly) mar'!AY27)*-1</f>
        <v>0</v>
      </c>
      <c r="AL28" s="1741">
        <f>('[5]Table 2A-2 EFT (Monthly)'!W27+'[5]Table 2A-2 EFT (Monthly)Aug'!W27+'[5]Table 2A-2 EFT (Monthly) sep'!W27+'[5]Table 2A-2 EFT (Monthly)oct'!W27+'[5]Table 2A-2 EFT (Monthly)oct'!W27+'[5]Table 2A-2 EFT (Monthly)dec'!W27+'[5]Table 2A-2 EFT (Monthly)jan'!W27+'[5]Table 2A-2 EFT (Monthly)feb'!W27+'[5]Table 2A-2 EFT (Monthly) mar'!W27+'[5]Table 2A-2 EFT (Monthly)apr'!W27+'[5]Table 2A-2 EFT (Monthly)'!AZ27+'[5]Table 2A-2 EFT (Monthly) mar'!AZ27)*-1</f>
        <v>0</v>
      </c>
      <c r="AM28" s="1741">
        <f>('[5]Table 2A-2 EFT (Monthly)'!X27+'[5]Table 2A-2 EFT (Monthly)Aug'!X27+'[5]Table 2A-2 EFT (Monthly) sep'!X27+'[5]Table 2A-2 EFT (Monthly)oct'!X27+'[5]Table 2A-2 EFT (Monthly)oct'!X27+'[5]Table 2A-2 EFT (Monthly)dec'!X27+'[5]Table 2A-2 EFT (Monthly)jan'!X27+'[5]Table 2A-2 EFT (Monthly)feb'!X27+'[5]Table 2A-2 EFT (Monthly) mar'!X27+'[5]Table 2A-2 EFT (Monthly)apr'!X27+'[5]Table 2A-2 EFT (Monthly)'!BA27+'[5]Table 2A-2 EFT (Monthly) mar'!BA27)*-1</f>
        <v>0</v>
      </c>
      <c r="AN28" s="1741">
        <f>('[5]Table 2A-2 EFT (Monthly) sep'!AD27+'[5]Table 2A-2 EFT (Monthly)dec'!AD27+'[5]Table 2A-2 EFT (Monthly)feb'!AD27)*-1</f>
        <v>890.49315422104632</v>
      </c>
      <c r="AO28" s="1741">
        <f t="shared" si="30"/>
        <v>6032.4931542210461</v>
      </c>
      <c r="AP28" s="563">
        <f t="shared" si="31"/>
        <v>3558351.9431542205</v>
      </c>
      <c r="AQ28" s="309">
        <f t="shared" si="32"/>
        <v>1779176</v>
      </c>
      <c r="AR28" s="309">
        <f>'Table 4A Stipends'!G25</f>
        <v>0</v>
      </c>
      <c r="AS28" s="354">
        <f t="shared" si="20"/>
        <v>21704531</v>
      </c>
      <c r="AU28" s="1339">
        <f>('Table 8 2.1.12 MFP Funded'!G25*'Table 3 Levels 1&amp;2'!AP29)+'Table 2_State with Midyear Adjs'!F28</f>
        <v>21942204.367471837</v>
      </c>
      <c r="AV28" s="959">
        <f t="shared" si="21"/>
        <v>-237673.36747183651</v>
      </c>
      <c r="AW28" s="280">
        <f t="shared" si="33"/>
        <v>-1.083179080330574E-2</v>
      </c>
    </row>
    <row r="29" spans="1:50">
      <c r="A29" s="101">
        <v>23</v>
      </c>
      <c r="B29" s="299" t="s">
        <v>124</v>
      </c>
      <c r="C29" s="309">
        <f>'Table 3 Levels 1&amp;2'!AO30</f>
        <v>73212355.764256001</v>
      </c>
      <c r="D29" s="354">
        <f>'[2]Adjusted Amounts'!$C29</f>
        <v>-8266.5055843195296</v>
      </c>
      <c r="E29" s="354">
        <f>'[2]Adjusted Amounts'!$H29</f>
        <v>7872.6680110532106</v>
      </c>
      <c r="F29" s="354">
        <f t="shared" si="22"/>
        <v>-393.83757326631894</v>
      </c>
      <c r="G29" s="309">
        <f t="shared" si="19"/>
        <v>0</v>
      </c>
      <c r="H29" s="354">
        <f t="shared" si="23"/>
        <v>-393.83757326631894</v>
      </c>
      <c r="I29" s="354">
        <f>'[1]Midyear Adjustment Summary'!C27+'[1]Oct midyear Madison Prep'!K29+'[1]Oct midyear DArbonne'!K29+'[1]Oct midyear Intl_VIBE '!K29+'[1]Oct midyear NOMMA'!K29+'[1]Oct midyear LFNO'!K29+'[1]Oct midyear Lake Charles Chtr'!K29+'[1]Oct midyear LA Virtual Admy'!K26+'[1]Oct midyear LA Connections'!K26</f>
        <v>1288408.5449181646</v>
      </c>
      <c r="J29" s="354">
        <f>'[1]Midyear Adjustment Summary'!D27+'[1]Feb midyear Madison Prep'!K29+'[1]Feb midyear DArbonne'!K29+'[1]Feb midyear Intl_VIBE '!K29+'[1]Feb midyear NOMMA'!K29+'[1]Feb midyear LFNO '!K29+'[1]Feb midyear Lake Charles Ch'!K29+'[1]Feb midyear LA Virtual Admy'!K26+'[1]Feb midyear LA Connections'!K26</f>
        <v>-238716.6880400365</v>
      </c>
      <c r="K29" s="354">
        <f t="shared" si="24"/>
        <v>1049691.8568781281</v>
      </c>
      <c r="L29" s="354"/>
      <c r="M29" s="354">
        <f>-'Table 5C1A-Madison Prep'!L29</f>
        <v>0</v>
      </c>
      <c r="N29" s="354">
        <f>-'Table 5C1B-DArbonne'!L29</f>
        <v>0</v>
      </c>
      <c r="O29" s="354">
        <f>-'Table 5C1C-Intl_VIBE'!L29</f>
        <v>0</v>
      </c>
      <c r="P29" s="354">
        <f>-'Table 5C1D-NOMMA'!L29</f>
        <v>0</v>
      </c>
      <c r="Q29" s="354">
        <f>-'Table 5C1E-LFNO'!L29</f>
        <v>0</v>
      </c>
      <c r="R29" s="354">
        <f>-'Table 5C1F-Lake Charles Charter'!L29</f>
        <v>0</v>
      </c>
      <c r="S29" s="314">
        <f>-'Table 5C2 - LA Virtual Admy'!M27-'Table 5C2 - LA Virtual Admy'!I27</f>
        <v>-66846.741674144287</v>
      </c>
      <c r="T29" s="314">
        <f>-'Table 5C3 - LA Connections EBR'!M27-'Table 5C3 - LA Connections EBR'!I27</f>
        <v>-126870.53724542369</v>
      </c>
      <c r="U29" s="1692">
        <f t="shared" si="25"/>
        <v>-193717.27891956799</v>
      </c>
      <c r="V29" s="563">
        <f t="shared" si="26"/>
        <v>74067937</v>
      </c>
      <c r="W29" s="563">
        <f>[3]MFP!DT30</f>
        <v>61224617</v>
      </c>
      <c r="X29" s="563">
        <f t="shared" si="27"/>
        <v>34000</v>
      </c>
      <c r="Y29" s="563">
        <f>'[4]Table 4B Rewards'!G26</f>
        <v>25361.550000000003</v>
      </c>
      <c r="Z29" s="563">
        <f t="shared" si="28"/>
        <v>61283978.549999997</v>
      </c>
      <c r="AA29" s="1738">
        <f t="shared" si="29"/>
        <v>12783958.450000003</v>
      </c>
      <c r="AB29" s="1741">
        <f>('[5]Table 2A-2 EFT (Monthly)'!Z28+'[5]Table 2A-2 EFT (Monthly)Aug'!Z28+'[5]Table 2A-2 EFT (Monthly) sep'!Z28+'[5]Table 2A-2 EFT (Monthly)oct'!Z28+'[5]Table 2A-2 EFT (Monthly)oct'!Z28+'[5]Table 2A-2 EFT (Monthly)dec'!Z28+'[5]Table 2A-2 EFT (Monthly)jan'!Z28+'[5]Table 2A-2 EFT (Monthly)feb'!Z28+'[5]Table 2A-2 EFT (Monthly) mar'!Z28+'[5]Table 2A-2 EFT (Monthly)apr'!Z28)*-1</f>
        <v>2602</v>
      </c>
      <c r="AC29" s="1741">
        <f>('[5]Table 2A-2 EFT (Monthly)'!AA28+'[5]Table 2A-2 EFT (Monthly)Aug'!AA28+'[5]Table 2A-2 EFT (Monthly) sep'!AA28+'[5]Table 2A-2 EFT (Monthly)oct'!AA28+'[5]Table 2A-2 EFT (Monthly)oct'!AA28+'[5]Table 2A-2 EFT (Monthly)dec'!AA28+'[5]Table 2A-2 EFT (Monthly)jan'!AA28+'[5]Table 2A-2 EFT (Monthly)feb'!AA28+'[5]Table 2A-2 EFT (Monthly) mar'!AA28+'[5]Table 2A-2 EFT (Monthly)apr'!AA28)*-1</f>
        <v>0</v>
      </c>
      <c r="AD29" s="1741">
        <f>('[5]Table 2A-2 EFT (Monthly)'!AB28+'[5]Table 2A-2 EFT (Monthly)Aug'!AB28+'[5]Table 2A-2 EFT (Monthly) sep'!AB28+'[5]Table 2A-2 EFT (Monthly)oct'!AB28+'[5]Table 2A-2 EFT (Monthly)oct'!AB28+'[5]Table 2A-2 EFT (Monthly)dec'!AB28+'[5]Table 2A-2 EFT (Monthly)jan'!AB28+'[5]Table 2A-2 EFT (Monthly)feb'!AB28+'[5]Table 2A-2 EFT (Monthly) mar'!AB28+'[5]Table 2A-2 EFT (Monthly)apr'!AB28)*-1</f>
        <v>5212</v>
      </c>
      <c r="AE29" s="1741">
        <f>('[5]Table 2A-2 EFT (Monthly)'!AC28+'[5]Table 2A-2 EFT (Monthly)Aug'!AC28+'[5]Table 2A-2 EFT (Monthly) sep'!AC28+'[5]Table 2A-2 EFT (Monthly)oct'!AC28+'[5]Table 2A-2 EFT (Monthly)oct'!AC28+'[5]Table 2A-2 EFT (Monthly)dec'!AC28+'[5]Table 2A-2 EFT (Monthly)jan'!AC28+'[5]Table 2A-2 EFT (Monthly)feb'!AC28+'[5]Table 2A-2 EFT (Monthly) mar'!AC28+'[5]Table 2A-2 EFT (Monthly)apr'!AC28)*-1</f>
        <v>17468</v>
      </c>
      <c r="AF29" s="1741">
        <f>('[5]Table 2A-2 EFT (Monthly)'!Q28+'[5]Table 2A-2 EFT (Monthly)Aug'!Q28+'[5]Table 2A-2 EFT (Monthly) sep'!Q28+'[5]Table 2A-2 EFT (Monthly)oct'!Q28+'[5]Table 2A-2 EFT (Monthly)oct'!Q28+'[5]Table 2A-2 EFT (Monthly)dec'!Q28+'[5]Table 2A-2 EFT (Monthly)jan'!Q28+'[5]Table 2A-2 EFT (Monthly)feb'!Q28+'[5]Table 2A-2 EFT (Monthly) mar'!Q28+'[5]Table 2A-2 EFT (Monthly)apr'!Q28+'[5]Table 2A-2 EFT (Monthly)'!AT28+'[5]Table 2A-2 EFT (Monthly) mar'!AT28)*-1</f>
        <v>0</v>
      </c>
      <c r="AG29" s="1741">
        <f>('[5]Table 2A-2 EFT (Monthly)'!R28+'[5]Table 2A-2 EFT (Monthly)Aug'!R28+'[5]Table 2A-2 EFT (Monthly) sep'!R28+'[5]Table 2A-2 EFT (Monthly)oct'!R28+'[5]Table 2A-2 EFT (Monthly)oct'!R28+'[5]Table 2A-2 EFT (Monthly)dec'!R28+'[5]Table 2A-2 EFT (Monthly)jan'!R28+'[5]Table 2A-2 EFT (Monthly)feb'!R28+'[5]Table 2A-2 EFT (Monthly) mar'!R28+'[5]Table 2A-2 EFT (Monthly)apr'!R28+'[5]Table 2A-2 EFT (Monthly)'!AU28+'[5]Table 2A-2 EFT (Monthly) mar'!AU28)*-1</f>
        <v>205486.6575</v>
      </c>
      <c r="AH29" s="1741">
        <f>('[5]Table 2A-2 EFT (Monthly)'!S28+'[5]Table 2A-2 EFT (Monthly)Aug'!S28+'[5]Table 2A-2 EFT (Monthly) sep'!S28+'[5]Table 2A-2 EFT (Monthly)oct'!S28+'[5]Table 2A-2 EFT (Monthly)oct'!S28+'[5]Table 2A-2 EFT (Monthly)dec'!S28+'[5]Table 2A-2 EFT (Monthly)jan'!S28+'[5]Table 2A-2 EFT (Monthly)feb'!S28+'[5]Table 2A-2 EFT (Monthly) mar'!S28+'[5]Table 2A-2 EFT (Monthly)apr'!S28+'[5]Table 2A-2 EFT (Monthly)'!AV28+'[5]Table 2A-2 EFT (Monthly) mar'!AV28)*-1</f>
        <v>0</v>
      </c>
      <c r="AI29" s="1741">
        <f>('[5]Table 2A-2 EFT (Monthly)'!T28+'[5]Table 2A-2 EFT (Monthly)Aug'!T28+'[5]Table 2A-2 EFT (Monthly) sep'!T28+'[5]Table 2A-2 EFT (Monthly)oct'!T28+'[5]Table 2A-2 EFT (Monthly)oct'!T28+'[5]Table 2A-2 EFT (Monthly)dec'!T28+'[5]Table 2A-2 EFT (Monthly)jan'!T28+'[5]Table 2A-2 EFT (Monthly)feb'!T28+'[5]Table 2A-2 EFT (Monthly) mar'!T28+'[5]Table 2A-2 EFT (Monthly)apr'!T28+'[5]Table 2A-2 EFT (Monthly)'!AW28+'[5]Table 2A-2 EFT (Monthly) mar'!AW28)*-1</f>
        <v>0</v>
      </c>
      <c r="AJ29" s="1741">
        <f>('[5]Table 2A-2 EFT (Monthly)'!U28+'[5]Table 2A-2 EFT (Monthly)Aug'!U28+'[5]Table 2A-2 EFT (Monthly) sep'!U28+'[5]Table 2A-2 EFT (Monthly)oct'!U28+'[5]Table 2A-2 EFT (Monthly)oct'!U28+'[5]Table 2A-2 EFT (Monthly)dec'!U28+'[5]Table 2A-2 EFT (Monthly)jan'!U28+'[5]Table 2A-2 EFT (Monthly)feb'!U28+'[5]Table 2A-2 EFT (Monthly) mar'!U28+'[5]Table 2A-2 EFT (Monthly)apr'!U28+'[5]Table 2A-2 EFT (Monthly)'!AX28+'[5]Table 2A-2 EFT (Monthly) mar'!AX28)*-1</f>
        <v>0</v>
      </c>
      <c r="AK29" s="1741">
        <f>('[5]Table 2A-2 EFT (Monthly)'!V28+'[5]Table 2A-2 EFT (Monthly)Aug'!V28+'[5]Table 2A-2 EFT (Monthly) sep'!V28+'[5]Table 2A-2 EFT (Monthly)oct'!V28+'[5]Table 2A-2 EFT (Monthly)oct'!V28+'[5]Table 2A-2 EFT (Monthly)dec'!V28+'[5]Table 2A-2 EFT (Monthly)jan'!V28+'[5]Table 2A-2 EFT (Monthly)feb'!V28+'[5]Table 2A-2 EFT (Monthly) mar'!V28+'[5]Table 2A-2 EFT (Monthly)apr'!V28+'[5]Table 2A-2 EFT (Monthly)'!AY28+'[5]Table 2A-2 EFT (Monthly) mar'!AY28)*-1</f>
        <v>0</v>
      </c>
      <c r="AL29" s="1741">
        <f>('[5]Table 2A-2 EFT (Monthly)'!W28+'[5]Table 2A-2 EFT (Monthly)Aug'!W28+'[5]Table 2A-2 EFT (Monthly) sep'!W28+'[5]Table 2A-2 EFT (Monthly)oct'!W28+'[5]Table 2A-2 EFT (Monthly)oct'!W28+'[5]Table 2A-2 EFT (Monthly)dec'!W28+'[5]Table 2A-2 EFT (Monthly)jan'!W28+'[5]Table 2A-2 EFT (Monthly)feb'!W28+'[5]Table 2A-2 EFT (Monthly) mar'!W28+'[5]Table 2A-2 EFT (Monthly)apr'!W28+'[5]Table 2A-2 EFT (Monthly)'!AZ28+'[5]Table 2A-2 EFT (Monthly) mar'!AZ28)*-1</f>
        <v>0</v>
      </c>
      <c r="AM29" s="1741">
        <f>('[5]Table 2A-2 EFT (Monthly)'!X28+'[5]Table 2A-2 EFT (Monthly)Aug'!X28+'[5]Table 2A-2 EFT (Monthly) sep'!X28+'[5]Table 2A-2 EFT (Monthly)oct'!X28+'[5]Table 2A-2 EFT (Monthly)oct'!X28+'[5]Table 2A-2 EFT (Monthly)dec'!X28+'[5]Table 2A-2 EFT (Monthly)jan'!X28+'[5]Table 2A-2 EFT (Monthly)feb'!X28+'[5]Table 2A-2 EFT (Monthly) mar'!X28+'[5]Table 2A-2 EFT (Monthly)apr'!X28+'[5]Table 2A-2 EFT (Monthly)'!BA28+'[5]Table 2A-2 EFT (Monthly) mar'!BA28)*-1</f>
        <v>0</v>
      </c>
      <c r="AN29" s="1741">
        <f>('[5]Table 2A-2 EFT (Monthly) sep'!AD28+'[5]Table 2A-2 EFT (Monthly)dec'!AD28+'[5]Table 2A-2 EFT (Monthly)feb'!AD28)*-1</f>
        <v>1524.7221042357887</v>
      </c>
      <c r="AO29" s="1741">
        <f t="shared" si="30"/>
        <v>232293.37960423579</v>
      </c>
      <c r="AP29" s="563">
        <f t="shared" si="31"/>
        <v>13016251.829604238</v>
      </c>
      <c r="AQ29" s="309">
        <f t="shared" si="32"/>
        <v>6508126</v>
      </c>
      <c r="AR29" s="309">
        <f>'Table 4A Stipends'!G26</f>
        <v>34000</v>
      </c>
      <c r="AS29" s="354">
        <f t="shared" si="20"/>
        <v>74101937</v>
      </c>
      <c r="AU29" s="1339">
        <f>('Table 8 2.1.12 MFP Funded'!G26*'Table 3 Levels 1&amp;2'!AP30)+'Table 2_State with Midyear Adjs'!F29</f>
        <v>73096189.376151919</v>
      </c>
      <c r="AV29" s="959">
        <f t="shared" si="21"/>
        <v>971747.62384808064</v>
      </c>
      <c r="AW29" s="280">
        <f t="shared" si="33"/>
        <v>1.3294094153766096E-2</v>
      </c>
    </row>
    <row r="30" spans="1:50">
      <c r="A30" s="101">
        <v>24</v>
      </c>
      <c r="B30" s="299" t="s">
        <v>125</v>
      </c>
      <c r="C30" s="309">
        <f>'Table 3 Levels 1&amp;2'!AO31</f>
        <v>15686813.5</v>
      </c>
      <c r="D30" s="354">
        <f>'[2]Adjusted Amounts'!$C30</f>
        <v>7015.528571428571</v>
      </c>
      <c r="E30" s="354">
        <f>'[2]Adjusted Amounts'!$H30</f>
        <v>-13400.027353947906</v>
      </c>
      <c r="F30" s="354">
        <f t="shared" si="22"/>
        <v>-6384.4987825193348</v>
      </c>
      <c r="G30" s="309">
        <f t="shared" si="19"/>
        <v>0</v>
      </c>
      <c r="H30" s="354">
        <f t="shared" si="23"/>
        <v>-6384.4987825193348</v>
      </c>
      <c r="I30" s="354">
        <f>'[1]Midyear Adjustment Summary'!C28+'[1]Oct midyear Madison Prep'!K30+'[1]Oct midyear DArbonne'!K30+'[1]Oct midyear Intl_VIBE '!K30+'[1]Oct midyear NOMMA'!K30+'[1]Oct midyear LFNO'!K30+'[1]Oct midyear Lake Charles Chtr'!K30+'[1]Oct midyear LA Virtual Admy'!K27+'[1]Oct midyear LA Connections'!K27</f>
        <v>142104.7962144934</v>
      </c>
      <c r="J30" s="354">
        <f>'[1]Midyear Adjustment Summary'!D28+'[1]Feb midyear Madison Prep'!K30+'[1]Feb midyear DArbonne'!K30+'[1]Feb midyear Intl_VIBE '!K30+'[1]Feb midyear NOMMA'!K30+'[1]Feb midyear LFNO '!K30+'[1]Feb midyear Lake Charles Ch'!K30+'[1]Feb midyear LA Virtual Admy'!K27+'[1]Feb midyear LA Connections'!K27</f>
        <v>701.75208007157289</v>
      </c>
      <c r="K30" s="354">
        <f t="shared" si="24"/>
        <v>142806.54829456497</v>
      </c>
      <c r="L30" s="354"/>
      <c r="M30" s="354">
        <f>-'Table 5C1A-Madison Prep'!L30</f>
        <v>0</v>
      </c>
      <c r="N30" s="354">
        <f>-'Table 5C1B-DArbonne'!L30</f>
        <v>0</v>
      </c>
      <c r="O30" s="354">
        <f>-'Table 5C1C-Intl_VIBE'!L30</f>
        <v>0</v>
      </c>
      <c r="P30" s="354">
        <f>-'Table 5C1D-NOMMA'!L30</f>
        <v>0</v>
      </c>
      <c r="Q30" s="354">
        <f>-'Table 5C1E-LFNO'!L30</f>
        <v>0</v>
      </c>
      <c r="R30" s="354">
        <f>-'Table 5C1F-Lake Charles Charter'!L30</f>
        <v>0</v>
      </c>
      <c r="S30" s="314">
        <f>-'Table 5C2 - LA Virtual Admy'!M28-'Table 5C2 - LA Virtual Admy'!I28</f>
        <v>-35546.845143703868</v>
      </c>
      <c r="T30" s="314">
        <f>-'Table 5C3 - LA Connections EBR'!M28-'Table 5C3 - LA Connections EBR'!I28</f>
        <v>-8160.1619408409751</v>
      </c>
      <c r="U30" s="1692">
        <f t="shared" si="25"/>
        <v>-43707.007084544843</v>
      </c>
      <c r="V30" s="563">
        <f t="shared" si="26"/>
        <v>15779529</v>
      </c>
      <c r="W30" s="563">
        <f>[3]MFP!DT31</f>
        <v>13056591</v>
      </c>
      <c r="X30" s="563">
        <f t="shared" si="27"/>
        <v>0</v>
      </c>
      <c r="Y30" s="563">
        <f>'[4]Table 4B Rewards'!G27</f>
        <v>8453.85</v>
      </c>
      <c r="Z30" s="563">
        <f t="shared" si="28"/>
        <v>13065044.85</v>
      </c>
      <c r="AA30" s="1738">
        <f t="shared" si="29"/>
        <v>2714484.1500000004</v>
      </c>
      <c r="AB30" s="1741">
        <f>('[5]Table 2A-2 EFT (Monthly)'!Z29+'[5]Table 2A-2 EFT (Monthly)Aug'!Z29+'[5]Table 2A-2 EFT (Monthly) sep'!Z29+'[5]Table 2A-2 EFT (Monthly)oct'!Z29+'[5]Table 2A-2 EFT (Monthly)oct'!Z29+'[5]Table 2A-2 EFT (Monthly)dec'!Z29+'[5]Table 2A-2 EFT (Monthly)jan'!Z29+'[5]Table 2A-2 EFT (Monthly)feb'!Z29+'[5]Table 2A-2 EFT (Monthly) mar'!Z29+'[5]Table 2A-2 EFT (Monthly)apr'!Z29)*-1</f>
        <v>7288</v>
      </c>
      <c r="AC30" s="1741">
        <f>('[5]Table 2A-2 EFT (Monthly)'!AA29+'[5]Table 2A-2 EFT (Monthly)Aug'!AA29+'[5]Table 2A-2 EFT (Monthly) sep'!AA29+'[5]Table 2A-2 EFT (Monthly)oct'!AA29+'[5]Table 2A-2 EFT (Monthly)oct'!AA29+'[5]Table 2A-2 EFT (Monthly)dec'!AA29+'[5]Table 2A-2 EFT (Monthly)jan'!AA29+'[5]Table 2A-2 EFT (Monthly)feb'!AA29+'[5]Table 2A-2 EFT (Monthly) mar'!AA29+'[5]Table 2A-2 EFT (Monthly)apr'!AA29)*-1</f>
        <v>0</v>
      </c>
      <c r="AD30" s="1741">
        <f>('[5]Table 2A-2 EFT (Monthly)'!AB29+'[5]Table 2A-2 EFT (Monthly)Aug'!AB29+'[5]Table 2A-2 EFT (Monthly) sep'!AB29+'[5]Table 2A-2 EFT (Monthly)oct'!AB29+'[5]Table 2A-2 EFT (Monthly)oct'!AB29+'[5]Table 2A-2 EFT (Monthly)dec'!AB29+'[5]Table 2A-2 EFT (Monthly)jan'!AB29+'[5]Table 2A-2 EFT (Monthly)feb'!AB29+'[5]Table 2A-2 EFT (Monthly) mar'!AB29+'[5]Table 2A-2 EFT (Monthly)apr'!AB29)*-1</f>
        <v>23200</v>
      </c>
      <c r="AE30" s="1741">
        <f>('[5]Table 2A-2 EFT (Monthly)'!AC29+'[5]Table 2A-2 EFT (Monthly)Aug'!AC29+'[5]Table 2A-2 EFT (Monthly) sep'!AC29+'[5]Table 2A-2 EFT (Monthly)oct'!AC29+'[5]Table 2A-2 EFT (Monthly)oct'!AC29+'[5]Table 2A-2 EFT (Monthly)dec'!AC29+'[5]Table 2A-2 EFT (Monthly)jan'!AC29+'[5]Table 2A-2 EFT (Monthly)feb'!AC29+'[5]Table 2A-2 EFT (Monthly) mar'!AC29+'[5]Table 2A-2 EFT (Monthly)apr'!AC29)*-1</f>
        <v>7138</v>
      </c>
      <c r="AF30" s="1741">
        <f>('[5]Table 2A-2 EFT (Monthly)'!Q29+'[5]Table 2A-2 EFT (Monthly)Aug'!Q29+'[5]Table 2A-2 EFT (Monthly) sep'!Q29+'[5]Table 2A-2 EFT (Monthly)oct'!Q29+'[5]Table 2A-2 EFT (Monthly)oct'!Q29+'[5]Table 2A-2 EFT (Monthly)dec'!Q29+'[5]Table 2A-2 EFT (Monthly)jan'!Q29+'[5]Table 2A-2 EFT (Monthly)feb'!Q29+'[5]Table 2A-2 EFT (Monthly) mar'!Q29+'[5]Table 2A-2 EFT (Monthly)apr'!Q29+'[5]Table 2A-2 EFT (Monthly)'!AT29+'[5]Table 2A-2 EFT (Monthly) mar'!AT29)*-1</f>
        <v>0</v>
      </c>
      <c r="AG30" s="1741">
        <f>('[5]Table 2A-2 EFT (Monthly)'!R29+'[5]Table 2A-2 EFT (Monthly)Aug'!R29+'[5]Table 2A-2 EFT (Monthly) sep'!R29+'[5]Table 2A-2 EFT (Monthly)oct'!R29+'[5]Table 2A-2 EFT (Monthly)oct'!R29+'[5]Table 2A-2 EFT (Monthly)dec'!R29+'[5]Table 2A-2 EFT (Monthly)jan'!R29+'[5]Table 2A-2 EFT (Monthly)feb'!R29+'[5]Table 2A-2 EFT (Monthly) mar'!R29+'[5]Table 2A-2 EFT (Monthly)apr'!R29+'[5]Table 2A-2 EFT (Monthly)'!AU29+'[5]Table 2A-2 EFT (Monthly) mar'!AU29)*-1</f>
        <v>0</v>
      </c>
      <c r="AH30" s="1741">
        <f>('[5]Table 2A-2 EFT (Monthly)'!S29+'[5]Table 2A-2 EFT (Monthly)Aug'!S29+'[5]Table 2A-2 EFT (Monthly) sep'!S29+'[5]Table 2A-2 EFT (Monthly)oct'!S29+'[5]Table 2A-2 EFT (Monthly)oct'!S29+'[5]Table 2A-2 EFT (Monthly)dec'!S29+'[5]Table 2A-2 EFT (Monthly)jan'!S29+'[5]Table 2A-2 EFT (Monthly)feb'!S29+'[5]Table 2A-2 EFT (Monthly) mar'!S29+'[5]Table 2A-2 EFT (Monthly)apr'!S29+'[5]Table 2A-2 EFT (Monthly)'!AV29+'[5]Table 2A-2 EFT (Monthly) mar'!AV29)*-1</f>
        <v>0</v>
      </c>
      <c r="AI30" s="1741">
        <f>('[5]Table 2A-2 EFT (Monthly)'!T29+'[5]Table 2A-2 EFT (Monthly)Aug'!T29+'[5]Table 2A-2 EFT (Monthly) sep'!T29+'[5]Table 2A-2 EFT (Monthly)oct'!T29+'[5]Table 2A-2 EFT (Monthly)oct'!T29+'[5]Table 2A-2 EFT (Monthly)dec'!T29+'[5]Table 2A-2 EFT (Monthly)jan'!T29+'[5]Table 2A-2 EFT (Monthly)feb'!T29+'[5]Table 2A-2 EFT (Monthly) mar'!T29+'[5]Table 2A-2 EFT (Monthly)apr'!T29+'[5]Table 2A-2 EFT (Monthly)'!AW29+'[5]Table 2A-2 EFT (Monthly) mar'!AW29)*-1</f>
        <v>0</v>
      </c>
      <c r="AJ30" s="1741">
        <f>('[5]Table 2A-2 EFT (Monthly)'!U29+'[5]Table 2A-2 EFT (Monthly)Aug'!U29+'[5]Table 2A-2 EFT (Monthly) sep'!U29+'[5]Table 2A-2 EFT (Monthly)oct'!U29+'[5]Table 2A-2 EFT (Monthly)oct'!U29+'[5]Table 2A-2 EFT (Monthly)dec'!U29+'[5]Table 2A-2 EFT (Monthly)jan'!U29+'[5]Table 2A-2 EFT (Monthly)feb'!U29+'[5]Table 2A-2 EFT (Monthly) mar'!U29+'[5]Table 2A-2 EFT (Monthly)apr'!U29+'[5]Table 2A-2 EFT (Monthly)'!AX29+'[5]Table 2A-2 EFT (Monthly) mar'!AX29)*-1</f>
        <v>0</v>
      </c>
      <c r="AK30" s="1741">
        <f>('[5]Table 2A-2 EFT (Monthly)'!V29+'[5]Table 2A-2 EFT (Monthly)Aug'!V29+'[5]Table 2A-2 EFT (Monthly) sep'!V29+'[5]Table 2A-2 EFT (Monthly)oct'!V29+'[5]Table 2A-2 EFT (Monthly)oct'!V29+'[5]Table 2A-2 EFT (Monthly)dec'!V29+'[5]Table 2A-2 EFT (Monthly)jan'!V29+'[5]Table 2A-2 EFT (Monthly)feb'!V29+'[5]Table 2A-2 EFT (Monthly) mar'!V29+'[5]Table 2A-2 EFT (Monthly)apr'!V29+'[5]Table 2A-2 EFT (Monthly)'!AY29+'[5]Table 2A-2 EFT (Monthly) mar'!AY29)*-1</f>
        <v>0</v>
      </c>
      <c r="AL30" s="1741">
        <f>('[5]Table 2A-2 EFT (Monthly)'!W29+'[5]Table 2A-2 EFT (Monthly)Aug'!W29+'[5]Table 2A-2 EFT (Monthly) sep'!W29+'[5]Table 2A-2 EFT (Monthly)oct'!W29+'[5]Table 2A-2 EFT (Monthly)oct'!W29+'[5]Table 2A-2 EFT (Monthly)dec'!W29+'[5]Table 2A-2 EFT (Monthly)jan'!W29+'[5]Table 2A-2 EFT (Monthly)feb'!W29+'[5]Table 2A-2 EFT (Monthly) mar'!W29+'[5]Table 2A-2 EFT (Monthly)apr'!W29+'[5]Table 2A-2 EFT (Monthly)'!AZ29+'[5]Table 2A-2 EFT (Monthly) mar'!AZ29)*-1</f>
        <v>0</v>
      </c>
      <c r="AM30" s="1741">
        <f>('[5]Table 2A-2 EFT (Monthly)'!X29+'[5]Table 2A-2 EFT (Monthly)Aug'!X29+'[5]Table 2A-2 EFT (Monthly) sep'!X29+'[5]Table 2A-2 EFT (Monthly)oct'!X29+'[5]Table 2A-2 EFT (Monthly)oct'!X29+'[5]Table 2A-2 EFT (Monthly)dec'!X29+'[5]Table 2A-2 EFT (Monthly)jan'!X29+'[5]Table 2A-2 EFT (Monthly)feb'!X29+'[5]Table 2A-2 EFT (Monthly) mar'!X29+'[5]Table 2A-2 EFT (Monthly)apr'!X29+'[5]Table 2A-2 EFT (Monthly)'!BA29+'[5]Table 2A-2 EFT (Monthly) mar'!BA29)*-1</f>
        <v>0</v>
      </c>
      <c r="AN30" s="1741">
        <f>('[5]Table 2A-2 EFT (Monthly) sep'!AD29+'[5]Table 2A-2 EFT (Monthly)dec'!AD29+'[5]Table 2A-2 EFT (Monthly)feb'!AD29)*-1</f>
        <v>73054.363056725153</v>
      </c>
      <c r="AO30" s="1741">
        <f t="shared" si="30"/>
        <v>110680.36305672515</v>
      </c>
      <c r="AP30" s="563">
        <f t="shared" si="31"/>
        <v>2825164.5130567257</v>
      </c>
      <c r="AQ30" s="309">
        <f t="shared" si="32"/>
        <v>1412582</v>
      </c>
      <c r="AR30" s="309">
        <f>'Table 4A Stipends'!G27</f>
        <v>0</v>
      </c>
      <c r="AS30" s="354">
        <f t="shared" si="20"/>
        <v>15779529</v>
      </c>
      <c r="AU30" s="1339">
        <f>('Table 8 2.1.12 MFP Funded'!G27*'Table 3 Levels 1&amp;2'!AP31)+'Table 2_State with Midyear Adjs'!F30</f>
        <v>15645343.307860291</v>
      </c>
      <c r="AV30" s="959">
        <f t="shared" si="21"/>
        <v>134185.69213970937</v>
      </c>
      <c r="AW30" s="280">
        <f t="shared" si="33"/>
        <v>8.576717653251742E-3</v>
      </c>
    </row>
    <row r="31" spans="1:50">
      <c r="A31" s="102">
        <v>25</v>
      </c>
      <c r="B31" s="300" t="s">
        <v>126</v>
      </c>
      <c r="C31" s="318">
        <f>'Table 3 Levels 1&amp;2'!AO32</f>
        <v>10084518.9748412</v>
      </c>
      <c r="D31" s="355">
        <f>'[2]Adjusted Amounts'!$C31</f>
        <v>2415.3308293177524</v>
      </c>
      <c r="E31" s="355">
        <f>'[2]Adjusted Amounts'!$H31</f>
        <v>-1734.0965425660552</v>
      </c>
      <c r="F31" s="355">
        <f t="shared" si="22"/>
        <v>681.23428675169725</v>
      </c>
      <c r="G31" s="318">
        <f t="shared" si="19"/>
        <v>681.23428675169725</v>
      </c>
      <c r="H31" s="355">
        <f t="shared" si="23"/>
        <v>0</v>
      </c>
      <c r="I31" s="355">
        <f>'[1]Midyear Adjustment Summary'!C29+'[1]Oct midyear Madison Prep'!K31+'[1]Oct midyear DArbonne'!K31+'[1]Oct midyear Intl_VIBE '!K31+'[1]Oct midyear NOMMA'!K31+'[1]Oct midyear LFNO'!K31+'[1]Oct midyear Lake Charles Chtr'!K31+'[1]Oct midyear LA Virtual Admy'!K28+'[1]Oct midyear LA Connections'!K28</f>
        <v>-17668.523769667871</v>
      </c>
      <c r="J31" s="355">
        <f>'[1]Midyear Adjustment Summary'!D29+'[1]Feb midyear Madison Prep'!K31+'[1]Feb midyear DArbonne'!K31+'[1]Feb midyear Intl_VIBE '!K31+'[1]Feb midyear NOMMA'!K31+'[1]Feb midyear LFNO '!K31+'[1]Feb midyear Lake Charles Ch'!K31+'[1]Feb midyear LA Virtual Admy'!K28+'[1]Feb midyear LA Connections'!K28</f>
        <v>1359.1172130513733</v>
      </c>
      <c r="K31" s="355">
        <f t="shared" si="24"/>
        <v>-16309.406556616497</v>
      </c>
      <c r="L31" s="355"/>
      <c r="M31" s="355">
        <f>-'Table 5C1A-Madison Prep'!L31</f>
        <v>0</v>
      </c>
      <c r="N31" s="355">
        <f>-'Table 5C1B-DArbonne'!L31</f>
        <v>0</v>
      </c>
      <c r="O31" s="355">
        <f>-'Table 5C1C-Intl_VIBE'!L31</f>
        <v>0</v>
      </c>
      <c r="P31" s="355">
        <f>-'Table 5C1D-NOMMA'!L31</f>
        <v>0</v>
      </c>
      <c r="Q31" s="355">
        <f>-'Table 5C1E-LFNO'!L31</f>
        <v>0</v>
      </c>
      <c r="R31" s="355">
        <f>-'Table 5C1F-Lake Charles Charter'!L31</f>
        <v>0</v>
      </c>
      <c r="S31" s="321">
        <f>-'Table 5C2 - LA Virtual Admy'!M29-'Table 5C2 - LA Virtual Admy'!I29</f>
        <v>-17084.738698650748</v>
      </c>
      <c r="T31" s="321">
        <f>-'Table 5C3 - LA Connections EBR'!M29-'Table 5C3 - LA Connections EBR'!I29</f>
        <v>-16309.406556616497</v>
      </c>
      <c r="U31" s="321">
        <f t="shared" si="25"/>
        <v>-33394.145255267242</v>
      </c>
      <c r="V31" s="564">
        <f t="shared" si="26"/>
        <v>10035497</v>
      </c>
      <c r="W31" s="564">
        <f>[3]MFP!DT32</f>
        <v>8314679</v>
      </c>
      <c r="X31" s="564">
        <f t="shared" si="27"/>
        <v>0</v>
      </c>
      <c r="Y31" s="564">
        <f>'[4]Table 4B Rewards'!G28</f>
        <v>25361.550000000003</v>
      </c>
      <c r="Z31" s="564">
        <f t="shared" si="28"/>
        <v>8340040.5499999998</v>
      </c>
      <c r="AA31" s="564">
        <f t="shared" si="29"/>
        <v>1695456.4500000002</v>
      </c>
      <c r="AB31" s="1742">
        <f>('[5]Table 2A-2 EFT (Monthly)'!Z30+'[5]Table 2A-2 EFT (Monthly)Aug'!Z30+'[5]Table 2A-2 EFT (Monthly) sep'!Z30+'[5]Table 2A-2 EFT (Monthly)oct'!Z30+'[5]Table 2A-2 EFT (Monthly)oct'!Z30+'[5]Table 2A-2 EFT (Monthly)dec'!Z30+'[5]Table 2A-2 EFT (Monthly)jan'!Z30+'[5]Table 2A-2 EFT (Monthly)feb'!Z30+'[5]Table 2A-2 EFT (Monthly) mar'!Z30+'[5]Table 2A-2 EFT (Monthly)apr'!Z30)*-1</f>
        <v>0</v>
      </c>
      <c r="AC31" s="1742">
        <f>('[5]Table 2A-2 EFT (Monthly)'!AA30+'[5]Table 2A-2 EFT (Monthly)Aug'!AA30+'[5]Table 2A-2 EFT (Monthly) sep'!AA30+'[5]Table 2A-2 EFT (Monthly)oct'!AA30+'[5]Table 2A-2 EFT (Monthly)oct'!AA30+'[5]Table 2A-2 EFT (Monthly)dec'!AA30+'[5]Table 2A-2 EFT (Monthly)jan'!AA30+'[5]Table 2A-2 EFT (Monthly)feb'!AA30+'[5]Table 2A-2 EFT (Monthly) mar'!AA30+'[5]Table 2A-2 EFT (Monthly)apr'!AA30)*-1</f>
        <v>0</v>
      </c>
      <c r="AD31" s="1742">
        <f>('[5]Table 2A-2 EFT (Monthly)'!AB30+'[5]Table 2A-2 EFT (Monthly)Aug'!AB30+'[5]Table 2A-2 EFT (Monthly) sep'!AB30+'[5]Table 2A-2 EFT (Monthly)oct'!AB30+'[5]Table 2A-2 EFT (Monthly)oct'!AB30+'[5]Table 2A-2 EFT (Monthly)dec'!AB30+'[5]Table 2A-2 EFT (Monthly)jan'!AB30+'[5]Table 2A-2 EFT (Monthly)feb'!AB30+'[5]Table 2A-2 EFT (Monthly) mar'!AB30+'[5]Table 2A-2 EFT (Monthly)apr'!AB30)*-1</f>
        <v>0</v>
      </c>
      <c r="AE31" s="1742">
        <f>('[5]Table 2A-2 EFT (Monthly)'!AC30+'[5]Table 2A-2 EFT (Monthly)Aug'!AC30+'[5]Table 2A-2 EFT (Monthly) sep'!AC30+'[5]Table 2A-2 EFT (Monthly)oct'!AC30+'[5]Table 2A-2 EFT (Monthly)oct'!AC30+'[5]Table 2A-2 EFT (Monthly)dec'!AC30+'[5]Table 2A-2 EFT (Monthly)jan'!AC30+'[5]Table 2A-2 EFT (Monthly)feb'!AC30+'[5]Table 2A-2 EFT (Monthly) mar'!AC30+'[5]Table 2A-2 EFT (Monthly)apr'!AC30)*-1</f>
        <v>0</v>
      </c>
      <c r="AF31" s="1742">
        <f>('[5]Table 2A-2 EFT (Monthly)'!Q30+'[5]Table 2A-2 EFT (Monthly)Aug'!Q30+'[5]Table 2A-2 EFT (Monthly) sep'!Q30+'[5]Table 2A-2 EFT (Monthly)oct'!Q30+'[5]Table 2A-2 EFT (Monthly)oct'!Q30+'[5]Table 2A-2 EFT (Monthly)dec'!Q30+'[5]Table 2A-2 EFT (Monthly)jan'!Q30+'[5]Table 2A-2 EFT (Monthly)feb'!Q30+'[5]Table 2A-2 EFT (Monthly) mar'!Q30+'[5]Table 2A-2 EFT (Monthly)apr'!Q30+'[5]Table 2A-2 EFT (Monthly)'!AT30+'[5]Table 2A-2 EFT (Monthly) mar'!AT30)*-1</f>
        <v>0</v>
      </c>
      <c r="AG31" s="1742">
        <f>('[5]Table 2A-2 EFT (Monthly)'!R30+'[5]Table 2A-2 EFT (Monthly)Aug'!R30+'[5]Table 2A-2 EFT (Monthly) sep'!R30+'[5]Table 2A-2 EFT (Monthly)oct'!R30+'[5]Table 2A-2 EFT (Monthly)oct'!R30+'[5]Table 2A-2 EFT (Monthly)dec'!R30+'[5]Table 2A-2 EFT (Monthly)jan'!R30+'[5]Table 2A-2 EFT (Monthly)feb'!R30+'[5]Table 2A-2 EFT (Monthly) mar'!R30+'[5]Table 2A-2 EFT (Monthly)apr'!R30+'[5]Table 2A-2 EFT (Monthly)'!AU30+'[5]Table 2A-2 EFT (Monthly) mar'!AU30)*-1</f>
        <v>0</v>
      </c>
      <c r="AH31" s="1742">
        <f>('[5]Table 2A-2 EFT (Monthly)'!S30+'[5]Table 2A-2 EFT (Monthly)Aug'!S30+'[5]Table 2A-2 EFT (Monthly) sep'!S30+'[5]Table 2A-2 EFT (Monthly)oct'!S30+'[5]Table 2A-2 EFT (Monthly)oct'!S30+'[5]Table 2A-2 EFT (Monthly)dec'!S30+'[5]Table 2A-2 EFT (Monthly)jan'!S30+'[5]Table 2A-2 EFT (Monthly)feb'!S30+'[5]Table 2A-2 EFT (Monthly) mar'!S30+'[5]Table 2A-2 EFT (Monthly)apr'!S30+'[5]Table 2A-2 EFT (Monthly)'!AV30+'[5]Table 2A-2 EFT (Monthly) mar'!AV30)*-1</f>
        <v>0</v>
      </c>
      <c r="AI31" s="1742">
        <f>('[5]Table 2A-2 EFT (Monthly)'!T30+'[5]Table 2A-2 EFT (Monthly)Aug'!T30+'[5]Table 2A-2 EFT (Monthly) sep'!T30+'[5]Table 2A-2 EFT (Monthly)oct'!T30+'[5]Table 2A-2 EFT (Monthly)oct'!T30+'[5]Table 2A-2 EFT (Monthly)dec'!T30+'[5]Table 2A-2 EFT (Monthly)jan'!T30+'[5]Table 2A-2 EFT (Monthly)feb'!T30+'[5]Table 2A-2 EFT (Monthly) mar'!T30+'[5]Table 2A-2 EFT (Monthly)apr'!T30+'[5]Table 2A-2 EFT (Monthly)'!AW30+'[5]Table 2A-2 EFT (Monthly) mar'!AW30)*-1</f>
        <v>0</v>
      </c>
      <c r="AJ31" s="1742">
        <f>('[5]Table 2A-2 EFT (Monthly)'!U30+'[5]Table 2A-2 EFT (Monthly)Aug'!U30+'[5]Table 2A-2 EFT (Monthly) sep'!U30+'[5]Table 2A-2 EFT (Monthly)oct'!U30+'[5]Table 2A-2 EFT (Monthly)oct'!U30+'[5]Table 2A-2 EFT (Monthly)dec'!U30+'[5]Table 2A-2 EFT (Monthly)jan'!U30+'[5]Table 2A-2 EFT (Monthly)feb'!U30+'[5]Table 2A-2 EFT (Monthly) mar'!U30+'[5]Table 2A-2 EFT (Monthly)apr'!U30+'[5]Table 2A-2 EFT (Monthly)'!AX30+'[5]Table 2A-2 EFT (Monthly) mar'!AX30)*-1</f>
        <v>0</v>
      </c>
      <c r="AK31" s="1742">
        <f>('[5]Table 2A-2 EFT (Monthly)'!V30+'[5]Table 2A-2 EFT (Monthly)Aug'!V30+'[5]Table 2A-2 EFT (Monthly) sep'!V30+'[5]Table 2A-2 EFT (Monthly)oct'!V30+'[5]Table 2A-2 EFT (Monthly)oct'!V30+'[5]Table 2A-2 EFT (Monthly)dec'!V30+'[5]Table 2A-2 EFT (Monthly)jan'!V30+'[5]Table 2A-2 EFT (Monthly)feb'!V30+'[5]Table 2A-2 EFT (Monthly) mar'!V30+'[5]Table 2A-2 EFT (Monthly)apr'!V30+'[5]Table 2A-2 EFT (Monthly)'!AY30+'[5]Table 2A-2 EFT (Monthly) mar'!AY30)*-1</f>
        <v>0</v>
      </c>
      <c r="AL31" s="1742">
        <f>('[5]Table 2A-2 EFT (Monthly)'!W30+'[5]Table 2A-2 EFT (Monthly)Aug'!W30+'[5]Table 2A-2 EFT (Monthly) sep'!W30+'[5]Table 2A-2 EFT (Monthly)oct'!W30+'[5]Table 2A-2 EFT (Monthly)oct'!W30+'[5]Table 2A-2 EFT (Monthly)dec'!W30+'[5]Table 2A-2 EFT (Monthly)jan'!W30+'[5]Table 2A-2 EFT (Monthly)feb'!W30+'[5]Table 2A-2 EFT (Monthly) mar'!W30+'[5]Table 2A-2 EFT (Monthly)apr'!W30+'[5]Table 2A-2 EFT (Monthly)'!AZ30+'[5]Table 2A-2 EFT (Monthly) mar'!AZ30)*-1</f>
        <v>0</v>
      </c>
      <c r="AM31" s="1742">
        <f>('[5]Table 2A-2 EFT (Monthly)'!X30+'[5]Table 2A-2 EFT (Monthly)Aug'!X30+'[5]Table 2A-2 EFT (Monthly) sep'!X30+'[5]Table 2A-2 EFT (Monthly)oct'!X30+'[5]Table 2A-2 EFT (Monthly)oct'!X30+'[5]Table 2A-2 EFT (Monthly)dec'!X30+'[5]Table 2A-2 EFT (Monthly)jan'!X30+'[5]Table 2A-2 EFT (Monthly)feb'!X30+'[5]Table 2A-2 EFT (Monthly) mar'!X30+'[5]Table 2A-2 EFT (Monthly)apr'!X30+'[5]Table 2A-2 EFT (Monthly)'!BA30+'[5]Table 2A-2 EFT (Monthly) mar'!BA30)*-1</f>
        <v>0</v>
      </c>
      <c r="AN31" s="1742">
        <f>('[5]Table 2A-2 EFT (Monthly) sep'!AD30+'[5]Table 2A-2 EFT (Monthly)dec'!AD30+'[5]Table 2A-2 EFT (Monthly)feb'!AD30)*-1</f>
        <v>16782.092051797459</v>
      </c>
      <c r="AO31" s="1742">
        <f t="shared" si="30"/>
        <v>16782.092051797459</v>
      </c>
      <c r="AP31" s="564">
        <f t="shared" si="31"/>
        <v>1712238.5420517977</v>
      </c>
      <c r="AQ31" s="318">
        <f t="shared" si="32"/>
        <v>856119</v>
      </c>
      <c r="AR31" s="318">
        <f>'Table 4A Stipends'!G28</f>
        <v>0</v>
      </c>
      <c r="AS31" s="355">
        <f t="shared" si="20"/>
        <v>10035497</v>
      </c>
      <c r="AU31" s="1339">
        <f>('Table 8 2.1.12 MFP Funded'!G28*'Table 3 Levels 1&amp;2'!AP32)+'Table 2_State with Midyear Adjs'!F31</f>
        <v>10076139.545179306</v>
      </c>
      <c r="AV31" s="959">
        <f t="shared" si="21"/>
        <v>-40642.545179305598</v>
      </c>
      <c r="AW31" s="280">
        <f t="shared" si="33"/>
        <v>-4.0335433026778668E-3</v>
      </c>
    </row>
    <row r="32" spans="1:50">
      <c r="A32" s="101">
        <v>26</v>
      </c>
      <c r="B32" s="299" t="s">
        <v>127</v>
      </c>
      <c r="C32" s="309">
        <f>'Table 3 Levels 1&amp;2'!AO33</f>
        <v>173798962.28617764</v>
      </c>
      <c r="D32" s="354">
        <f>'[2]Adjusted Amounts'!$C32</f>
        <v>176369.33643101272</v>
      </c>
      <c r="E32" s="354">
        <f>'[2]Adjusted Amounts'!$H32</f>
        <v>-742136.01550546859</v>
      </c>
      <c r="F32" s="354">
        <f t="shared" si="22"/>
        <v>-565766.67907445587</v>
      </c>
      <c r="G32" s="309">
        <f t="shared" si="19"/>
        <v>0</v>
      </c>
      <c r="H32" s="354">
        <f t="shared" si="23"/>
        <v>-565766.67907445587</v>
      </c>
      <c r="I32" s="354">
        <f>'[1]Midyear Adjustment Summary'!C30+'[1]Oct midyear Madison Prep'!K32+'[1]Oct midyear DArbonne'!K32+'[1]Oct midyear Intl_VIBE '!K32+'[1]Oct midyear NOMMA'!K32+'[1]Oct midyear LFNO'!K32+'[1]Oct midyear Lake Charles Chtr'!K32+'[1]Oct midyear LA Virtual Admy'!K29+'[1]Oct midyear LA Connections'!K29</f>
        <v>1488298.7872003953</v>
      </c>
      <c r="J32" s="354">
        <f>'[1]Midyear Adjustment Summary'!D30+'[1]Feb midyear Madison Prep'!K32+'[1]Feb midyear DArbonne'!K32+'[1]Feb midyear Intl_VIBE '!K32+'[1]Feb midyear NOMMA'!K32+'[1]Feb midyear LFNO '!K32+'[1]Feb midyear Lake Charles Ch'!K32+'[1]Feb midyear LA Virtual Admy'!K29+'[1]Feb midyear LA Connections'!K29</f>
        <v>-381696.46315296722</v>
      </c>
      <c r="K32" s="354">
        <f t="shared" si="24"/>
        <v>1106602.3240474281</v>
      </c>
      <c r="L32" s="354"/>
      <c r="M32" s="1220">
        <f>-'Table 5C1A-Madison Prep'!L32</f>
        <v>0</v>
      </c>
      <c r="N32" s="49">
        <f>-'Table 5C1B-DArbonne'!L32</f>
        <v>0</v>
      </c>
      <c r="O32" s="354">
        <f>-'Table 5C1C-Intl_VIBE'!L32</f>
        <v>-182515.98030183464</v>
      </c>
      <c r="P32" s="354">
        <f>-'Table 5C1D-NOMMA'!L32</f>
        <v>-428515.77983909007</v>
      </c>
      <c r="Q32" s="354">
        <f>-'Table 5C1E-LFNO'!L32</f>
        <v>-210290.15121733121</v>
      </c>
      <c r="R32" s="354">
        <f>-'Table 5C1F-Lake Charles Charter'!L32</f>
        <v>0</v>
      </c>
      <c r="S32" s="314">
        <f>-'Table 5C2 - LA Virtual Admy'!M30-'Table 5C2 - LA Virtual Admy'!I30</f>
        <v>-406886.57612178451</v>
      </c>
      <c r="T32" s="314">
        <f>-'Table 5C3 - LA Connections EBR'!M30-'Table 5C3 - LA Connections EBR'!I30</f>
        <v>-376448.95680186042</v>
      </c>
      <c r="U32" s="1692">
        <f t="shared" si="25"/>
        <v>-1604657.4442819008</v>
      </c>
      <c r="V32" s="563">
        <f t="shared" si="26"/>
        <v>172735140</v>
      </c>
      <c r="W32" s="563">
        <f>[3]MFP!DT33</f>
        <v>143814481</v>
      </c>
      <c r="X32" s="563">
        <f t="shared" si="27"/>
        <v>0</v>
      </c>
      <c r="Y32" s="563">
        <f>'[4]Table 4B Rewards'!G29</f>
        <v>228253.9500000001</v>
      </c>
      <c r="Z32" s="563">
        <f t="shared" si="28"/>
        <v>144042734.94999999</v>
      </c>
      <c r="AA32" s="1738">
        <f t="shared" si="29"/>
        <v>28692405.050000012</v>
      </c>
      <c r="AB32" s="1741">
        <f>('[5]Table 2A-2 EFT (Monthly)'!Z31+'[5]Table 2A-2 EFT (Monthly)Aug'!Z31+'[5]Table 2A-2 EFT (Monthly) sep'!Z31+'[5]Table 2A-2 EFT (Monthly)oct'!Z31+'[5]Table 2A-2 EFT (Monthly)oct'!Z31+'[5]Table 2A-2 EFT (Monthly)dec'!Z31+'[5]Table 2A-2 EFT (Monthly)jan'!Z31+'[5]Table 2A-2 EFT (Monthly)feb'!Z31+'[5]Table 2A-2 EFT (Monthly) mar'!Z31+'[5]Table 2A-2 EFT (Monthly)apr'!Z31)*-1</f>
        <v>22562</v>
      </c>
      <c r="AC32" s="1741">
        <f>('[5]Table 2A-2 EFT (Monthly)'!AA31+'[5]Table 2A-2 EFT (Monthly)Aug'!AA31+'[5]Table 2A-2 EFT (Monthly) sep'!AA31+'[5]Table 2A-2 EFT (Monthly)oct'!AA31+'[5]Table 2A-2 EFT (Monthly)oct'!AA31+'[5]Table 2A-2 EFT (Monthly)dec'!AA31+'[5]Table 2A-2 EFT (Monthly)jan'!AA31+'[5]Table 2A-2 EFT (Monthly)feb'!AA31+'[5]Table 2A-2 EFT (Monthly) mar'!AA31+'[5]Table 2A-2 EFT (Monthly)apr'!AA31)*-1</f>
        <v>81358</v>
      </c>
      <c r="AD32" s="1741">
        <f>('[5]Table 2A-2 EFT (Monthly)'!AB31+'[5]Table 2A-2 EFT (Monthly)Aug'!AB31+'[5]Table 2A-2 EFT (Monthly) sep'!AB31+'[5]Table 2A-2 EFT (Monthly)oct'!AB31+'[5]Table 2A-2 EFT (Monthly)oct'!AB31+'[5]Table 2A-2 EFT (Monthly)dec'!AB31+'[5]Table 2A-2 EFT (Monthly)jan'!AB31+'[5]Table 2A-2 EFT (Monthly)feb'!AB31+'[5]Table 2A-2 EFT (Monthly) mar'!AB31+'[5]Table 2A-2 EFT (Monthly)apr'!AB31)*-1</f>
        <v>24222</v>
      </c>
      <c r="AE32" s="1741">
        <f>('[5]Table 2A-2 EFT (Monthly)'!AC31+'[5]Table 2A-2 EFT (Monthly)Aug'!AC31+'[5]Table 2A-2 EFT (Monthly) sep'!AC31+'[5]Table 2A-2 EFT (Monthly)oct'!AC31+'[5]Table 2A-2 EFT (Monthly)oct'!AC31+'[5]Table 2A-2 EFT (Monthly)dec'!AC31+'[5]Table 2A-2 EFT (Monthly)jan'!AC31+'[5]Table 2A-2 EFT (Monthly)feb'!AC31+'[5]Table 2A-2 EFT (Monthly) mar'!AC31+'[5]Table 2A-2 EFT (Monthly)apr'!AC31)*-1</f>
        <v>113852</v>
      </c>
      <c r="AF32" s="1741">
        <f>('[5]Table 2A-2 EFT (Monthly)'!Q31+'[5]Table 2A-2 EFT (Monthly)Aug'!Q31+'[5]Table 2A-2 EFT (Monthly) sep'!Q31+'[5]Table 2A-2 EFT (Monthly)oct'!Q31+'[5]Table 2A-2 EFT (Monthly)oct'!Q31+'[5]Table 2A-2 EFT (Monthly)dec'!Q31+'[5]Table 2A-2 EFT (Monthly)jan'!Q31+'[5]Table 2A-2 EFT (Monthly)feb'!Q31+'[5]Table 2A-2 EFT (Monthly) mar'!Q31+'[5]Table 2A-2 EFT (Monthly)apr'!Q31+'[5]Table 2A-2 EFT (Monthly)'!AT31+'[5]Table 2A-2 EFT (Monthly) mar'!AT31)*-1</f>
        <v>0</v>
      </c>
      <c r="AG32" s="1741">
        <f>('[5]Table 2A-2 EFT (Monthly)'!R31+'[5]Table 2A-2 EFT (Monthly)Aug'!R31+'[5]Table 2A-2 EFT (Monthly) sep'!R31+'[5]Table 2A-2 EFT (Monthly)oct'!R31+'[5]Table 2A-2 EFT (Monthly)oct'!R31+'[5]Table 2A-2 EFT (Monthly)dec'!R31+'[5]Table 2A-2 EFT (Monthly)jan'!R31+'[5]Table 2A-2 EFT (Monthly)feb'!R31+'[5]Table 2A-2 EFT (Monthly) mar'!R31+'[5]Table 2A-2 EFT (Monthly)apr'!R31+'[5]Table 2A-2 EFT (Monthly)'!AU31+'[5]Table 2A-2 EFT (Monthly) mar'!AU31)*-1</f>
        <v>0</v>
      </c>
      <c r="AH32" s="1741">
        <f>('[5]Table 2A-2 EFT (Monthly)'!S31+'[5]Table 2A-2 EFT (Monthly)Aug'!S31+'[5]Table 2A-2 EFT (Monthly) sep'!S31+'[5]Table 2A-2 EFT (Monthly)oct'!S31+'[5]Table 2A-2 EFT (Monthly)oct'!S31+'[5]Table 2A-2 EFT (Monthly)dec'!S31+'[5]Table 2A-2 EFT (Monthly)jan'!S31+'[5]Table 2A-2 EFT (Monthly)feb'!S31+'[5]Table 2A-2 EFT (Monthly) mar'!S31+'[5]Table 2A-2 EFT (Monthly)apr'!S31+'[5]Table 2A-2 EFT (Monthly)'!AV31+'[5]Table 2A-2 EFT (Monthly) mar'!AV31)*-1</f>
        <v>873815.52500000002</v>
      </c>
      <c r="AI32" s="1741">
        <f>('[5]Table 2A-2 EFT (Monthly)'!T31+'[5]Table 2A-2 EFT (Monthly)Aug'!T31+'[5]Table 2A-2 EFT (Monthly) sep'!T31+'[5]Table 2A-2 EFT (Monthly)oct'!T31+'[5]Table 2A-2 EFT (Monthly)oct'!T31+'[5]Table 2A-2 EFT (Monthly)dec'!T31+'[5]Table 2A-2 EFT (Monthly)jan'!T31+'[5]Table 2A-2 EFT (Monthly)feb'!T31+'[5]Table 2A-2 EFT (Monthly) mar'!T31+'[5]Table 2A-2 EFT (Monthly)apr'!T31+'[5]Table 2A-2 EFT (Monthly)'!AW31+'[5]Table 2A-2 EFT (Monthly) mar'!AW31)*-1</f>
        <v>0</v>
      </c>
      <c r="AJ32" s="1741">
        <f>('[5]Table 2A-2 EFT (Monthly)'!U31+'[5]Table 2A-2 EFT (Monthly)Aug'!U31+'[5]Table 2A-2 EFT (Monthly) sep'!U31+'[5]Table 2A-2 EFT (Monthly)oct'!U31+'[5]Table 2A-2 EFT (Monthly)oct'!U31+'[5]Table 2A-2 EFT (Monthly)dec'!U31+'[5]Table 2A-2 EFT (Monthly)jan'!U31+'[5]Table 2A-2 EFT (Monthly)feb'!U31+'[5]Table 2A-2 EFT (Monthly) mar'!U31+'[5]Table 2A-2 EFT (Monthly)apr'!U31+'[5]Table 2A-2 EFT (Monthly)'!AX31+'[5]Table 2A-2 EFT (Monthly) mar'!AX31)*-1</f>
        <v>0</v>
      </c>
      <c r="AK32" s="1741">
        <f>('[5]Table 2A-2 EFT (Monthly)'!V31+'[5]Table 2A-2 EFT (Monthly)Aug'!V31+'[5]Table 2A-2 EFT (Monthly) sep'!V31+'[5]Table 2A-2 EFT (Monthly)oct'!V31+'[5]Table 2A-2 EFT (Monthly)oct'!V31+'[5]Table 2A-2 EFT (Monthly)dec'!V31+'[5]Table 2A-2 EFT (Monthly)jan'!V31+'[5]Table 2A-2 EFT (Monthly)feb'!V31+'[5]Table 2A-2 EFT (Monthly) mar'!V31+'[5]Table 2A-2 EFT (Monthly)apr'!V31+'[5]Table 2A-2 EFT (Monthly)'!AY31+'[5]Table 2A-2 EFT (Monthly) mar'!AY31)*-1</f>
        <v>400811.625</v>
      </c>
      <c r="AL32" s="1741">
        <f>('[5]Table 2A-2 EFT (Monthly)'!W31+'[5]Table 2A-2 EFT (Monthly)Aug'!W31+'[5]Table 2A-2 EFT (Monthly) sep'!W31+'[5]Table 2A-2 EFT (Monthly)oct'!W31+'[5]Table 2A-2 EFT (Monthly)oct'!W31+'[5]Table 2A-2 EFT (Monthly)dec'!W31+'[5]Table 2A-2 EFT (Monthly)jan'!W31+'[5]Table 2A-2 EFT (Monthly)feb'!W31+'[5]Table 2A-2 EFT (Monthly) mar'!W31+'[5]Table 2A-2 EFT (Monthly)apr'!W31+'[5]Table 2A-2 EFT (Monthly)'!AZ31+'[5]Table 2A-2 EFT (Monthly) mar'!AZ31)*-1</f>
        <v>0</v>
      </c>
      <c r="AM32" s="1741">
        <f>('[5]Table 2A-2 EFT (Monthly)'!X31+'[5]Table 2A-2 EFT (Monthly)Aug'!X31+'[5]Table 2A-2 EFT (Monthly) sep'!X31+'[5]Table 2A-2 EFT (Monthly)oct'!X31+'[5]Table 2A-2 EFT (Monthly)oct'!X31+'[5]Table 2A-2 EFT (Monthly)dec'!X31+'[5]Table 2A-2 EFT (Monthly)jan'!X31+'[5]Table 2A-2 EFT (Monthly)feb'!X31+'[5]Table 2A-2 EFT (Monthly) mar'!X31+'[5]Table 2A-2 EFT (Monthly)apr'!X31+'[5]Table 2A-2 EFT (Monthly)'!BA31+'[5]Table 2A-2 EFT (Monthly) mar'!BA31)*-1</f>
        <v>1103428</v>
      </c>
      <c r="AN32" s="1741">
        <f>('[5]Table 2A-2 EFT (Monthly) sep'!AD31+'[5]Table 2A-2 EFT (Monthly)dec'!AD31+'[5]Table 2A-2 EFT (Monthly)feb'!AD31)*-1</f>
        <v>881548.91421206074</v>
      </c>
      <c r="AO32" s="1741">
        <f t="shared" si="30"/>
        <v>3501598.0642120605</v>
      </c>
      <c r="AP32" s="563">
        <f t="shared" si="31"/>
        <v>32194003.114212073</v>
      </c>
      <c r="AQ32" s="309">
        <f t="shared" si="32"/>
        <v>16097002</v>
      </c>
      <c r="AR32" s="309">
        <f>'Table 4A Stipends'!G29</f>
        <v>0</v>
      </c>
      <c r="AS32" s="354">
        <f t="shared" si="20"/>
        <v>172735140</v>
      </c>
      <c r="AU32" s="1339">
        <f>('Table 8 2.1.12 MFP Funded'!G29*'Table 3 Levels 1&amp;2'!AP33)+'Table 2_State with Midyear Adjs'!F32</f>
        <v>172340515.00366095</v>
      </c>
      <c r="AV32" s="959">
        <f t="shared" si="21"/>
        <v>394624.99633905292</v>
      </c>
      <c r="AW32" s="280">
        <f t="shared" si="33"/>
        <v>2.2897981727086638E-3</v>
      </c>
    </row>
    <row r="33" spans="1:70">
      <c r="A33" s="101">
        <v>27</v>
      </c>
      <c r="B33" s="299" t="s">
        <v>128</v>
      </c>
      <c r="C33" s="309">
        <f>'Table 3 Levels 1&amp;2'!AO34</f>
        <v>35727304.91364</v>
      </c>
      <c r="D33" s="354">
        <f>'[2]Adjusted Amounts'!$C33</f>
        <v>9554.7068843409943</v>
      </c>
      <c r="E33" s="354">
        <f>'[2]Adjusted Amounts'!$H33</f>
        <v>0</v>
      </c>
      <c r="F33" s="354">
        <f t="shared" si="22"/>
        <v>9554.7068843409943</v>
      </c>
      <c r="G33" s="309">
        <f t="shared" si="19"/>
        <v>9554.7068843409943</v>
      </c>
      <c r="H33" s="354">
        <f t="shared" si="23"/>
        <v>0</v>
      </c>
      <c r="I33" s="354">
        <f>'[1]Midyear Adjustment Summary'!C31+'[1]Oct midyear Madison Prep'!K33+'[1]Oct midyear DArbonne'!K33+'[1]Oct midyear Intl_VIBE '!K33+'[1]Oct midyear NOMMA'!K33+'[1]Oct midyear LFNO'!K33+'[1]Oct midyear Lake Charles Chtr'!K33+'[1]Oct midyear LA Virtual Admy'!K30+'[1]Oct midyear LA Connections'!K30</f>
        <v>78306.348456801832</v>
      </c>
      <c r="J33" s="354">
        <f>'[1]Midyear Adjustment Summary'!D31+'[1]Feb midyear Madison Prep'!K33+'[1]Feb midyear DArbonne'!K33+'[1]Feb midyear Intl_VIBE '!K33+'[1]Feb midyear NOMMA'!K33+'[1]Feb midyear LFNO '!K33+'[1]Feb midyear Lake Charles Ch'!K33+'[1]Feb midyear LA Virtual Admy'!K30+'[1]Feb midyear LA Connections'!K30</f>
        <v>-57933.965118446897</v>
      </c>
      <c r="K33" s="354">
        <f t="shared" si="24"/>
        <v>20372.383338354935</v>
      </c>
      <c r="L33" s="354"/>
      <c r="M33" s="354">
        <f>-'Table 5C1A-Madison Prep'!L33</f>
        <v>0</v>
      </c>
      <c r="N33" s="354">
        <f>-'Table 5C1B-DArbonne'!L33</f>
        <v>0</v>
      </c>
      <c r="O33" s="354">
        <f>-'Table 5C1C-Intl_VIBE'!L33</f>
        <v>0</v>
      </c>
      <c r="P33" s="354">
        <f>-'Table 5C1D-NOMMA'!L33</f>
        <v>0</v>
      </c>
      <c r="Q33" s="354">
        <f>-'Table 5C1E-LFNO'!L33</f>
        <v>0</v>
      </c>
      <c r="R33" s="354">
        <f>-'Table 5C1F-Lake Charles Charter'!L33</f>
        <v>0</v>
      </c>
      <c r="S33" s="314">
        <f>-'Table 5C2 - LA Virtual Admy'!M31-'Table 5C2 - LA Virtual Admy'!I31</f>
        <v>-24592.712683281894</v>
      </c>
      <c r="T33" s="314">
        <f>-'Table 5C3 - LA Connections EBR'!M31-'Table 5C3 - LA Connections EBR'!I31</f>
        <v>-33215.523414488591</v>
      </c>
      <c r="U33" s="1692">
        <f t="shared" si="25"/>
        <v>-57808.236097770481</v>
      </c>
      <c r="V33" s="563">
        <f t="shared" si="26"/>
        <v>35699424</v>
      </c>
      <c r="W33" s="563">
        <f>[3]MFP!DT34</f>
        <v>29637535</v>
      </c>
      <c r="X33" s="563">
        <f t="shared" si="27"/>
        <v>0</v>
      </c>
      <c r="Y33" s="563">
        <f>'[4]Table 4B Rewards'!G30</f>
        <v>42269.25</v>
      </c>
      <c r="Z33" s="563">
        <f t="shared" si="28"/>
        <v>29679804.25</v>
      </c>
      <c r="AA33" s="1738">
        <f t="shared" si="29"/>
        <v>6019619.75</v>
      </c>
      <c r="AB33" s="1741">
        <f>('[5]Table 2A-2 EFT (Monthly)'!Z32+'[5]Table 2A-2 EFT (Monthly)Aug'!Z32+'[5]Table 2A-2 EFT (Monthly) sep'!Z32+'[5]Table 2A-2 EFT (Monthly)oct'!Z32+'[5]Table 2A-2 EFT (Monthly)oct'!Z32+'[5]Table 2A-2 EFT (Monthly)dec'!Z32+'[5]Table 2A-2 EFT (Monthly)jan'!Z32+'[5]Table 2A-2 EFT (Monthly)feb'!Z32+'[5]Table 2A-2 EFT (Monthly) mar'!Z32+'[5]Table 2A-2 EFT (Monthly)apr'!Z32)*-1</f>
        <v>272</v>
      </c>
      <c r="AC33" s="1741">
        <f>('[5]Table 2A-2 EFT (Monthly)'!AA32+'[5]Table 2A-2 EFT (Monthly)Aug'!AA32+'[5]Table 2A-2 EFT (Monthly) sep'!AA32+'[5]Table 2A-2 EFT (Monthly)oct'!AA32+'[5]Table 2A-2 EFT (Monthly)oct'!AA32+'[5]Table 2A-2 EFT (Monthly)dec'!AA32+'[5]Table 2A-2 EFT (Monthly)jan'!AA32+'[5]Table 2A-2 EFT (Monthly)feb'!AA32+'[5]Table 2A-2 EFT (Monthly) mar'!AA32+'[5]Table 2A-2 EFT (Monthly)apr'!AA32)*-1</f>
        <v>0</v>
      </c>
      <c r="AD33" s="1741">
        <f>('[5]Table 2A-2 EFT (Monthly)'!AB32+'[5]Table 2A-2 EFT (Monthly)Aug'!AB32+'[5]Table 2A-2 EFT (Monthly) sep'!AB32+'[5]Table 2A-2 EFT (Monthly)oct'!AB32+'[5]Table 2A-2 EFT (Monthly)oct'!AB32+'[5]Table 2A-2 EFT (Monthly)dec'!AB32+'[5]Table 2A-2 EFT (Monthly)jan'!AB32+'[5]Table 2A-2 EFT (Monthly)feb'!AB32+'[5]Table 2A-2 EFT (Monthly) mar'!AB32+'[5]Table 2A-2 EFT (Monthly)apr'!AB32)*-1</f>
        <v>4076</v>
      </c>
      <c r="AE33" s="1741">
        <f>('[5]Table 2A-2 EFT (Monthly)'!AC32+'[5]Table 2A-2 EFT (Monthly)Aug'!AC32+'[5]Table 2A-2 EFT (Monthly) sep'!AC32+'[5]Table 2A-2 EFT (Monthly)oct'!AC32+'[5]Table 2A-2 EFT (Monthly)oct'!AC32+'[5]Table 2A-2 EFT (Monthly)dec'!AC32+'[5]Table 2A-2 EFT (Monthly)jan'!AC32+'[5]Table 2A-2 EFT (Monthly)feb'!AC32+'[5]Table 2A-2 EFT (Monthly) mar'!AC32+'[5]Table 2A-2 EFT (Monthly)apr'!AC32)*-1</f>
        <v>3312</v>
      </c>
      <c r="AF33" s="1741">
        <f>('[5]Table 2A-2 EFT (Monthly)'!Q32+'[5]Table 2A-2 EFT (Monthly)Aug'!Q32+'[5]Table 2A-2 EFT (Monthly) sep'!Q32+'[5]Table 2A-2 EFT (Monthly)oct'!Q32+'[5]Table 2A-2 EFT (Monthly)oct'!Q32+'[5]Table 2A-2 EFT (Monthly)dec'!Q32+'[5]Table 2A-2 EFT (Monthly)jan'!Q32+'[5]Table 2A-2 EFT (Monthly)feb'!Q32+'[5]Table 2A-2 EFT (Monthly) mar'!Q32+'[5]Table 2A-2 EFT (Monthly)apr'!Q32+'[5]Table 2A-2 EFT (Monthly)'!AT32+'[5]Table 2A-2 EFT (Monthly) mar'!AT32)*-1</f>
        <v>0</v>
      </c>
      <c r="AG33" s="1741">
        <f>('[5]Table 2A-2 EFT (Monthly)'!R32+'[5]Table 2A-2 EFT (Monthly)Aug'!R32+'[5]Table 2A-2 EFT (Monthly) sep'!R32+'[5]Table 2A-2 EFT (Monthly)oct'!R32+'[5]Table 2A-2 EFT (Monthly)oct'!R32+'[5]Table 2A-2 EFT (Monthly)dec'!R32+'[5]Table 2A-2 EFT (Monthly)jan'!R32+'[5]Table 2A-2 EFT (Monthly)feb'!R32+'[5]Table 2A-2 EFT (Monthly) mar'!R32+'[5]Table 2A-2 EFT (Monthly)apr'!R32+'[5]Table 2A-2 EFT (Monthly)'!AU32+'[5]Table 2A-2 EFT (Monthly) mar'!AU32)*-1</f>
        <v>0</v>
      </c>
      <c r="AH33" s="1741">
        <f>('[5]Table 2A-2 EFT (Monthly)'!S32+'[5]Table 2A-2 EFT (Monthly)Aug'!S32+'[5]Table 2A-2 EFT (Monthly) sep'!S32+'[5]Table 2A-2 EFT (Monthly)oct'!S32+'[5]Table 2A-2 EFT (Monthly)oct'!S32+'[5]Table 2A-2 EFT (Monthly)dec'!S32+'[5]Table 2A-2 EFT (Monthly)jan'!S32+'[5]Table 2A-2 EFT (Monthly)feb'!S32+'[5]Table 2A-2 EFT (Monthly) mar'!S32+'[5]Table 2A-2 EFT (Monthly)apr'!S32+'[5]Table 2A-2 EFT (Monthly)'!AV32+'[5]Table 2A-2 EFT (Monthly) mar'!AV32)*-1</f>
        <v>0</v>
      </c>
      <c r="AI33" s="1741">
        <f>('[5]Table 2A-2 EFT (Monthly)'!T32+'[5]Table 2A-2 EFT (Monthly)Aug'!T32+'[5]Table 2A-2 EFT (Monthly) sep'!T32+'[5]Table 2A-2 EFT (Monthly)oct'!T32+'[5]Table 2A-2 EFT (Monthly)oct'!T32+'[5]Table 2A-2 EFT (Monthly)dec'!T32+'[5]Table 2A-2 EFT (Monthly)jan'!T32+'[5]Table 2A-2 EFT (Monthly)feb'!T32+'[5]Table 2A-2 EFT (Monthly) mar'!T32+'[5]Table 2A-2 EFT (Monthly)apr'!T32+'[5]Table 2A-2 EFT (Monthly)'!AW32+'[5]Table 2A-2 EFT (Monthly) mar'!AW32)*-1</f>
        <v>0</v>
      </c>
      <c r="AJ33" s="1741">
        <f>('[5]Table 2A-2 EFT (Monthly)'!U32+'[5]Table 2A-2 EFT (Monthly)Aug'!U32+'[5]Table 2A-2 EFT (Monthly) sep'!U32+'[5]Table 2A-2 EFT (Monthly)oct'!U32+'[5]Table 2A-2 EFT (Monthly)oct'!U32+'[5]Table 2A-2 EFT (Monthly)dec'!U32+'[5]Table 2A-2 EFT (Monthly)jan'!U32+'[5]Table 2A-2 EFT (Monthly)feb'!U32+'[5]Table 2A-2 EFT (Monthly) mar'!U32+'[5]Table 2A-2 EFT (Monthly)apr'!U32+'[5]Table 2A-2 EFT (Monthly)'!AX32+'[5]Table 2A-2 EFT (Monthly) mar'!AX32)*-1</f>
        <v>0</v>
      </c>
      <c r="AK33" s="1741">
        <f>('[5]Table 2A-2 EFT (Monthly)'!V32+'[5]Table 2A-2 EFT (Monthly)Aug'!V32+'[5]Table 2A-2 EFT (Monthly) sep'!V32+'[5]Table 2A-2 EFT (Monthly)oct'!V32+'[5]Table 2A-2 EFT (Monthly)oct'!V32+'[5]Table 2A-2 EFT (Monthly)dec'!V32+'[5]Table 2A-2 EFT (Monthly)jan'!V32+'[5]Table 2A-2 EFT (Monthly)feb'!V32+'[5]Table 2A-2 EFT (Monthly) mar'!V32+'[5]Table 2A-2 EFT (Monthly)apr'!V32+'[5]Table 2A-2 EFT (Monthly)'!AY32+'[5]Table 2A-2 EFT (Monthly) mar'!AY32)*-1</f>
        <v>0</v>
      </c>
      <c r="AL33" s="1741">
        <f>('[5]Table 2A-2 EFT (Monthly)'!W32+'[5]Table 2A-2 EFT (Monthly)Aug'!W32+'[5]Table 2A-2 EFT (Monthly) sep'!W32+'[5]Table 2A-2 EFT (Monthly)oct'!W32+'[5]Table 2A-2 EFT (Monthly)oct'!W32+'[5]Table 2A-2 EFT (Monthly)dec'!W32+'[5]Table 2A-2 EFT (Monthly)jan'!W32+'[5]Table 2A-2 EFT (Monthly)feb'!W32+'[5]Table 2A-2 EFT (Monthly) mar'!W32+'[5]Table 2A-2 EFT (Monthly)apr'!W32+'[5]Table 2A-2 EFT (Monthly)'!AZ32+'[5]Table 2A-2 EFT (Monthly) mar'!AZ32)*-1</f>
        <v>0</v>
      </c>
      <c r="AM33" s="1741">
        <f>('[5]Table 2A-2 EFT (Monthly)'!X32+'[5]Table 2A-2 EFT (Monthly)Aug'!X32+'[5]Table 2A-2 EFT (Monthly) sep'!X32+'[5]Table 2A-2 EFT (Monthly)oct'!X32+'[5]Table 2A-2 EFT (Monthly)oct'!X32+'[5]Table 2A-2 EFT (Monthly)dec'!X32+'[5]Table 2A-2 EFT (Monthly)jan'!X32+'[5]Table 2A-2 EFT (Monthly)feb'!X32+'[5]Table 2A-2 EFT (Monthly) mar'!X32+'[5]Table 2A-2 EFT (Monthly)apr'!X32+'[5]Table 2A-2 EFT (Monthly)'!BA32+'[5]Table 2A-2 EFT (Monthly) mar'!BA32)*-1</f>
        <v>0</v>
      </c>
      <c r="AN33" s="1741">
        <f>('[5]Table 2A-2 EFT (Monthly) sep'!AD32+'[5]Table 2A-2 EFT (Monthly)dec'!AD32+'[5]Table 2A-2 EFT (Monthly)feb'!AD32)*-1</f>
        <v>0</v>
      </c>
      <c r="AO33" s="1741">
        <f t="shared" si="30"/>
        <v>7660</v>
      </c>
      <c r="AP33" s="563">
        <f t="shared" si="31"/>
        <v>6027279.75</v>
      </c>
      <c r="AQ33" s="309">
        <f t="shared" si="32"/>
        <v>3013640</v>
      </c>
      <c r="AR33" s="309">
        <f>'Table 4A Stipends'!G30</f>
        <v>0</v>
      </c>
      <c r="AS33" s="354">
        <f t="shared" si="20"/>
        <v>35699424</v>
      </c>
      <c r="AU33" s="1339">
        <f>('Table 8 2.1.12 MFP Funded'!G30*'Table 3 Levels 1&amp;2'!AP34)+'Table 2_State with Midyear Adjs'!F33</f>
        <v>35641366.111311115</v>
      </c>
      <c r="AV33" s="959">
        <f t="shared" si="21"/>
        <v>58057.888688884676</v>
      </c>
      <c r="AW33" s="280">
        <f t="shared" si="33"/>
        <v>1.6289467835650516E-3</v>
      </c>
    </row>
    <row r="34" spans="1:70">
      <c r="A34" s="101">
        <v>28</v>
      </c>
      <c r="B34" s="299" t="s">
        <v>129</v>
      </c>
      <c r="C34" s="309">
        <f>'Table 3 Levels 1&amp;2'!AO35</f>
        <v>116186372.7041432</v>
      </c>
      <c r="D34" s="354">
        <f>'[2]Adjusted Amounts'!$C34</f>
        <v>-2011.0942700645537</v>
      </c>
      <c r="E34" s="354">
        <f>'[2]Adjusted Amounts'!$H34</f>
        <v>-342739.05116589542</v>
      </c>
      <c r="F34" s="354">
        <f t="shared" si="22"/>
        <v>-344750.14543595997</v>
      </c>
      <c r="G34" s="309">
        <f t="shared" si="19"/>
        <v>0</v>
      </c>
      <c r="H34" s="354">
        <f t="shared" si="23"/>
        <v>-344750.14543595997</v>
      </c>
      <c r="I34" s="354">
        <f>'[1]Midyear Adjustment Summary'!C32+'[1]Oct midyear Madison Prep'!K34+'[1]Oct midyear DArbonne'!K34+'[1]Oct midyear Intl_VIBE '!K34+'[1]Oct midyear NOMMA'!K34+'[1]Oct midyear LFNO'!K34+'[1]Oct midyear Lake Charles Chtr'!K34+'[1]Oct midyear LA Virtual Admy'!K31+'[1]Oct midyear LA Connections'!K31</f>
        <v>1291279.6746788383</v>
      </c>
      <c r="J34" s="354">
        <f>'[1]Midyear Adjustment Summary'!D32+'[1]Feb midyear Madison Prep'!K34+'[1]Feb midyear DArbonne'!K34+'[1]Feb midyear Intl_VIBE '!K34+'[1]Feb midyear NOMMA'!K34+'[1]Feb midyear LFNO '!K34+'[1]Feb midyear Lake Charles Ch'!K34+'[1]Feb midyear LA Virtual Admy'!K31+'[1]Feb midyear LA Connections'!K31</f>
        <v>77813.908750379313</v>
      </c>
      <c r="K34" s="354">
        <f t="shared" si="24"/>
        <v>1369093.5834292176</v>
      </c>
      <c r="L34" s="354"/>
      <c r="M34" s="354">
        <f>-'Table 5C1A-Madison Prep'!L34</f>
        <v>0</v>
      </c>
      <c r="N34" s="354">
        <f>-'Table 5C1B-DArbonne'!L34</f>
        <v>0</v>
      </c>
      <c r="O34" s="354">
        <f>-'Table 5C1C-Intl_VIBE'!L34</f>
        <v>0</v>
      </c>
      <c r="P34" s="354">
        <f>-'Table 5C1D-NOMMA'!L34</f>
        <v>0</v>
      </c>
      <c r="Q34" s="354">
        <f>-'Table 5C1E-LFNO'!L34</f>
        <v>0</v>
      </c>
      <c r="R34" s="354">
        <f>-'Table 5C1F-Lake Charles Charter'!L34</f>
        <v>0</v>
      </c>
      <c r="S34" s="314">
        <f>-'Table 5C2 - LA Virtual Admy'!M32-'Table 5C2 - LA Virtual Admy'!I32</f>
        <v>-165275.82444037017</v>
      </c>
      <c r="T34" s="314">
        <f>-'Table 5C3 - LA Connections EBR'!M32-'Table 5C3 - LA Connections EBR'!I32</f>
        <v>-153834.69269282313</v>
      </c>
      <c r="U34" s="1692">
        <f t="shared" si="25"/>
        <v>-319110.51713319332</v>
      </c>
      <c r="V34" s="563">
        <f t="shared" si="26"/>
        <v>116891606</v>
      </c>
      <c r="W34" s="563">
        <f>[3]MFP!DT35</f>
        <v>96169537</v>
      </c>
      <c r="X34" s="563">
        <f t="shared" si="27"/>
        <v>98000</v>
      </c>
      <c r="Y34" s="563">
        <f>'[4]Table 4B Rewards'!G31</f>
        <v>67630.8</v>
      </c>
      <c r="Z34" s="563">
        <f t="shared" si="28"/>
        <v>96335167.799999997</v>
      </c>
      <c r="AA34" s="1738">
        <f t="shared" si="29"/>
        <v>20556438.200000003</v>
      </c>
      <c r="AB34" s="1741">
        <f>('[5]Table 2A-2 EFT (Monthly)'!Z33+'[5]Table 2A-2 EFT (Monthly)Aug'!Z33+'[5]Table 2A-2 EFT (Monthly) sep'!Z33+'[5]Table 2A-2 EFT (Monthly)oct'!Z33+'[5]Table 2A-2 EFT (Monthly)oct'!Z33+'[5]Table 2A-2 EFT (Monthly)dec'!Z33+'[5]Table 2A-2 EFT (Monthly)jan'!Z33+'[5]Table 2A-2 EFT (Monthly)feb'!Z33+'[5]Table 2A-2 EFT (Monthly) mar'!Z33+'[5]Table 2A-2 EFT (Monthly)apr'!Z33)*-1</f>
        <v>21428</v>
      </c>
      <c r="AC34" s="1741">
        <f>('[5]Table 2A-2 EFT (Monthly)'!AA33+'[5]Table 2A-2 EFT (Monthly)Aug'!AA33+'[5]Table 2A-2 EFT (Monthly) sep'!AA33+'[5]Table 2A-2 EFT (Monthly)oct'!AA33+'[5]Table 2A-2 EFT (Monthly)oct'!AA33+'[5]Table 2A-2 EFT (Monthly)dec'!AA33+'[5]Table 2A-2 EFT (Monthly)jan'!AA33+'[5]Table 2A-2 EFT (Monthly)feb'!AA33+'[5]Table 2A-2 EFT (Monthly) mar'!AA33+'[5]Table 2A-2 EFT (Monthly)apr'!AA33)*-1</f>
        <v>0</v>
      </c>
      <c r="AD34" s="1741">
        <f>('[5]Table 2A-2 EFT (Monthly)'!AB33+'[5]Table 2A-2 EFT (Monthly)Aug'!AB33+'[5]Table 2A-2 EFT (Monthly) sep'!AB33+'[5]Table 2A-2 EFT (Monthly)oct'!AB33+'[5]Table 2A-2 EFT (Monthly)oct'!AB33+'[5]Table 2A-2 EFT (Monthly)dec'!AB33+'[5]Table 2A-2 EFT (Monthly)jan'!AB33+'[5]Table 2A-2 EFT (Monthly)feb'!AB33+'[5]Table 2A-2 EFT (Monthly) mar'!AB33+'[5]Table 2A-2 EFT (Monthly)apr'!AB33)*-1</f>
        <v>3472</v>
      </c>
      <c r="AE34" s="1741">
        <f>('[5]Table 2A-2 EFT (Monthly)'!AC33+'[5]Table 2A-2 EFT (Monthly)Aug'!AC33+'[5]Table 2A-2 EFT (Monthly) sep'!AC33+'[5]Table 2A-2 EFT (Monthly)oct'!AC33+'[5]Table 2A-2 EFT (Monthly)oct'!AC33+'[5]Table 2A-2 EFT (Monthly)dec'!AC33+'[5]Table 2A-2 EFT (Monthly)jan'!AC33+'[5]Table 2A-2 EFT (Monthly)feb'!AC33+'[5]Table 2A-2 EFT (Monthly) mar'!AC33+'[5]Table 2A-2 EFT (Monthly)apr'!AC33)*-1</f>
        <v>30560</v>
      </c>
      <c r="AF34" s="1741">
        <f>('[5]Table 2A-2 EFT (Monthly)'!Q33+'[5]Table 2A-2 EFT (Monthly)Aug'!Q33+'[5]Table 2A-2 EFT (Monthly) sep'!Q33+'[5]Table 2A-2 EFT (Monthly)oct'!Q33+'[5]Table 2A-2 EFT (Monthly)oct'!Q33+'[5]Table 2A-2 EFT (Monthly)dec'!Q33+'[5]Table 2A-2 EFT (Monthly)jan'!Q33+'[5]Table 2A-2 EFT (Monthly)feb'!Q33+'[5]Table 2A-2 EFT (Monthly) mar'!Q33+'[5]Table 2A-2 EFT (Monthly)apr'!Q33+'[5]Table 2A-2 EFT (Monthly)'!AT33+'[5]Table 2A-2 EFT (Monthly) mar'!AT33)*-1</f>
        <v>0</v>
      </c>
      <c r="AG34" s="1741">
        <f>('[5]Table 2A-2 EFT (Monthly)'!R33+'[5]Table 2A-2 EFT (Monthly)Aug'!R33+'[5]Table 2A-2 EFT (Monthly) sep'!R33+'[5]Table 2A-2 EFT (Monthly)oct'!R33+'[5]Table 2A-2 EFT (Monthly)oct'!R33+'[5]Table 2A-2 EFT (Monthly)dec'!R33+'[5]Table 2A-2 EFT (Monthly)jan'!R33+'[5]Table 2A-2 EFT (Monthly)feb'!R33+'[5]Table 2A-2 EFT (Monthly) mar'!R33+'[5]Table 2A-2 EFT (Monthly)apr'!R33+'[5]Table 2A-2 EFT (Monthly)'!AU33+'[5]Table 2A-2 EFT (Monthly) mar'!AU33)*-1</f>
        <v>1685</v>
      </c>
      <c r="AH34" s="1741">
        <f>('[5]Table 2A-2 EFT (Monthly)'!S33+'[5]Table 2A-2 EFT (Monthly)Aug'!S33+'[5]Table 2A-2 EFT (Monthly) sep'!S33+'[5]Table 2A-2 EFT (Monthly)oct'!S33+'[5]Table 2A-2 EFT (Monthly)oct'!S33+'[5]Table 2A-2 EFT (Monthly)dec'!S33+'[5]Table 2A-2 EFT (Monthly)jan'!S33+'[5]Table 2A-2 EFT (Monthly)feb'!S33+'[5]Table 2A-2 EFT (Monthly) mar'!S33+'[5]Table 2A-2 EFT (Monthly)apr'!S33+'[5]Table 2A-2 EFT (Monthly)'!AV33+'[5]Table 2A-2 EFT (Monthly) mar'!AV33)*-1</f>
        <v>0</v>
      </c>
      <c r="AI34" s="1741">
        <f>('[5]Table 2A-2 EFT (Monthly)'!T33+'[5]Table 2A-2 EFT (Monthly)Aug'!T33+'[5]Table 2A-2 EFT (Monthly) sep'!T33+'[5]Table 2A-2 EFT (Monthly)oct'!T33+'[5]Table 2A-2 EFT (Monthly)oct'!T33+'[5]Table 2A-2 EFT (Monthly)dec'!T33+'[5]Table 2A-2 EFT (Monthly)jan'!T33+'[5]Table 2A-2 EFT (Monthly)feb'!T33+'[5]Table 2A-2 EFT (Monthly) mar'!T33+'[5]Table 2A-2 EFT (Monthly)apr'!T33+'[5]Table 2A-2 EFT (Monthly)'!AW33+'[5]Table 2A-2 EFT (Monthly) mar'!AW33)*-1</f>
        <v>0</v>
      </c>
      <c r="AJ34" s="1741">
        <f>('[5]Table 2A-2 EFT (Monthly)'!U33+'[5]Table 2A-2 EFT (Monthly)Aug'!U33+'[5]Table 2A-2 EFT (Monthly) sep'!U33+'[5]Table 2A-2 EFT (Monthly)oct'!U33+'[5]Table 2A-2 EFT (Monthly)oct'!U33+'[5]Table 2A-2 EFT (Monthly)dec'!U33+'[5]Table 2A-2 EFT (Monthly)jan'!U33+'[5]Table 2A-2 EFT (Monthly)feb'!U33+'[5]Table 2A-2 EFT (Monthly) mar'!U33+'[5]Table 2A-2 EFT (Monthly)apr'!U33+'[5]Table 2A-2 EFT (Monthly)'!AX33+'[5]Table 2A-2 EFT (Monthly) mar'!AX33)*-1</f>
        <v>0</v>
      </c>
      <c r="AK34" s="1741">
        <f>('[5]Table 2A-2 EFT (Monthly)'!V33+'[5]Table 2A-2 EFT (Monthly)Aug'!V33+'[5]Table 2A-2 EFT (Monthly) sep'!V33+'[5]Table 2A-2 EFT (Monthly)oct'!V33+'[5]Table 2A-2 EFT (Monthly)oct'!V33+'[5]Table 2A-2 EFT (Monthly)dec'!V33+'[5]Table 2A-2 EFT (Monthly)jan'!V33+'[5]Table 2A-2 EFT (Monthly)feb'!V33+'[5]Table 2A-2 EFT (Monthly) mar'!V33+'[5]Table 2A-2 EFT (Monthly)apr'!V33+'[5]Table 2A-2 EFT (Monthly)'!AY33+'[5]Table 2A-2 EFT (Monthly) mar'!AY33)*-1</f>
        <v>0</v>
      </c>
      <c r="AL34" s="1741">
        <f>('[5]Table 2A-2 EFT (Monthly)'!W33+'[5]Table 2A-2 EFT (Monthly)Aug'!W33+'[5]Table 2A-2 EFT (Monthly) sep'!W33+'[5]Table 2A-2 EFT (Monthly)oct'!W33+'[5]Table 2A-2 EFT (Monthly)oct'!W33+'[5]Table 2A-2 EFT (Monthly)dec'!W33+'[5]Table 2A-2 EFT (Monthly)jan'!W33+'[5]Table 2A-2 EFT (Monthly)feb'!W33+'[5]Table 2A-2 EFT (Monthly) mar'!W33+'[5]Table 2A-2 EFT (Monthly)apr'!W33+'[5]Table 2A-2 EFT (Monthly)'!AZ33+'[5]Table 2A-2 EFT (Monthly) mar'!AZ33)*-1</f>
        <v>0</v>
      </c>
      <c r="AM34" s="1741">
        <f>('[5]Table 2A-2 EFT (Monthly)'!X33+'[5]Table 2A-2 EFT (Monthly)Aug'!X33+'[5]Table 2A-2 EFT (Monthly) sep'!X33+'[5]Table 2A-2 EFT (Monthly)oct'!X33+'[5]Table 2A-2 EFT (Monthly)oct'!X33+'[5]Table 2A-2 EFT (Monthly)dec'!X33+'[5]Table 2A-2 EFT (Monthly)jan'!X33+'[5]Table 2A-2 EFT (Monthly)feb'!X33+'[5]Table 2A-2 EFT (Monthly) mar'!X33+'[5]Table 2A-2 EFT (Monthly)apr'!X33+'[5]Table 2A-2 EFT (Monthly)'!BA33+'[5]Table 2A-2 EFT (Monthly) mar'!BA33)*-1</f>
        <v>0</v>
      </c>
      <c r="AN34" s="1741">
        <f>('[5]Table 2A-2 EFT (Monthly) sep'!AD33+'[5]Table 2A-2 EFT (Monthly)dec'!AD33+'[5]Table 2A-2 EFT (Monthly)feb'!AD33)*-1</f>
        <v>262073.15654326385</v>
      </c>
      <c r="AO34" s="1741">
        <f t="shared" si="30"/>
        <v>319218.15654326382</v>
      </c>
      <c r="AP34" s="563">
        <f t="shared" si="31"/>
        <v>20875656.356543265</v>
      </c>
      <c r="AQ34" s="309">
        <f t="shared" si="32"/>
        <v>10437828</v>
      </c>
      <c r="AR34" s="309">
        <f>'Table 4A Stipends'!G31</f>
        <v>98000</v>
      </c>
      <c r="AS34" s="354">
        <f t="shared" si="20"/>
        <v>116989606</v>
      </c>
      <c r="AU34" s="1339">
        <f>('Table 8 2.1.12 MFP Funded'!G31*'Table 3 Levels 1&amp;2'!AP35)+'Table 2_State with Midyear Adjs'!F34</f>
        <v>115543708.78254277</v>
      </c>
      <c r="AV34" s="959">
        <f t="shared" si="21"/>
        <v>1347897.2174572349</v>
      </c>
      <c r="AW34" s="280">
        <f t="shared" si="33"/>
        <v>1.1665691119488156E-2</v>
      </c>
    </row>
    <row r="35" spans="1:70">
      <c r="A35" s="101">
        <v>29</v>
      </c>
      <c r="B35" s="299" t="s">
        <v>130</v>
      </c>
      <c r="C35" s="309">
        <f>'Table 3 Levels 1&amp;2'!AO36</f>
        <v>63739221.806979999</v>
      </c>
      <c r="D35" s="354">
        <f>'[2]Adjusted Amounts'!$C35</f>
        <v>4974.9192949596327</v>
      </c>
      <c r="E35" s="354">
        <f>'[2]Adjusted Amounts'!$H35</f>
        <v>-17790.037273519818</v>
      </c>
      <c r="F35" s="354">
        <f t="shared" si="22"/>
        <v>-12815.117978560185</v>
      </c>
      <c r="G35" s="309">
        <f t="shared" si="19"/>
        <v>0</v>
      </c>
      <c r="H35" s="354">
        <f t="shared" si="23"/>
        <v>-12815.117978560185</v>
      </c>
      <c r="I35" s="354">
        <f>'[1]Midyear Adjustment Summary'!C33+'[1]Oct midyear Madison Prep'!K35+'[1]Oct midyear DArbonne'!K35+'[1]Oct midyear Intl_VIBE '!K35+'[1]Oct midyear NOMMA'!K35+'[1]Oct midyear LFNO'!K35+'[1]Oct midyear Lake Charles Chtr'!K35+'[1]Oct midyear LA Virtual Admy'!K32+'[1]Oct midyear LA Connections'!K32</f>
        <v>1492360.9160608428</v>
      </c>
      <c r="J35" s="354">
        <f>'[1]Midyear Adjustment Summary'!D33+'[1]Feb midyear Madison Prep'!K35+'[1]Feb midyear DArbonne'!K35+'[1]Feb midyear Intl_VIBE '!K35+'[1]Feb midyear NOMMA'!K35+'[1]Feb midyear LFNO '!K35+'[1]Feb midyear Lake Charles Ch'!K35+'[1]Feb midyear LA Virtual Admy'!K32+'[1]Feb midyear LA Connections'!K32</f>
        <v>-396879.44185014523</v>
      </c>
      <c r="K35" s="354">
        <f t="shared" si="24"/>
        <v>1095481.4742106977</v>
      </c>
      <c r="L35" s="354"/>
      <c r="M35" s="354">
        <f>-'Table 5C1A-Madison Prep'!L35</f>
        <v>0</v>
      </c>
      <c r="N35" s="354">
        <f>-'Table 5C1B-DArbonne'!L35</f>
        <v>0</v>
      </c>
      <c r="O35" s="354">
        <f>-'Table 5C1C-Intl_VIBE'!L35</f>
        <v>0</v>
      </c>
      <c r="P35" s="354">
        <f>-'Table 5C1D-NOMMA'!L35</f>
        <v>0</v>
      </c>
      <c r="Q35" s="354">
        <f>-'Table 5C1E-LFNO'!L35</f>
        <v>0</v>
      </c>
      <c r="R35" s="354">
        <f>-'Table 5C1F-Lake Charles Charter'!L35</f>
        <v>0</v>
      </c>
      <c r="S35" s="314">
        <f>-'Table 5C2 - LA Virtual Admy'!M33-'Table 5C2 - LA Virtual Admy'!I33</f>
        <v>-57996.353706965339</v>
      </c>
      <c r="T35" s="314">
        <f>-'Table 5C3 - LA Connections EBR'!M33-'Table 5C3 - LA Connections EBR'!I33</f>
        <v>-67692.648854416591</v>
      </c>
      <c r="U35" s="1692">
        <f t="shared" si="25"/>
        <v>-125689.00256138193</v>
      </c>
      <c r="V35" s="563">
        <f t="shared" si="26"/>
        <v>64696199</v>
      </c>
      <c r="W35" s="563">
        <f>[3]MFP!DT36</f>
        <v>53370824</v>
      </c>
      <c r="X35" s="563">
        <f t="shared" si="27"/>
        <v>24000</v>
      </c>
      <c r="Y35" s="563">
        <f>'[4]Table 4B Rewards'!G32</f>
        <v>59176.95</v>
      </c>
      <c r="Z35" s="563">
        <f t="shared" si="28"/>
        <v>53454000.950000003</v>
      </c>
      <c r="AA35" s="1738">
        <f t="shared" si="29"/>
        <v>11242198.049999997</v>
      </c>
      <c r="AB35" s="1741">
        <f>('[5]Table 2A-2 EFT (Monthly)'!Z34+'[5]Table 2A-2 EFT (Monthly)Aug'!Z34+'[5]Table 2A-2 EFT (Monthly) sep'!Z34+'[5]Table 2A-2 EFT (Monthly)oct'!Z34+'[5]Table 2A-2 EFT (Monthly)oct'!Z34+'[5]Table 2A-2 EFT (Monthly)dec'!Z34+'[5]Table 2A-2 EFT (Monthly)jan'!Z34+'[5]Table 2A-2 EFT (Monthly)feb'!Z34+'[5]Table 2A-2 EFT (Monthly) mar'!Z34+'[5]Table 2A-2 EFT (Monthly)apr'!Z34)*-1</f>
        <v>4698</v>
      </c>
      <c r="AC35" s="1741">
        <f>('[5]Table 2A-2 EFT (Monthly)'!AA34+'[5]Table 2A-2 EFT (Monthly)Aug'!AA34+'[5]Table 2A-2 EFT (Monthly) sep'!AA34+'[5]Table 2A-2 EFT (Monthly)oct'!AA34+'[5]Table 2A-2 EFT (Monthly)oct'!AA34+'[5]Table 2A-2 EFT (Monthly)dec'!AA34+'[5]Table 2A-2 EFT (Monthly)jan'!AA34+'[5]Table 2A-2 EFT (Monthly)feb'!AA34+'[5]Table 2A-2 EFT (Monthly) mar'!AA34+'[5]Table 2A-2 EFT (Monthly)apr'!AA34)*-1</f>
        <v>940</v>
      </c>
      <c r="AD35" s="1741">
        <f>('[5]Table 2A-2 EFT (Monthly)'!AB34+'[5]Table 2A-2 EFT (Monthly)Aug'!AB34+'[5]Table 2A-2 EFT (Monthly) sep'!AB34+'[5]Table 2A-2 EFT (Monthly)oct'!AB34+'[5]Table 2A-2 EFT (Monthly)oct'!AB34+'[5]Table 2A-2 EFT (Monthly)dec'!AB34+'[5]Table 2A-2 EFT (Monthly)jan'!AB34+'[5]Table 2A-2 EFT (Monthly)feb'!AB34+'[5]Table 2A-2 EFT (Monthly) mar'!AB34+'[5]Table 2A-2 EFT (Monthly)apr'!AB34)*-1</f>
        <v>898</v>
      </c>
      <c r="AE35" s="1741">
        <f>('[5]Table 2A-2 EFT (Monthly)'!AC34+'[5]Table 2A-2 EFT (Monthly)Aug'!AC34+'[5]Table 2A-2 EFT (Monthly) sep'!AC34+'[5]Table 2A-2 EFT (Monthly)oct'!AC34+'[5]Table 2A-2 EFT (Monthly)oct'!AC34+'[5]Table 2A-2 EFT (Monthly)dec'!AC34+'[5]Table 2A-2 EFT (Monthly)jan'!AC34+'[5]Table 2A-2 EFT (Monthly)feb'!AC34+'[5]Table 2A-2 EFT (Monthly) mar'!AC34+'[5]Table 2A-2 EFT (Monthly)apr'!AC34)*-1</f>
        <v>12584</v>
      </c>
      <c r="AF35" s="1741">
        <f>('[5]Table 2A-2 EFT (Monthly)'!Q34+'[5]Table 2A-2 EFT (Monthly)Aug'!Q34+'[5]Table 2A-2 EFT (Monthly) sep'!Q34+'[5]Table 2A-2 EFT (Monthly)oct'!Q34+'[5]Table 2A-2 EFT (Monthly)oct'!Q34+'[5]Table 2A-2 EFT (Monthly)dec'!Q34+'[5]Table 2A-2 EFT (Monthly)jan'!Q34+'[5]Table 2A-2 EFT (Monthly)feb'!Q34+'[5]Table 2A-2 EFT (Monthly) mar'!Q34+'[5]Table 2A-2 EFT (Monthly)apr'!Q34+'[5]Table 2A-2 EFT (Monthly)'!AT34+'[5]Table 2A-2 EFT (Monthly) mar'!AT34)*-1</f>
        <v>0</v>
      </c>
      <c r="AG35" s="1741">
        <f>('[5]Table 2A-2 EFT (Monthly)'!R34+'[5]Table 2A-2 EFT (Monthly)Aug'!R34+'[5]Table 2A-2 EFT (Monthly) sep'!R34+'[5]Table 2A-2 EFT (Monthly)oct'!R34+'[5]Table 2A-2 EFT (Monthly)oct'!R34+'[5]Table 2A-2 EFT (Monthly)dec'!R34+'[5]Table 2A-2 EFT (Monthly)jan'!R34+'[5]Table 2A-2 EFT (Monthly)feb'!R34+'[5]Table 2A-2 EFT (Monthly) mar'!R34+'[5]Table 2A-2 EFT (Monthly)apr'!R34+'[5]Table 2A-2 EFT (Monthly)'!AU34+'[5]Table 2A-2 EFT (Monthly) mar'!AU34)*-1</f>
        <v>0</v>
      </c>
      <c r="AH35" s="1741">
        <f>('[5]Table 2A-2 EFT (Monthly)'!S34+'[5]Table 2A-2 EFT (Monthly)Aug'!S34+'[5]Table 2A-2 EFT (Monthly) sep'!S34+'[5]Table 2A-2 EFT (Monthly)oct'!S34+'[5]Table 2A-2 EFT (Monthly)oct'!S34+'[5]Table 2A-2 EFT (Monthly)dec'!S34+'[5]Table 2A-2 EFT (Monthly)jan'!S34+'[5]Table 2A-2 EFT (Monthly)feb'!S34+'[5]Table 2A-2 EFT (Monthly) mar'!S34+'[5]Table 2A-2 EFT (Monthly)apr'!S34+'[5]Table 2A-2 EFT (Monthly)'!AV34+'[5]Table 2A-2 EFT (Monthly) mar'!AV34)*-1</f>
        <v>0</v>
      </c>
      <c r="AI35" s="1741">
        <f>('[5]Table 2A-2 EFT (Monthly)'!T34+'[5]Table 2A-2 EFT (Monthly)Aug'!T34+'[5]Table 2A-2 EFT (Monthly) sep'!T34+'[5]Table 2A-2 EFT (Monthly)oct'!T34+'[5]Table 2A-2 EFT (Monthly)oct'!T34+'[5]Table 2A-2 EFT (Monthly)dec'!T34+'[5]Table 2A-2 EFT (Monthly)jan'!T34+'[5]Table 2A-2 EFT (Monthly)feb'!T34+'[5]Table 2A-2 EFT (Monthly) mar'!T34+'[5]Table 2A-2 EFT (Monthly)apr'!T34+'[5]Table 2A-2 EFT (Monthly)'!AW34+'[5]Table 2A-2 EFT (Monthly) mar'!AW34)*-1</f>
        <v>0</v>
      </c>
      <c r="AJ35" s="1741">
        <f>('[5]Table 2A-2 EFT (Monthly)'!U34+'[5]Table 2A-2 EFT (Monthly)Aug'!U34+'[5]Table 2A-2 EFT (Monthly) sep'!U34+'[5]Table 2A-2 EFT (Monthly)oct'!U34+'[5]Table 2A-2 EFT (Monthly)oct'!U34+'[5]Table 2A-2 EFT (Monthly)dec'!U34+'[5]Table 2A-2 EFT (Monthly)jan'!U34+'[5]Table 2A-2 EFT (Monthly)feb'!U34+'[5]Table 2A-2 EFT (Monthly) mar'!U34+'[5]Table 2A-2 EFT (Monthly)apr'!U34+'[5]Table 2A-2 EFT (Monthly)'!AX34+'[5]Table 2A-2 EFT (Monthly) mar'!AX34)*-1</f>
        <v>0</v>
      </c>
      <c r="AK35" s="1741">
        <f>('[5]Table 2A-2 EFT (Monthly)'!V34+'[5]Table 2A-2 EFT (Monthly)Aug'!V34+'[5]Table 2A-2 EFT (Monthly) sep'!V34+'[5]Table 2A-2 EFT (Monthly)oct'!V34+'[5]Table 2A-2 EFT (Monthly)oct'!V34+'[5]Table 2A-2 EFT (Monthly)dec'!V34+'[5]Table 2A-2 EFT (Monthly)jan'!V34+'[5]Table 2A-2 EFT (Monthly)feb'!V34+'[5]Table 2A-2 EFT (Monthly) mar'!V34+'[5]Table 2A-2 EFT (Monthly)apr'!V34+'[5]Table 2A-2 EFT (Monthly)'!AY34+'[5]Table 2A-2 EFT (Monthly) mar'!AY34)*-1</f>
        <v>0</v>
      </c>
      <c r="AL35" s="1741">
        <f>('[5]Table 2A-2 EFT (Monthly)'!W34+'[5]Table 2A-2 EFT (Monthly)Aug'!W34+'[5]Table 2A-2 EFT (Monthly) sep'!W34+'[5]Table 2A-2 EFT (Monthly)oct'!W34+'[5]Table 2A-2 EFT (Monthly)oct'!W34+'[5]Table 2A-2 EFT (Monthly)dec'!W34+'[5]Table 2A-2 EFT (Monthly)jan'!W34+'[5]Table 2A-2 EFT (Monthly)feb'!W34+'[5]Table 2A-2 EFT (Monthly) mar'!W34+'[5]Table 2A-2 EFT (Monthly)apr'!W34+'[5]Table 2A-2 EFT (Monthly)'!AZ34+'[5]Table 2A-2 EFT (Monthly) mar'!AZ34)*-1</f>
        <v>202171.77499999999</v>
      </c>
      <c r="AM35" s="1741">
        <f>('[5]Table 2A-2 EFT (Monthly)'!X34+'[5]Table 2A-2 EFT (Monthly)Aug'!X34+'[5]Table 2A-2 EFT (Monthly) sep'!X34+'[5]Table 2A-2 EFT (Monthly)oct'!X34+'[5]Table 2A-2 EFT (Monthly)oct'!X34+'[5]Table 2A-2 EFT (Monthly)dec'!X34+'[5]Table 2A-2 EFT (Monthly)jan'!X34+'[5]Table 2A-2 EFT (Monthly)feb'!X34+'[5]Table 2A-2 EFT (Monthly) mar'!X34+'[5]Table 2A-2 EFT (Monthly)apr'!X34+'[5]Table 2A-2 EFT (Monthly)'!BA34+'[5]Table 2A-2 EFT (Monthly) mar'!BA34)*-1</f>
        <v>0</v>
      </c>
      <c r="AN35" s="1741">
        <f>('[5]Table 2A-2 EFT (Monthly) sep'!AD34+'[5]Table 2A-2 EFT (Monthly)dec'!AD34+'[5]Table 2A-2 EFT (Monthly)feb'!AD34)*-1</f>
        <v>62468.472459516648</v>
      </c>
      <c r="AO35" s="1741">
        <f t="shared" si="30"/>
        <v>283760.24745951663</v>
      </c>
      <c r="AP35" s="563">
        <f t="shared" si="31"/>
        <v>11525958.297459513</v>
      </c>
      <c r="AQ35" s="309">
        <f t="shared" si="32"/>
        <v>5762979</v>
      </c>
      <c r="AR35" s="309">
        <f>'Table 4A Stipends'!G32</f>
        <v>24000</v>
      </c>
      <c r="AS35" s="354">
        <f t="shared" si="20"/>
        <v>64720199</v>
      </c>
      <c r="AU35" s="1339">
        <f>('Table 8 2.1.12 MFP Funded'!G32*'Table 3 Levels 1&amp;2'!AP36)+'Table 2_State with Midyear Adjs'!F35</f>
        <v>63618062.730568171</v>
      </c>
      <c r="AV35" s="959">
        <f t="shared" si="21"/>
        <v>1078136.2694318295</v>
      </c>
      <c r="AW35" s="280">
        <f t="shared" si="33"/>
        <v>1.6947015095349488E-2</v>
      </c>
    </row>
    <row r="36" spans="1:70">
      <c r="A36" s="102">
        <v>30</v>
      </c>
      <c r="B36" s="300" t="s">
        <v>131</v>
      </c>
      <c r="C36" s="318">
        <f>'Table 3 Levels 1&amp;2'!AO37</f>
        <v>15429832.099084001</v>
      </c>
      <c r="D36" s="355">
        <f>'[2]Adjusted Amounts'!$C36</f>
        <v>6453.3732389773941</v>
      </c>
      <c r="E36" s="355">
        <f>'[2]Adjusted Amounts'!$H36</f>
        <v>0</v>
      </c>
      <c r="F36" s="355">
        <f t="shared" si="22"/>
        <v>6453.3732389773941</v>
      </c>
      <c r="G36" s="318">
        <f t="shared" si="19"/>
        <v>6453.3732389773941</v>
      </c>
      <c r="H36" s="355">
        <f t="shared" si="23"/>
        <v>0</v>
      </c>
      <c r="I36" s="355">
        <f>'[1]Midyear Adjustment Summary'!C34+'[1]Oct midyear Madison Prep'!K36+'[1]Oct midyear DArbonne'!K36+'[1]Oct midyear Intl_VIBE '!K36+'[1]Oct midyear NOMMA'!K36+'[1]Oct midyear LFNO'!K36+'[1]Oct midyear Lake Charles Chtr'!K36+'[1]Oct midyear LA Virtual Admy'!K33+'[1]Oct midyear LA Connections'!K33</f>
        <v>417595.52506399818</v>
      </c>
      <c r="J36" s="355">
        <f>'[1]Midyear Adjustment Summary'!D34+'[1]Feb midyear Madison Prep'!K36+'[1]Feb midyear DArbonne'!K36+'[1]Feb midyear Intl_VIBE '!K36+'[1]Feb midyear NOMMA'!K36+'[1]Feb midyear LFNO '!K36+'[1]Feb midyear Lake Charles Ch'!K36+'[1]Feb midyear LA Virtual Admy'!K33+'[1]Feb midyear LA Connections'!K33</f>
        <v>-79526.917140412406</v>
      </c>
      <c r="K36" s="355">
        <f t="shared" si="24"/>
        <v>338068.60792358581</v>
      </c>
      <c r="L36" s="355"/>
      <c r="M36" s="355">
        <f>-'Table 5C1A-Madison Prep'!L36</f>
        <v>0</v>
      </c>
      <c r="N36" s="355">
        <f>-'Table 5C1B-DArbonne'!L36</f>
        <v>0</v>
      </c>
      <c r="O36" s="355">
        <f>-'Table 5C1C-Intl_VIBE'!L36</f>
        <v>0</v>
      </c>
      <c r="P36" s="355">
        <f>-'Table 5C1D-NOMMA'!L36</f>
        <v>0</v>
      </c>
      <c r="Q36" s="355">
        <f>-'Table 5C1E-LFNO'!L36</f>
        <v>0</v>
      </c>
      <c r="R36" s="355">
        <f>-'Table 5C1F-Lake Charles Charter'!L36</f>
        <v>0</v>
      </c>
      <c r="S36" s="321">
        <f>-'Table 5C2 - LA Virtual Admy'!M34-'Table 5C2 - LA Virtual Admy'!I34</f>
        <v>-23373.465742591707</v>
      </c>
      <c r="T36" s="321">
        <f>-'Table 5C3 - LA Connections EBR'!M34-'Table 5C3 - LA Connections EBR'!I34</f>
        <v>-10237.579141966569</v>
      </c>
      <c r="U36" s="321">
        <f t="shared" si="25"/>
        <v>-33611.044884558272</v>
      </c>
      <c r="V36" s="564">
        <f t="shared" si="26"/>
        <v>15740743</v>
      </c>
      <c r="W36" s="564">
        <f>[3]MFP!DT37</f>
        <v>12976953</v>
      </c>
      <c r="X36" s="564">
        <f t="shared" si="27"/>
        <v>0</v>
      </c>
      <c r="Y36" s="564">
        <f>'[4]Table 4B Rewards'!G33</f>
        <v>33815.4</v>
      </c>
      <c r="Z36" s="564">
        <f t="shared" si="28"/>
        <v>13010768.4</v>
      </c>
      <c r="AA36" s="564">
        <f t="shared" si="29"/>
        <v>2729974.5999999996</v>
      </c>
      <c r="AB36" s="1742">
        <f>('[5]Table 2A-2 EFT (Monthly)'!Z35+'[5]Table 2A-2 EFT (Monthly)Aug'!Z35+'[5]Table 2A-2 EFT (Monthly) sep'!Z35+'[5]Table 2A-2 EFT (Monthly)oct'!Z35+'[5]Table 2A-2 EFT (Monthly)oct'!Z35+'[5]Table 2A-2 EFT (Monthly)dec'!Z35+'[5]Table 2A-2 EFT (Monthly)jan'!Z35+'[5]Table 2A-2 EFT (Monthly)feb'!Z35+'[5]Table 2A-2 EFT (Monthly) mar'!Z35+'[5]Table 2A-2 EFT (Monthly)apr'!Z35)*-1</f>
        <v>888</v>
      </c>
      <c r="AC36" s="1742">
        <f>('[5]Table 2A-2 EFT (Monthly)'!AA35+'[5]Table 2A-2 EFT (Monthly)Aug'!AA35+'[5]Table 2A-2 EFT (Monthly) sep'!AA35+'[5]Table 2A-2 EFT (Monthly)oct'!AA35+'[5]Table 2A-2 EFT (Monthly)oct'!AA35+'[5]Table 2A-2 EFT (Monthly)dec'!AA35+'[5]Table 2A-2 EFT (Monthly)jan'!AA35+'[5]Table 2A-2 EFT (Monthly)feb'!AA35+'[5]Table 2A-2 EFT (Monthly) mar'!AA35+'[5]Table 2A-2 EFT (Monthly)apr'!AA35)*-1</f>
        <v>0</v>
      </c>
      <c r="AD36" s="1742">
        <f>('[5]Table 2A-2 EFT (Monthly)'!AB35+'[5]Table 2A-2 EFT (Monthly)Aug'!AB35+'[5]Table 2A-2 EFT (Monthly) sep'!AB35+'[5]Table 2A-2 EFT (Monthly)oct'!AB35+'[5]Table 2A-2 EFT (Monthly)oct'!AB35+'[5]Table 2A-2 EFT (Monthly)dec'!AB35+'[5]Table 2A-2 EFT (Monthly)jan'!AB35+'[5]Table 2A-2 EFT (Monthly)feb'!AB35+'[5]Table 2A-2 EFT (Monthly) mar'!AB35+'[5]Table 2A-2 EFT (Monthly)apr'!AB35)*-1</f>
        <v>0</v>
      </c>
      <c r="AE36" s="1742">
        <f>('[5]Table 2A-2 EFT (Monthly)'!AC35+'[5]Table 2A-2 EFT (Monthly)Aug'!AC35+'[5]Table 2A-2 EFT (Monthly) sep'!AC35+'[5]Table 2A-2 EFT (Monthly)oct'!AC35+'[5]Table 2A-2 EFT (Monthly)oct'!AC35+'[5]Table 2A-2 EFT (Monthly)dec'!AC35+'[5]Table 2A-2 EFT (Monthly)jan'!AC35+'[5]Table 2A-2 EFT (Monthly)feb'!AC35+'[5]Table 2A-2 EFT (Monthly) mar'!AC35+'[5]Table 2A-2 EFT (Monthly)apr'!AC35)*-1</f>
        <v>1748</v>
      </c>
      <c r="AF36" s="1742">
        <f>('[5]Table 2A-2 EFT (Monthly)'!Q35+'[5]Table 2A-2 EFT (Monthly)Aug'!Q35+'[5]Table 2A-2 EFT (Monthly) sep'!Q35+'[5]Table 2A-2 EFT (Monthly)oct'!Q35+'[5]Table 2A-2 EFT (Monthly)oct'!Q35+'[5]Table 2A-2 EFT (Monthly)dec'!Q35+'[5]Table 2A-2 EFT (Monthly)jan'!Q35+'[5]Table 2A-2 EFT (Monthly)feb'!Q35+'[5]Table 2A-2 EFT (Monthly) mar'!Q35+'[5]Table 2A-2 EFT (Monthly)apr'!Q35+'[5]Table 2A-2 EFT (Monthly)'!AT35+'[5]Table 2A-2 EFT (Monthly) mar'!AT35)*-1</f>
        <v>0</v>
      </c>
      <c r="AG36" s="1742">
        <f>('[5]Table 2A-2 EFT (Monthly)'!R35+'[5]Table 2A-2 EFT (Monthly)Aug'!R35+'[5]Table 2A-2 EFT (Monthly) sep'!R35+'[5]Table 2A-2 EFT (Monthly)oct'!R35+'[5]Table 2A-2 EFT (Monthly)oct'!R35+'[5]Table 2A-2 EFT (Monthly)dec'!R35+'[5]Table 2A-2 EFT (Monthly)jan'!R35+'[5]Table 2A-2 EFT (Monthly)feb'!R35+'[5]Table 2A-2 EFT (Monthly) mar'!R35+'[5]Table 2A-2 EFT (Monthly)apr'!R35+'[5]Table 2A-2 EFT (Monthly)'!AU35+'[5]Table 2A-2 EFT (Monthly) mar'!AU35)*-1</f>
        <v>0</v>
      </c>
      <c r="AH36" s="1742">
        <f>('[5]Table 2A-2 EFT (Monthly)'!S35+'[5]Table 2A-2 EFT (Monthly)Aug'!S35+'[5]Table 2A-2 EFT (Monthly) sep'!S35+'[5]Table 2A-2 EFT (Monthly)oct'!S35+'[5]Table 2A-2 EFT (Monthly)oct'!S35+'[5]Table 2A-2 EFT (Monthly)dec'!S35+'[5]Table 2A-2 EFT (Monthly)jan'!S35+'[5]Table 2A-2 EFT (Monthly)feb'!S35+'[5]Table 2A-2 EFT (Monthly) mar'!S35+'[5]Table 2A-2 EFT (Monthly)apr'!S35+'[5]Table 2A-2 EFT (Monthly)'!AV35+'[5]Table 2A-2 EFT (Monthly) mar'!AV35)*-1</f>
        <v>0</v>
      </c>
      <c r="AI36" s="1742">
        <f>('[5]Table 2A-2 EFT (Monthly)'!T35+'[5]Table 2A-2 EFT (Monthly)Aug'!T35+'[5]Table 2A-2 EFT (Monthly) sep'!T35+'[5]Table 2A-2 EFT (Monthly)oct'!T35+'[5]Table 2A-2 EFT (Monthly)oct'!T35+'[5]Table 2A-2 EFT (Monthly)dec'!T35+'[5]Table 2A-2 EFT (Monthly)jan'!T35+'[5]Table 2A-2 EFT (Monthly)feb'!T35+'[5]Table 2A-2 EFT (Monthly) mar'!T35+'[5]Table 2A-2 EFT (Monthly)apr'!T35+'[5]Table 2A-2 EFT (Monthly)'!AW35+'[5]Table 2A-2 EFT (Monthly) mar'!AW35)*-1</f>
        <v>0</v>
      </c>
      <c r="AJ36" s="1742">
        <f>('[5]Table 2A-2 EFT (Monthly)'!U35+'[5]Table 2A-2 EFT (Monthly)Aug'!U35+'[5]Table 2A-2 EFT (Monthly) sep'!U35+'[5]Table 2A-2 EFT (Monthly)oct'!U35+'[5]Table 2A-2 EFT (Monthly)oct'!U35+'[5]Table 2A-2 EFT (Monthly)dec'!U35+'[5]Table 2A-2 EFT (Monthly)jan'!U35+'[5]Table 2A-2 EFT (Monthly)feb'!U35+'[5]Table 2A-2 EFT (Monthly) mar'!U35+'[5]Table 2A-2 EFT (Monthly)apr'!U35+'[5]Table 2A-2 EFT (Monthly)'!AX35+'[5]Table 2A-2 EFT (Monthly) mar'!AX35)*-1</f>
        <v>0</v>
      </c>
      <c r="AK36" s="1742">
        <f>('[5]Table 2A-2 EFT (Monthly)'!V35+'[5]Table 2A-2 EFT (Monthly)Aug'!V35+'[5]Table 2A-2 EFT (Monthly) sep'!V35+'[5]Table 2A-2 EFT (Monthly)oct'!V35+'[5]Table 2A-2 EFT (Monthly)oct'!V35+'[5]Table 2A-2 EFT (Monthly)dec'!V35+'[5]Table 2A-2 EFT (Monthly)jan'!V35+'[5]Table 2A-2 EFT (Monthly)feb'!V35+'[5]Table 2A-2 EFT (Monthly) mar'!V35+'[5]Table 2A-2 EFT (Monthly)apr'!V35+'[5]Table 2A-2 EFT (Monthly)'!AY35+'[5]Table 2A-2 EFT (Monthly) mar'!AY35)*-1</f>
        <v>0</v>
      </c>
      <c r="AL36" s="1742">
        <f>('[5]Table 2A-2 EFT (Monthly)'!W35+'[5]Table 2A-2 EFT (Monthly)Aug'!W35+'[5]Table 2A-2 EFT (Monthly) sep'!W35+'[5]Table 2A-2 EFT (Monthly)oct'!W35+'[5]Table 2A-2 EFT (Monthly)oct'!W35+'[5]Table 2A-2 EFT (Monthly)dec'!W35+'[5]Table 2A-2 EFT (Monthly)jan'!W35+'[5]Table 2A-2 EFT (Monthly)feb'!W35+'[5]Table 2A-2 EFT (Monthly) mar'!W35+'[5]Table 2A-2 EFT (Monthly)apr'!W35+'[5]Table 2A-2 EFT (Monthly)'!AZ35+'[5]Table 2A-2 EFT (Monthly) mar'!AZ35)*-1</f>
        <v>0</v>
      </c>
      <c r="AM36" s="1742">
        <f>('[5]Table 2A-2 EFT (Monthly)'!X35+'[5]Table 2A-2 EFT (Monthly)Aug'!X35+'[5]Table 2A-2 EFT (Monthly) sep'!X35+'[5]Table 2A-2 EFT (Monthly)oct'!X35+'[5]Table 2A-2 EFT (Monthly)oct'!X35+'[5]Table 2A-2 EFT (Monthly)dec'!X35+'[5]Table 2A-2 EFT (Monthly)jan'!X35+'[5]Table 2A-2 EFT (Monthly)feb'!X35+'[5]Table 2A-2 EFT (Monthly) mar'!X35+'[5]Table 2A-2 EFT (Monthly)apr'!X35+'[5]Table 2A-2 EFT (Monthly)'!BA35+'[5]Table 2A-2 EFT (Monthly) mar'!BA35)*-1</f>
        <v>0</v>
      </c>
      <c r="AN36" s="1742">
        <f>('[5]Table 2A-2 EFT (Monthly) sep'!AD35+'[5]Table 2A-2 EFT (Monthly)dec'!AD35+'[5]Table 2A-2 EFT (Monthly)feb'!AD35)*-1</f>
        <v>0</v>
      </c>
      <c r="AO36" s="1742">
        <f t="shared" si="30"/>
        <v>2636</v>
      </c>
      <c r="AP36" s="564">
        <f t="shared" si="31"/>
        <v>2732610.5999999996</v>
      </c>
      <c r="AQ36" s="318">
        <f t="shared" si="32"/>
        <v>1366305</v>
      </c>
      <c r="AR36" s="318">
        <f>'Table 4A Stipends'!G33</f>
        <v>0</v>
      </c>
      <c r="AS36" s="355">
        <f t="shared" si="20"/>
        <v>15740743</v>
      </c>
      <c r="AU36" s="1339">
        <f>('Table 8 2.1.12 MFP Funded'!G33*'Table 3 Levels 1&amp;2'!AP37)+'Table 2_State with Midyear Adjs'!F36</f>
        <v>15410938.725548301</v>
      </c>
      <c r="AV36" s="959">
        <f t="shared" si="21"/>
        <v>329804.27445169911</v>
      </c>
      <c r="AW36" s="280">
        <f t="shared" si="33"/>
        <v>2.1400660941240952E-2</v>
      </c>
    </row>
    <row r="37" spans="1:70">
      <c r="A37" s="101">
        <v>31</v>
      </c>
      <c r="B37" s="299" t="s">
        <v>132</v>
      </c>
      <c r="C37" s="309">
        <f>'Table 3 Levels 1&amp;2'!AO38</f>
        <v>30955841.416584797</v>
      </c>
      <c r="D37" s="354">
        <f>'[2]Adjusted Amounts'!$C37</f>
        <v>-25971.035041800467</v>
      </c>
      <c r="E37" s="354">
        <f>'[2]Adjusted Amounts'!$H37</f>
        <v>1460.1343943697721</v>
      </c>
      <c r="F37" s="354">
        <f t="shared" si="22"/>
        <v>-24510.900647430695</v>
      </c>
      <c r="G37" s="309">
        <f t="shared" si="19"/>
        <v>0</v>
      </c>
      <c r="H37" s="354">
        <f t="shared" si="23"/>
        <v>-24510.900647430695</v>
      </c>
      <c r="I37" s="354">
        <f>'[1]Midyear Adjustment Summary'!C35+'[1]Oct midyear Madison Prep'!K37+'[1]Oct midyear DArbonne'!K37+'[1]Oct midyear Intl_VIBE '!K37+'[1]Oct midyear NOMMA'!K37+'[1]Oct midyear LFNO'!K37+'[1]Oct midyear Lake Charles Chtr'!K37+'[1]Oct midyear LA Virtual Admy'!K34+'[1]Oct midyear LA Connections'!K34</f>
        <v>-84870.150198396965</v>
      </c>
      <c r="J37" s="354">
        <f>'[1]Midyear Adjustment Summary'!D35+'[1]Feb midyear Madison Prep'!K37+'[1]Feb midyear DArbonne'!K37+'[1]Feb midyear Intl_VIBE '!K37+'[1]Feb midyear NOMMA'!K37+'[1]Feb midyear LFNO '!K37+'[1]Feb midyear Lake Charles Ch'!K37+'[1]Feb midyear LA Virtual Admy'!K34+'[1]Feb midyear LA Connections'!K34</f>
        <v>-80554.718832376777</v>
      </c>
      <c r="K37" s="354">
        <f t="shared" si="24"/>
        <v>-165424.86903077376</v>
      </c>
      <c r="L37" s="354"/>
      <c r="M37" s="49">
        <f>-'Table 5C1A-Madison Prep'!L37</f>
        <v>0</v>
      </c>
      <c r="N37" s="354">
        <f>-'Table 5C1B-DArbonne'!L37</f>
        <v>-35961.928050168215</v>
      </c>
      <c r="O37" s="354">
        <f>-'Table 5C1C-Intl_VIBE'!L37</f>
        <v>0</v>
      </c>
      <c r="P37" s="354">
        <f>-'Table 5C1D-NOMMA'!L37</f>
        <v>0</v>
      </c>
      <c r="Q37" s="354">
        <f>-'Table 5C1E-LFNO'!L37</f>
        <v>0</v>
      </c>
      <c r="R37" s="354">
        <f>-'Table 5C1F-Lake Charles Charter'!L37</f>
        <v>0</v>
      </c>
      <c r="S37" s="314">
        <f>-'Table 5C2 - LA Virtual Admy'!M35-'Table 5C2 - LA Virtual Admy'!I35</f>
        <v>-15938.828529075136</v>
      </c>
      <c r="T37" s="314">
        <f>-'Table 5C3 - LA Connections EBR'!M35-'Table 5C3 - LA Connections EBR'!I35</f>
        <v>-19836.850521093082</v>
      </c>
      <c r="U37" s="1692">
        <f t="shared" si="25"/>
        <v>-71737.607100336434</v>
      </c>
      <c r="V37" s="563">
        <f t="shared" si="26"/>
        <v>30694168</v>
      </c>
      <c r="W37" s="563">
        <f>[3]MFP!DT38</f>
        <v>25460249</v>
      </c>
      <c r="X37" s="563">
        <f t="shared" si="27"/>
        <v>0</v>
      </c>
      <c r="Y37" s="563">
        <f>'[4]Table 4B Rewards'!G34</f>
        <v>42269.25</v>
      </c>
      <c r="Z37" s="563">
        <f t="shared" si="28"/>
        <v>25502518.25</v>
      </c>
      <c r="AA37" s="1738">
        <f t="shared" si="29"/>
        <v>5191649.75</v>
      </c>
      <c r="AB37" s="1741">
        <f>('[5]Table 2A-2 EFT (Monthly)'!Z36+'[5]Table 2A-2 EFT (Monthly)Aug'!Z36+'[5]Table 2A-2 EFT (Monthly) sep'!Z36+'[5]Table 2A-2 EFT (Monthly)oct'!Z36+'[5]Table 2A-2 EFT (Monthly)oct'!Z36+'[5]Table 2A-2 EFT (Monthly)dec'!Z36+'[5]Table 2A-2 EFT (Monthly)jan'!Z36+'[5]Table 2A-2 EFT (Monthly)feb'!Z36+'[5]Table 2A-2 EFT (Monthly) mar'!Z36+'[5]Table 2A-2 EFT (Monthly)apr'!Z36)*-1</f>
        <v>924</v>
      </c>
      <c r="AC37" s="1741">
        <f>('[5]Table 2A-2 EFT (Monthly)'!AA36+'[5]Table 2A-2 EFT (Monthly)Aug'!AA36+'[5]Table 2A-2 EFT (Monthly) sep'!AA36+'[5]Table 2A-2 EFT (Monthly)oct'!AA36+'[5]Table 2A-2 EFT (Monthly)oct'!AA36+'[5]Table 2A-2 EFT (Monthly)dec'!AA36+'[5]Table 2A-2 EFT (Monthly)jan'!AA36+'[5]Table 2A-2 EFT (Monthly)feb'!AA36+'[5]Table 2A-2 EFT (Monthly) mar'!AA36+'[5]Table 2A-2 EFT (Monthly)apr'!AA36)*-1</f>
        <v>0</v>
      </c>
      <c r="AD37" s="1741">
        <f>('[5]Table 2A-2 EFT (Monthly)'!AB36+'[5]Table 2A-2 EFT (Monthly)Aug'!AB36+'[5]Table 2A-2 EFT (Monthly) sep'!AB36+'[5]Table 2A-2 EFT (Monthly)oct'!AB36+'[5]Table 2A-2 EFT (Monthly)oct'!AB36+'[5]Table 2A-2 EFT (Monthly)dec'!AB36+'[5]Table 2A-2 EFT (Monthly)jan'!AB36+'[5]Table 2A-2 EFT (Monthly)feb'!AB36+'[5]Table 2A-2 EFT (Monthly) mar'!AB36+'[5]Table 2A-2 EFT (Monthly)apr'!AB36)*-1</f>
        <v>9382</v>
      </c>
      <c r="AE37" s="1741">
        <f>('[5]Table 2A-2 EFT (Monthly)'!AC36+'[5]Table 2A-2 EFT (Monthly)Aug'!AC36+'[5]Table 2A-2 EFT (Monthly) sep'!AC36+'[5]Table 2A-2 EFT (Monthly)oct'!AC36+'[5]Table 2A-2 EFT (Monthly)oct'!AC36+'[5]Table 2A-2 EFT (Monthly)dec'!AC36+'[5]Table 2A-2 EFT (Monthly)jan'!AC36+'[5]Table 2A-2 EFT (Monthly)feb'!AC36+'[5]Table 2A-2 EFT (Monthly) mar'!AC36+'[5]Table 2A-2 EFT (Monthly)apr'!AC36)*-1</f>
        <v>13762</v>
      </c>
      <c r="AF37" s="1741">
        <f>('[5]Table 2A-2 EFT (Monthly)'!Q36+'[5]Table 2A-2 EFT (Monthly)Aug'!Q36+'[5]Table 2A-2 EFT (Monthly) sep'!Q36+'[5]Table 2A-2 EFT (Monthly)oct'!Q36+'[5]Table 2A-2 EFT (Monthly)oct'!Q36+'[5]Table 2A-2 EFT (Monthly)dec'!Q36+'[5]Table 2A-2 EFT (Monthly)jan'!Q36+'[5]Table 2A-2 EFT (Monthly)feb'!Q36+'[5]Table 2A-2 EFT (Monthly) mar'!Q36+'[5]Table 2A-2 EFT (Monthly)apr'!Q36+'[5]Table 2A-2 EFT (Monthly)'!AT36+'[5]Table 2A-2 EFT (Monthly) mar'!AT36)*-1</f>
        <v>0</v>
      </c>
      <c r="AG37" s="1741">
        <f>('[5]Table 2A-2 EFT (Monthly)'!R36+'[5]Table 2A-2 EFT (Monthly)Aug'!R36+'[5]Table 2A-2 EFT (Monthly) sep'!R36+'[5]Table 2A-2 EFT (Monthly)oct'!R36+'[5]Table 2A-2 EFT (Monthly)oct'!R36+'[5]Table 2A-2 EFT (Monthly)dec'!R36+'[5]Table 2A-2 EFT (Monthly)jan'!R36+'[5]Table 2A-2 EFT (Monthly)feb'!R36+'[5]Table 2A-2 EFT (Monthly) mar'!R36+'[5]Table 2A-2 EFT (Monthly)apr'!R36+'[5]Table 2A-2 EFT (Monthly)'!AU36+'[5]Table 2A-2 EFT (Monthly) mar'!AU36)*-1</f>
        <v>0</v>
      </c>
      <c r="AH37" s="1741">
        <f>('[5]Table 2A-2 EFT (Monthly)'!S36+'[5]Table 2A-2 EFT (Monthly)Aug'!S36+'[5]Table 2A-2 EFT (Monthly) sep'!S36+'[5]Table 2A-2 EFT (Monthly)oct'!S36+'[5]Table 2A-2 EFT (Monthly)oct'!S36+'[5]Table 2A-2 EFT (Monthly)dec'!S36+'[5]Table 2A-2 EFT (Monthly)jan'!S36+'[5]Table 2A-2 EFT (Monthly)feb'!S36+'[5]Table 2A-2 EFT (Monthly) mar'!S36+'[5]Table 2A-2 EFT (Monthly)apr'!S36+'[5]Table 2A-2 EFT (Monthly)'!AV36+'[5]Table 2A-2 EFT (Monthly) mar'!AV36)*-1</f>
        <v>0</v>
      </c>
      <c r="AI37" s="1741">
        <f>('[5]Table 2A-2 EFT (Monthly)'!T36+'[5]Table 2A-2 EFT (Monthly)Aug'!T36+'[5]Table 2A-2 EFT (Monthly) sep'!T36+'[5]Table 2A-2 EFT (Monthly)oct'!T36+'[5]Table 2A-2 EFT (Monthly)oct'!T36+'[5]Table 2A-2 EFT (Monthly)dec'!T36+'[5]Table 2A-2 EFT (Monthly)jan'!T36+'[5]Table 2A-2 EFT (Monthly)feb'!T36+'[5]Table 2A-2 EFT (Monthly) mar'!T36+'[5]Table 2A-2 EFT (Monthly)apr'!T36+'[5]Table 2A-2 EFT (Monthly)'!AW36+'[5]Table 2A-2 EFT (Monthly) mar'!AW36)*-1</f>
        <v>0</v>
      </c>
      <c r="AJ37" s="1741">
        <f>('[5]Table 2A-2 EFT (Monthly)'!U36+'[5]Table 2A-2 EFT (Monthly)Aug'!U36+'[5]Table 2A-2 EFT (Monthly) sep'!U36+'[5]Table 2A-2 EFT (Monthly)oct'!U36+'[5]Table 2A-2 EFT (Monthly)oct'!U36+'[5]Table 2A-2 EFT (Monthly)dec'!U36+'[5]Table 2A-2 EFT (Monthly)jan'!U36+'[5]Table 2A-2 EFT (Monthly)feb'!U36+'[5]Table 2A-2 EFT (Monthly) mar'!U36+'[5]Table 2A-2 EFT (Monthly)apr'!U36+'[5]Table 2A-2 EFT (Monthly)'!AX36+'[5]Table 2A-2 EFT (Monthly) mar'!AX36)*-1</f>
        <v>0</v>
      </c>
      <c r="AK37" s="1741">
        <f>('[5]Table 2A-2 EFT (Monthly)'!V36+'[5]Table 2A-2 EFT (Monthly)Aug'!V36+'[5]Table 2A-2 EFT (Monthly) sep'!V36+'[5]Table 2A-2 EFT (Monthly)oct'!V36+'[5]Table 2A-2 EFT (Monthly)oct'!V36+'[5]Table 2A-2 EFT (Monthly)dec'!V36+'[5]Table 2A-2 EFT (Monthly)jan'!V36+'[5]Table 2A-2 EFT (Monthly)feb'!V36+'[5]Table 2A-2 EFT (Monthly) mar'!V36+'[5]Table 2A-2 EFT (Monthly)apr'!V36+'[5]Table 2A-2 EFT (Monthly)'!AY36+'[5]Table 2A-2 EFT (Monthly) mar'!AY36)*-1</f>
        <v>0</v>
      </c>
      <c r="AL37" s="1741">
        <f>('[5]Table 2A-2 EFT (Monthly)'!W36+'[5]Table 2A-2 EFT (Monthly)Aug'!W36+'[5]Table 2A-2 EFT (Monthly) sep'!W36+'[5]Table 2A-2 EFT (Monthly)oct'!W36+'[5]Table 2A-2 EFT (Monthly)oct'!W36+'[5]Table 2A-2 EFT (Monthly)dec'!W36+'[5]Table 2A-2 EFT (Monthly)jan'!W36+'[5]Table 2A-2 EFT (Monthly)feb'!W36+'[5]Table 2A-2 EFT (Monthly) mar'!W36+'[5]Table 2A-2 EFT (Monthly)apr'!W36+'[5]Table 2A-2 EFT (Monthly)'!AZ36+'[5]Table 2A-2 EFT (Monthly) mar'!AZ36)*-1</f>
        <v>0</v>
      </c>
      <c r="AM37" s="1741">
        <f>('[5]Table 2A-2 EFT (Monthly)'!X36+'[5]Table 2A-2 EFT (Monthly)Aug'!X36+'[5]Table 2A-2 EFT (Monthly) sep'!X36+'[5]Table 2A-2 EFT (Monthly)oct'!X36+'[5]Table 2A-2 EFT (Monthly)oct'!X36+'[5]Table 2A-2 EFT (Monthly)dec'!X36+'[5]Table 2A-2 EFT (Monthly)jan'!X36+'[5]Table 2A-2 EFT (Monthly)feb'!X36+'[5]Table 2A-2 EFT (Monthly) mar'!X36+'[5]Table 2A-2 EFT (Monthly)apr'!X36+'[5]Table 2A-2 EFT (Monthly)'!BA36+'[5]Table 2A-2 EFT (Monthly) mar'!BA36)*-1</f>
        <v>0</v>
      </c>
      <c r="AN37" s="1741">
        <f>('[5]Table 2A-2 EFT (Monthly) sep'!AD36+'[5]Table 2A-2 EFT (Monthly)dec'!AD36+'[5]Table 2A-2 EFT (Monthly)feb'!AD36)*-1</f>
        <v>169642.80723109964</v>
      </c>
      <c r="AO37" s="1741">
        <f t="shared" si="30"/>
        <v>193710.80723109964</v>
      </c>
      <c r="AP37" s="563">
        <f t="shared" si="31"/>
        <v>5385360.5572310993</v>
      </c>
      <c r="AQ37" s="309">
        <f t="shared" si="32"/>
        <v>2692680</v>
      </c>
      <c r="AR37" s="309">
        <f>'Table 4A Stipends'!G34</f>
        <v>0</v>
      </c>
      <c r="AS37" s="354">
        <f t="shared" si="20"/>
        <v>30694168</v>
      </c>
      <c r="AU37" s="1339">
        <f>('Table 8 2.1.12 MFP Funded'!G34*'Table 3 Levels 1&amp;2'!AP38)+'Table 2_State with Midyear Adjs'!F37</f>
        <v>30907356.041482143</v>
      </c>
      <c r="AV37" s="959">
        <f t="shared" si="21"/>
        <v>-213188.0414821431</v>
      </c>
      <c r="AW37" s="280">
        <f t="shared" si="33"/>
        <v>-6.897647317228103E-3</v>
      </c>
    </row>
    <row r="38" spans="1:70">
      <c r="A38" s="101">
        <v>32</v>
      </c>
      <c r="B38" s="299" t="s">
        <v>133</v>
      </c>
      <c r="C38" s="309">
        <f>'Table 3 Levels 1&amp;2'!AO39</f>
        <v>147661783.722792</v>
      </c>
      <c r="D38" s="354">
        <f>'[2]Adjusted Amounts'!$C38</f>
        <v>-21124.479619801656</v>
      </c>
      <c r="E38" s="354">
        <f>'[2]Adjusted Amounts'!$H38</f>
        <v>-53394.86721445329</v>
      </c>
      <c r="F38" s="354">
        <f t="shared" si="22"/>
        <v>-74519.346834254946</v>
      </c>
      <c r="G38" s="309">
        <f t="shared" si="19"/>
        <v>0</v>
      </c>
      <c r="H38" s="354">
        <f t="shared" si="23"/>
        <v>-74519.346834254946</v>
      </c>
      <c r="I38" s="354">
        <f>'[1]Midyear Adjustment Summary'!C36+'[1]Oct midyear Madison Prep'!K38+'[1]Oct midyear DArbonne'!K38+'[1]Oct midyear Intl_VIBE '!K38+'[1]Oct midyear NOMMA'!K38+'[1]Oct midyear LFNO'!K38+'[1]Oct midyear Lake Charles Chtr'!K38+'[1]Oct midyear LA Virtual Admy'!K35+'[1]Oct midyear LA Connections'!K35</f>
        <v>3865162.1006716364</v>
      </c>
      <c r="J38" s="354">
        <f>'[1]Midyear Adjustment Summary'!D36+'[1]Feb midyear Madison Prep'!K38+'[1]Feb midyear DArbonne'!K38+'[1]Feb midyear Intl_VIBE '!K38+'[1]Feb midyear NOMMA'!K38+'[1]Feb midyear LFNO '!K38+'[1]Feb midyear Lake Charles Ch'!K38+'[1]Feb midyear LA Virtual Admy'!K35+'[1]Feb midyear LA Connections'!K35</f>
        <v>-761786.99309342424</v>
      </c>
      <c r="K38" s="354">
        <f t="shared" si="24"/>
        <v>3103375.1075782124</v>
      </c>
      <c r="L38" s="354"/>
      <c r="M38" s="354">
        <f>-'Table 5C1A-Madison Prep'!L38</f>
        <v>0</v>
      </c>
      <c r="N38" s="354">
        <f>-'Table 5C1B-DArbonne'!L38</f>
        <v>0</v>
      </c>
      <c r="O38" s="354">
        <f>-'Table 5C1C-Intl_VIBE'!L38</f>
        <v>0</v>
      </c>
      <c r="P38" s="354">
        <f>-'Table 5C1D-NOMMA'!L38</f>
        <v>0</v>
      </c>
      <c r="Q38" s="354">
        <f>-'Table 5C1E-LFNO'!L38</f>
        <v>0</v>
      </c>
      <c r="R38" s="354">
        <f>-'Table 5C1F-Lake Charles Charter'!L38</f>
        <v>0</v>
      </c>
      <c r="S38" s="314">
        <f>-'Table 5C2 - LA Virtual Admy'!M36-'Table 5C2 - LA Virtual Admy'!I36</f>
        <v>-215089.63874645974</v>
      </c>
      <c r="T38" s="314">
        <f>-'Table 5C3 - LA Connections EBR'!M36-'Table 5C3 - LA Connections EBR'!I36</f>
        <v>-465939.69518596056</v>
      </c>
      <c r="U38" s="1692">
        <f t="shared" si="25"/>
        <v>-681029.33393242024</v>
      </c>
      <c r="V38" s="563">
        <f t="shared" si="26"/>
        <v>150009610</v>
      </c>
      <c r="W38" s="563">
        <f>[3]MFP!DT39</f>
        <v>123820704</v>
      </c>
      <c r="X38" s="563">
        <f t="shared" si="27"/>
        <v>0</v>
      </c>
      <c r="Y38" s="563">
        <f>'[4]Table 4B Rewards'!G35</f>
        <v>177530.85000000006</v>
      </c>
      <c r="Z38" s="563">
        <f t="shared" si="28"/>
        <v>123998234.84999999</v>
      </c>
      <c r="AA38" s="1738">
        <f t="shared" si="29"/>
        <v>26011375.150000006</v>
      </c>
      <c r="AB38" s="1741">
        <f>('[5]Table 2A-2 EFT (Monthly)'!Z37+'[5]Table 2A-2 EFT (Monthly)Aug'!Z37+'[5]Table 2A-2 EFT (Monthly) sep'!Z37+'[5]Table 2A-2 EFT (Monthly)oct'!Z37+'[5]Table 2A-2 EFT (Monthly)oct'!Z37+'[5]Table 2A-2 EFT (Monthly)dec'!Z37+'[5]Table 2A-2 EFT (Monthly)jan'!Z37+'[5]Table 2A-2 EFT (Monthly)feb'!Z37+'[5]Table 2A-2 EFT (Monthly) mar'!Z37+'[5]Table 2A-2 EFT (Monthly)apr'!Z37)*-1</f>
        <v>8174</v>
      </c>
      <c r="AC38" s="1741">
        <f>('[5]Table 2A-2 EFT (Monthly)'!AA37+'[5]Table 2A-2 EFT (Monthly)Aug'!AA37+'[5]Table 2A-2 EFT (Monthly) sep'!AA37+'[5]Table 2A-2 EFT (Monthly)oct'!AA37+'[5]Table 2A-2 EFT (Monthly)oct'!AA37+'[5]Table 2A-2 EFT (Monthly)dec'!AA37+'[5]Table 2A-2 EFT (Monthly)jan'!AA37+'[5]Table 2A-2 EFT (Monthly)feb'!AA37+'[5]Table 2A-2 EFT (Monthly) mar'!AA37+'[5]Table 2A-2 EFT (Monthly)apr'!AA37)*-1</f>
        <v>368</v>
      </c>
      <c r="AD38" s="1741">
        <f>('[5]Table 2A-2 EFT (Monthly)'!AB37+'[5]Table 2A-2 EFT (Monthly)Aug'!AB37+'[5]Table 2A-2 EFT (Monthly) sep'!AB37+'[5]Table 2A-2 EFT (Monthly)oct'!AB37+'[5]Table 2A-2 EFT (Monthly)oct'!AB37+'[5]Table 2A-2 EFT (Monthly)dec'!AB37+'[5]Table 2A-2 EFT (Monthly)jan'!AB37+'[5]Table 2A-2 EFT (Monthly)feb'!AB37+'[5]Table 2A-2 EFT (Monthly) mar'!AB37+'[5]Table 2A-2 EFT (Monthly)apr'!AB37)*-1</f>
        <v>24708</v>
      </c>
      <c r="AE38" s="1741">
        <f>('[5]Table 2A-2 EFT (Monthly)'!AC37+'[5]Table 2A-2 EFT (Monthly)Aug'!AC37+'[5]Table 2A-2 EFT (Monthly) sep'!AC37+'[5]Table 2A-2 EFT (Monthly)oct'!AC37+'[5]Table 2A-2 EFT (Monthly)oct'!AC37+'[5]Table 2A-2 EFT (Monthly)dec'!AC37+'[5]Table 2A-2 EFT (Monthly)jan'!AC37+'[5]Table 2A-2 EFT (Monthly)feb'!AC37+'[5]Table 2A-2 EFT (Monthly) mar'!AC37+'[5]Table 2A-2 EFT (Monthly)apr'!AC37)*-1</f>
        <v>15082</v>
      </c>
      <c r="AF38" s="1741">
        <f>('[5]Table 2A-2 EFT (Monthly)'!Q37+'[5]Table 2A-2 EFT (Monthly)Aug'!Q37+'[5]Table 2A-2 EFT (Monthly) sep'!Q37+'[5]Table 2A-2 EFT (Monthly)oct'!Q37+'[5]Table 2A-2 EFT (Monthly)oct'!Q37+'[5]Table 2A-2 EFT (Monthly)dec'!Q37+'[5]Table 2A-2 EFT (Monthly)jan'!Q37+'[5]Table 2A-2 EFT (Monthly)feb'!Q37+'[5]Table 2A-2 EFT (Monthly) mar'!Q37+'[5]Table 2A-2 EFT (Monthly)apr'!Q37+'[5]Table 2A-2 EFT (Monthly)'!AT37+'[5]Table 2A-2 EFT (Monthly) mar'!AT37)*-1</f>
        <v>0</v>
      </c>
      <c r="AG38" s="1741">
        <f>('[5]Table 2A-2 EFT (Monthly)'!R37+'[5]Table 2A-2 EFT (Monthly)Aug'!R37+'[5]Table 2A-2 EFT (Monthly) sep'!R37+'[5]Table 2A-2 EFT (Monthly)oct'!R37+'[5]Table 2A-2 EFT (Monthly)oct'!R37+'[5]Table 2A-2 EFT (Monthly)dec'!R37+'[5]Table 2A-2 EFT (Monthly)jan'!R37+'[5]Table 2A-2 EFT (Monthly)feb'!R37+'[5]Table 2A-2 EFT (Monthly) mar'!R37+'[5]Table 2A-2 EFT (Monthly)apr'!R37+'[5]Table 2A-2 EFT (Monthly)'!AU37+'[5]Table 2A-2 EFT (Monthly) mar'!AU37)*-1</f>
        <v>0</v>
      </c>
      <c r="AH38" s="1741">
        <f>('[5]Table 2A-2 EFT (Monthly)'!S37+'[5]Table 2A-2 EFT (Monthly)Aug'!S37+'[5]Table 2A-2 EFT (Monthly) sep'!S37+'[5]Table 2A-2 EFT (Monthly)oct'!S37+'[5]Table 2A-2 EFT (Monthly)oct'!S37+'[5]Table 2A-2 EFT (Monthly)dec'!S37+'[5]Table 2A-2 EFT (Monthly)jan'!S37+'[5]Table 2A-2 EFT (Monthly)feb'!S37+'[5]Table 2A-2 EFT (Monthly) mar'!S37+'[5]Table 2A-2 EFT (Monthly)apr'!S37+'[5]Table 2A-2 EFT (Monthly)'!AV37+'[5]Table 2A-2 EFT (Monthly) mar'!AV37)*-1</f>
        <v>0</v>
      </c>
      <c r="AI38" s="1741">
        <f>('[5]Table 2A-2 EFT (Monthly)'!T37+'[5]Table 2A-2 EFT (Monthly)Aug'!T37+'[5]Table 2A-2 EFT (Monthly) sep'!T37+'[5]Table 2A-2 EFT (Monthly)oct'!T37+'[5]Table 2A-2 EFT (Monthly)oct'!T37+'[5]Table 2A-2 EFT (Monthly)dec'!T37+'[5]Table 2A-2 EFT (Monthly)jan'!T37+'[5]Table 2A-2 EFT (Monthly)feb'!T37+'[5]Table 2A-2 EFT (Monthly) mar'!T37+'[5]Table 2A-2 EFT (Monthly)apr'!T37+'[5]Table 2A-2 EFT (Monthly)'!AW37+'[5]Table 2A-2 EFT (Monthly) mar'!AW37)*-1</f>
        <v>0</v>
      </c>
      <c r="AJ38" s="1741">
        <f>('[5]Table 2A-2 EFT (Monthly)'!U37+'[5]Table 2A-2 EFT (Monthly)Aug'!U37+'[5]Table 2A-2 EFT (Monthly) sep'!U37+'[5]Table 2A-2 EFT (Monthly)oct'!U37+'[5]Table 2A-2 EFT (Monthly)oct'!U37+'[5]Table 2A-2 EFT (Monthly)dec'!U37+'[5]Table 2A-2 EFT (Monthly)jan'!U37+'[5]Table 2A-2 EFT (Monthly)feb'!U37+'[5]Table 2A-2 EFT (Monthly) mar'!U37+'[5]Table 2A-2 EFT (Monthly)apr'!U37+'[5]Table 2A-2 EFT (Monthly)'!AX37+'[5]Table 2A-2 EFT (Monthly) mar'!AX37)*-1</f>
        <v>0</v>
      </c>
      <c r="AK38" s="1741">
        <f>('[5]Table 2A-2 EFT (Monthly)'!V37+'[5]Table 2A-2 EFT (Monthly)Aug'!V37+'[5]Table 2A-2 EFT (Monthly) sep'!V37+'[5]Table 2A-2 EFT (Monthly)oct'!V37+'[5]Table 2A-2 EFT (Monthly)oct'!V37+'[5]Table 2A-2 EFT (Monthly)dec'!V37+'[5]Table 2A-2 EFT (Monthly)jan'!V37+'[5]Table 2A-2 EFT (Monthly)feb'!V37+'[5]Table 2A-2 EFT (Monthly) mar'!V37+'[5]Table 2A-2 EFT (Monthly)apr'!V37+'[5]Table 2A-2 EFT (Monthly)'!AY37+'[5]Table 2A-2 EFT (Monthly) mar'!AY37)*-1</f>
        <v>0</v>
      </c>
      <c r="AL38" s="1741">
        <f>('[5]Table 2A-2 EFT (Monthly)'!W37+'[5]Table 2A-2 EFT (Monthly)Aug'!W37+'[5]Table 2A-2 EFT (Monthly) sep'!W37+'[5]Table 2A-2 EFT (Monthly)oct'!W37+'[5]Table 2A-2 EFT (Monthly)oct'!W37+'[5]Table 2A-2 EFT (Monthly)dec'!W37+'[5]Table 2A-2 EFT (Monthly)jan'!W37+'[5]Table 2A-2 EFT (Monthly)feb'!W37+'[5]Table 2A-2 EFT (Monthly) mar'!W37+'[5]Table 2A-2 EFT (Monthly)apr'!W37+'[5]Table 2A-2 EFT (Monthly)'!AZ37+'[5]Table 2A-2 EFT (Monthly) mar'!AZ37)*-1</f>
        <v>1608.9124999999999</v>
      </c>
      <c r="AM38" s="1741">
        <f>('[5]Table 2A-2 EFT (Monthly)'!X37+'[5]Table 2A-2 EFT (Monthly)Aug'!X37+'[5]Table 2A-2 EFT (Monthly) sep'!X37+'[5]Table 2A-2 EFT (Monthly)oct'!X37+'[5]Table 2A-2 EFT (Monthly)oct'!X37+'[5]Table 2A-2 EFT (Monthly)dec'!X37+'[5]Table 2A-2 EFT (Monthly)jan'!X37+'[5]Table 2A-2 EFT (Monthly)feb'!X37+'[5]Table 2A-2 EFT (Monthly) mar'!X37+'[5]Table 2A-2 EFT (Monthly)apr'!X37+'[5]Table 2A-2 EFT (Monthly)'!BA37+'[5]Table 2A-2 EFT (Monthly) mar'!BA37)*-1</f>
        <v>0</v>
      </c>
      <c r="AN38" s="1741">
        <f>('[5]Table 2A-2 EFT (Monthly) sep'!AD37+'[5]Table 2A-2 EFT (Monthly)dec'!AD37+'[5]Table 2A-2 EFT (Monthly)feb'!AD37)*-1</f>
        <v>2143.7587528819417</v>
      </c>
      <c r="AO38" s="1741">
        <f t="shared" si="30"/>
        <v>52084.671252881941</v>
      </c>
      <c r="AP38" s="563">
        <f t="shared" si="31"/>
        <v>26063459.821252886</v>
      </c>
      <c r="AQ38" s="309">
        <f t="shared" si="32"/>
        <v>13031730</v>
      </c>
      <c r="AR38" s="309">
        <f>'Table 4A Stipends'!G35</f>
        <v>0</v>
      </c>
      <c r="AS38" s="354">
        <f t="shared" si="20"/>
        <v>150009610</v>
      </c>
      <c r="AU38" s="1339">
        <f>('Table 8 2.1.12 MFP Funded'!G35*'Table 3 Levels 1&amp;2'!AP39)+'Table 2_State with Midyear Adjs'!F38</f>
        <v>147151969.23887777</v>
      </c>
      <c r="AV38" s="959">
        <f t="shared" si="21"/>
        <v>2857640.7611222267</v>
      </c>
      <c r="AW38" s="280">
        <f t="shared" si="33"/>
        <v>1.9419656943110986E-2</v>
      </c>
    </row>
    <row r="39" spans="1:70">
      <c r="A39" s="101">
        <v>33</v>
      </c>
      <c r="B39" s="299" t="s">
        <v>134</v>
      </c>
      <c r="C39" s="309">
        <f>'Table 3 Levels 1&amp;2'!AO40</f>
        <v>11287399.669376001</v>
      </c>
      <c r="D39" s="354">
        <f>'[2]Adjusted Amounts'!$C39</f>
        <v>34524.196095193955</v>
      </c>
      <c r="E39" s="354">
        <f>'[2]Adjusted Amounts'!$H39</f>
        <v>-21449.013385802216</v>
      </c>
      <c r="F39" s="354">
        <f t="shared" si="22"/>
        <v>13075.182709391738</v>
      </c>
      <c r="G39" s="309">
        <f t="shared" si="19"/>
        <v>13075.182709391738</v>
      </c>
      <c r="H39" s="354">
        <f t="shared" si="23"/>
        <v>0</v>
      </c>
      <c r="I39" s="354">
        <f>'[1]Midyear Adjustment Summary'!C37+'[1]Oct midyear Madison Prep'!K39+'[1]Oct midyear DArbonne'!K39+'[1]Oct midyear Intl_VIBE '!K39+'[1]Oct midyear NOMMA'!K39+'[1]Oct midyear LFNO'!K39+'[1]Oct midyear Lake Charles Chtr'!K39+'[1]Oct midyear LA Virtual Admy'!K36+'[1]Oct midyear LA Connections'!K36</f>
        <v>-471834.2611475499</v>
      </c>
      <c r="J39" s="354">
        <f>'[1]Midyear Adjustment Summary'!D37+'[1]Feb midyear Madison Prep'!K39+'[1]Feb midyear DArbonne'!K39+'[1]Feb midyear Intl_VIBE '!K39+'[1]Feb midyear NOMMA'!K39+'[1]Feb midyear LFNO '!K39+'[1]Feb midyear Lake Charles Ch'!K39+'[1]Feb midyear LA Virtual Admy'!K36+'[1]Feb midyear LA Connections'!K36</f>
        <v>11795.85652868875</v>
      </c>
      <c r="K39" s="354">
        <f t="shared" si="24"/>
        <v>-460038.40461886115</v>
      </c>
      <c r="L39" s="354"/>
      <c r="M39" s="354">
        <f>-'Table 5C1A-Madison Prep'!L39</f>
        <v>0</v>
      </c>
      <c r="N39" s="354">
        <f>-'Table 5C1B-DArbonne'!L39</f>
        <v>0</v>
      </c>
      <c r="O39" s="354">
        <f>-'Table 5C1C-Intl_VIBE'!L39</f>
        <v>0</v>
      </c>
      <c r="P39" s="354">
        <f>-'Table 5C1D-NOMMA'!L39</f>
        <v>0</v>
      </c>
      <c r="Q39" s="354">
        <f>-'Table 5C1E-LFNO'!L39</f>
        <v>0</v>
      </c>
      <c r="R39" s="354">
        <f>-'Table 5C1F-Lake Charles Charter'!L39</f>
        <v>0</v>
      </c>
      <c r="S39" s="314">
        <f>-'Table 5C2 - LA Virtual Admy'!M37-'Table 5C2 - LA Virtual Admy'!I37</f>
        <v>-12506.637107818649</v>
      </c>
      <c r="T39" s="314">
        <f>-'Table 5C3 - LA Connections EBR'!M37-'Table 5C3 - LA Connections EBR'!I37</f>
        <v>-20133.614600567849</v>
      </c>
      <c r="U39" s="1692">
        <f t="shared" si="25"/>
        <v>-32640.251708386499</v>
      </c>
      <c r="V39" s="563">
        <f t="shared" si="26"/>
        <v>10807796</v>
      </c>
      <c r="W39" s="563">
        <f>[3]MFP!DT40</f>
        <v>9166105</v>
      </c>
      <c r="X39" s="563">
        <f t="shared" si="27"/>
        <v>4000</v>
      </c>
      <c r="Y39" s="563">
        <f>'[4]Table 4B Rewards'!G36</f>
        <v>25361.550000000003</v>
      </c>
      <c r="Z39" s="563">
        <f t="shared" si="28"/>
        <v>9195466.5500000007</v>
      </c>
      <c r="AA39" s="1738">
        <f t="shared" si="29"/>
        <v>1612329.4499999993</v>
      </c>
      <c r="AB39" s="1741">
        <f>('[5]Table 2A-2 EFT (Monthly)'!Z38+'[5]Table 2A-2 EFT (Monthly)Aug'!Z38+'[5]Table 2A-2 EFT (Monthly) sep'!Z38+'[5]Table 2A-2 EFT (Monthly)oct'!Z38+'[5]Table 2A-2 EFT (Monthly)oct'!Z38+'[5]Table 2A-2 EFT (Monthly)dec'!Z38+'[5]Table 2A-2 EFT (Monthly)jan'!Z38+'[5]Table 2A-2 EFT (Monthly)feb'!Z38+'[5]Table 2A-2 EFT (Monthly) mar'!Z38+'[5]Table 2A-2 EFT (Monthly)apr'!Z38)*-1</f>
        <v>0</v>
      </c>
      <c r="AC39" s="1741">
        <f>('[5]Table 2A-2 EFT (Monthly)'!AA38+'[5]Table 2A-2 EFT (Monthly)Aug'!AA38+'[5]Table 2A-2 EFT (Monthly) sep'!AA38+'[5]Table 2A-2 EFT (Monthly)oct'!AA38+'[5]Table 2A-2 EFT (Monthly)oct'!AA38+'[5]Table 2A-2 EFT (Monthly)dec'!AA38+'[5]Table 2A-2 EFT (Monthly)jan'!AA38+'[5]Table 2A-2 EFT (Monthly)feb'!AA38+'[5]Table 2A-2 EFT (Monthly) mar'!AA38+'[5]Table 2A-2 EFT (Monthly)apr'!AA38)*-1</f>
        <v>0</v>
      </c>
      <c r="AD39" s="1741">
        <f>('[5]Table 2A-2 EFT (Monthly)'!AB38+'[5]Table 2A-2 EFT (Monthly)Aug'!AB38+'[5]Table 2A-2 EFT (Monthly) sep'!AB38+'[5]Table 2A-2 EFT (Monthly)oct'!AB38+'[5]Table 2A-2 EFT (Monthly)oct'!AB38+'[5]Table 2A-2 EFT (Monthly)dec'!AB38+'[5]Table 2A-2 EFT (Monthly)jan'!AB38+'[5]Table 2A-2 EFT (Monthly)feb'!AB38+'[5]Table 2A-2 EFT (Monthly) mar'!AB38+'[5]Table 2A-2 EFT (Monthly)apr'!AB38)*-1</f>
        <v>6920</v>
      </c>
      <c r="AE39" s="1741">
        <f>('[5]Table 2A-2 EFT (Monthly)'!AC38+'[5]Table 2A-2 EFT (Monthly)Aug'!AC38+'[5]Table 2A-2 EFT (Monthly) sep'!AC38+'[5]Table 2A-2 EFT (Monthly)oct'!AC38+'[5]Table 2A-2 EFT (Monthly)oct'!AC38+'[5]Table 2A-2 EFT (Monthly)dec'!AC38+'[5]Table 2A-2 EFT (Monthly)jan'!AC38+'[5]Table 2A-2 EFT (Monthly)feb'!AC38+'[5]Table 2A-2 EFT (Monthly) mar'!AC38+'[5]Table 2A-2 EFT (Monthly)apr'!AC38)*-1</f>
        <v>2536</v>
      </c>
      <c r="AF39" s="1741">
        <f>('[5]Table 2A-2 EFT (Monthly)'!Q38+'[5]Table 2A-2 EFT (Monthly)Aug'!Q38+'[5]Table 2A-2 EFT (Monthly) sep'!Q38+'[5]Table 2A-2 EFT (Monthly)oct'!Q38+'[5]Table 2A-2 EFT (Monthly)oct'!Q38+'[5]Table 2A-2 EFT (Monthly)dec'!Q38+'[5]Table 2A-2 EFT (Monthly)jan'!Q38+'[5]Table 2A-2 EFT (Monthly)feb'!Q38+'[5]Table 2A-2 EFT (Monthly) mar'!Q38+'[5]Table 2A-2 EFT (Monthly)apr'!Q38+'[5]Table 2A-2 EFT (Monthly)'!AT38+'[5]Table 2A-2 EFT (Monthly) mar'!AT38)*-1</f>
        <v>0</v>
      </c>
      <c r="AG39" s="1741">
        <f>('[5]Table 2A-2 EFT (Monthly)'!R38+'[5]Table 2A-2 EFT (Monthly)Aug'!R38+'[5]Table 2A-2 EFT (Monthly) sep'!R38+'[5]Table 2A-2 EFT (Monthly)oct'!R38+'[5]Table 2A-2 EFT (Monthly)oct'!R38+'[5]Table 2A-2 EFT (Monthly)dec'!R38+'[5]Table 2A-2 EFT (Monthly)jan'!R38+'[5]Table 2A-2 EFT (Monthly)feb'!R38+'[5]Table 2A-2 EFT (Monthly) mar'!R38+'[5]Table 2A-2 EFT (Monthly)apr'!R38+'[5]Table 2A-2 EFT (Monthly)'!AU38+'[5]Table 2A-2 EFT (Monthly) mar'!AU38)*-1</f>
        <v>0</v>
      </c>
      <c r="AH39" s="1741">
        <f>('[5]Table 2A-2 EFT (Monthly)'!S38+'[5]Table 2A-2 EFT (Monthly)Aug'!S38+'[5]Table 2A-2 EFT (Monthly) sep'!S38+'[5]Table 2A-2 EFT (Monthly)oct'!S38+'[5]Table 2A-2 EFT (Monthly)oct'!S38+'[5]Table 2A-2 EFT (Monthly)dec'!S38+'[5]Table 2A-2 EFT (Monthly)jan'!S38+'[5]Table 2A-2 EFT (Monthly)feb'!S38+'[5]Table 2A-2 EFT (Monthly) mar'!S38+'[5]Table 2A-2 EFT (Monthly)apr'!S38+'[5]Table 2A-2 EFT (Monthly)'!AV38+'[5]Table 2A-2 EFT (Monthly) mar'!AV38)*-1</f>
        <v>0</v>
      </c>
      <c r="AI39" s="1741">
        <f>('[5]Table 2A-2 EFT (Monthly)'!T38+'[5]Table 2A-2 EFT (Monthly)Aug'!T38+'[5]Table 2A-2 EFT (Monthly) sep'!T38+'[5]Table 2A-2 EFT (Monthly)oct'!T38+'[5]Table 2A-2 EFT (Monthly)oct'!T38+'[5]Table 2A-2 EFT (Monthly)dec'!T38+'[5]Table 2A-2 EFT (Monthly)jan'!T38+'[5]Table 2A-2 EFT (Monthly)feb'!T38+'[5]Table 2A-2 EFT (Monthly) mar'!T38+'[5]Table 2A-2 EFT (Monthly)apr'!T38+'[5]Table 2A-2 EFT (Monthly)'!AW38+'[5]Table 2A-2 EFT (Monthly) mar'!AW38)*-1</f>
        <v>0</v>
      </c>
      <c r="AJ39" s="1741">
        <f>('[5]Table 2A-2 EFT (Monthly)'!U38+'[5]Table 2A-2 EFT (Monthly)Aug'!U38+'[5]Table 2A-2 EFT (Monthly) sep'!U38+'[5]Table 2A-2 EFT (Monthly)oct'!U38+'[5]Table 2A-2 EFT (Monthly)oct'!U38+'[5]Table 2A-2 EFT (Monthly)dec'!U38+'[5]Table 2A-2 EFT (Monthly)jan'!U38+'[5]Table 2A-2 EFT (Monthly)feb'!U38+'[5]Table 2A-2 EFT (Monthly) mar'!U38+'[5]Table 2A-2 EFT (Monthly)apr'!U38+'[5]Table 2A-2 EFT (Monthly)'!AX38+'[5]Table 2A-2 EFT (Monthly) mar'!AX38)*-1</f>
        <v>323780.38624999998</v>
      </c>
      <c r="AK39" s="1741">
        <f>('[5]Table 2A-2 EFT (Monthly)'!V38+'[5]Table 2A-2 EFT (Monthly)Aug'!V38+'[5]Table 2A-2 EFT (Monthly) sep'!V38+'[5]Table 2A-2 EFT (Monthly)oct'!V38+'[5]Table 2A-2 EFT (Monthly)oct'!V38+'[5]Table 2A-2 EFT (Monthly)dec'!V38+'[5]Table 2A-2 EFT (Monthly)jan'!V38+'[5]Table 2A-2 EFT (Monthly)feb'!V38+'[5]Table 2A-2 EFT (Monthly) mar'!V38+'[5]Table 2A-2 EFT (Monthly)apr'!V38+'[5]Table 2A-2 EFT (Monthly)'!AY38+'[5]Table 2A-2 EFT (Monthly) mar'!AY38)*-1</f>
        <v>0</v>
      </c>
      <c r="AL39" s="1741">
        <f>('[5]Table 2A-2 EFT (Monthly)'!W38+'[5]Table 2A-2 EFT (Monthly)Aug'!W38+'[5]Table 2A-2 EFT (Monthly) sep'!W38+'[5]Table 2A-2 EFT (Monthly)oct'!W38+'[5]Table 2A-2 EFT (Monthly)oct'!W38+'[5]Table 2A-2 EFT (Monthly)dec'!W38+'[5]Table 2A-2 EFT (Monthly)jan'!W38+'[5]Table 2A-2 EFT (Monthly)feb'!W38+'[5]Table 2A-2 EFT (Monthly) mar'!W38+'[5]Table 2A-2 EFT (Monthly)apr'!W38+'[5]Table 2A-2 EFT (Monthly)'!AZ38+'[5]Table 2A-2 EFT (Monthly) mar'!AZ38)*-1</f>
        <v>0</v>
      </c>
      <c r="AM39" s="1741">
        <f>('[5]Table 2A-2 EFT (Monthly)'!X38+'[5]Table 2A-2 EFT (Monthly)Aug'!X38+'[5]Table 2A-2 EFT (Monthly) sep'!X38+'[5]Table 2A-2 EFT (Monthly)oct'!X38+'[5]Table 2A-2 EFT (Monthly)oct'!X38+'[5]Table 2A-2 EFT (Monthly)dec'!X38+'[5]Table 2A-2 EFT (Monthly)jan'!X38+'[5]Table 2A-2 EFT (Monthly)feb'!X38+'[5]Table 2A-2 EFT (Monthly) mar'!X38+'[5]Table 2A-2 EFT (Monthly)apr'!X38+'[5]Table 2A-2 EFT (Monthly)'!BA38+'[5]Table 2A-2 EFT (Monthly) mar'!BA38)*-1</f>
        <v>0</v>
      </c>
      <c r="AN39" s="1741">
        <f>('[5]Table 2A-2 EFT (Monthly) sep'!AD38+'[5]Table 2A-2 EFT (Monthly)dec'!AD38+'[5]Table 2A-2 EFT (Monthly)feb'!AD38)*-1</f>
        <v>0</v>
      </c>
      <c r="AO39" s="1741">
        <f t="shared" si="30"/>
        <v>333236.38624999998</v>
      </c>
      <c r="AP39" s="563">
        <f t="shared" si="31"/>
        <v>1945565.8362499992</v>
      </c>
      <c r="AQ39" s="309">
        <f t="shared" si="32"/>
        <v>972783</v>
      </c>
      <c r="AR39" s="309">
        <f>'Table 4A Stipends'!G36</f>
        <v>4000</v>
      </c>
      <c r="AS39" s="354">
        <f t="shared" ref="AS39:AS70" si="34">V39+AR39</f>
        <v>10811796</v>
      </c>
      <c r="AU39" s="1339">
        <f>('Table 8 2.1.12 MFP Funded'!G36*'Table 3 Levels 1&amp;2'!AP40)+'Table 2_State with Midyear Adjs'!F39</f>
        <v>11270229.944075275</v>
      </c>
      <c r="AV39" s="959">
        <f t="shared" ref="AV39:AV70" si="35">V39-AU39</f>
        <v>-462433.94407527521</v>
      </c>
      <c r="AW39" s="280">
        <f t="shared" si="33"/>
        <v>-4.103145600133698E-2</v>
      </c>
    </row>
    <row r="40" spans="1:70">
      <c r="A40" s="101">
        <v>34</v>
      </c>
      <c r="B40" s="299" t="s">
        <v>135</v>
      </c>
      <c r="C40" s="309">
        <f>'Table 3 Levels 1&amp;2'!AO41</f>
        <v>28154717.608176</v>
      </c>
      <c r="D40" s="354">
        <f>'[2]Adjusted Amounts'!$C40</f>
        <v>22186.801618219353</v>
      </c>
      <c r="E40" s="354">
        <f>'[2]Adjusted Amounts'!$H40</f>
        <v>-18840.54697612684</v>
      </c>
      <c r="F40" s="354">
        <f t="shared" si="22"/>
        <v>3346.2546420925137</v>
      </c>
      <c r="G40" s="309">
        <f t="shared" si="19"/>
        <v>3346.2546420925137</v>
      </c>
      <c r="H40" s="354">
        <f t="shared" si="23"/>
        <v>0</v>
      </c>
      <c r="I40" s="354">
        <f>'[1]Midyear Adjustment Summary'!C38+'[1]Oct midyear Madison Prep'!K40+'[1]Oct midyear DArbonne'!K40+'[1]Oct midyear Intl_VIBE '!K40+'[1]Oct midyear NOMMA'!K40+'[1]Oct midyear LFNO'!K40+'[1]Oct midyear Lake Charles Chtr'!K40+'[1]Oct midyear LA Virtual Admy'!K37+'[1]Oct midyear LA Connections'!K37</f>
        <v>-137979.45688352548</v>
      </c>
      <c r="J40" s="354">
        <f>'[1]Midyear Adjustment Summary'!D38+'[1]Feb midyear Madison Prep'!K40+'[1]Feb midyear DArbonne'!K40+'[1]Feb midyear Intl_VIBE '!K40+'[1]Feb midyear NOMMA'!K40+'[1]Feb midyear LFNO '!K40+'[1]Feb midyear Lake Charles Ch'!K40+'[1]Feb midyear LA Virtual Admy'!K37+'[1]Feb midyear LA Connections'!K37</f>
        <v>-109342.21111524661</v>
      </c>
      <c r="K40" s="354">
        <f t="shared" si="24"/>
        <v>-247321.66799877209</v>
      </c>
      <c r="L40" s="354"/>
      <c r="M40" s="354">
        <f>-'Table 5C1A-Madison Prep'!L40</f>
        <v>0</v>
      </c>
      <c r="N40" s="354">
        <f>-'Table 5C1B-DArbonne'!L40</f>
        <v>0</v>
      </c>
      <c r="O40" s="354">
        <f>-'Table 5C1C-Intl_VIBE'!L40</f>
        <v>0</v>
      </c>
      <c r="P40" s="354">
        <f>-'Table 5C1D-NOMMA'!L40</f>
        <v>0</v>
      </c>
      <c r="Q40" s="354">
        <f>-'Table 5C1E-LFNO'!L40</f>
        <v>0</v>
      </c>
      <c r="R40" s="354">
        <f>-'Table 5C1F-Lake Charles Charter'!L40</f>
        <v>0</v>
      </c>
      <c r="S40" s="314">
        <f>-'Table 5C2 - LA Virtual Admy'!M38-'Table 5C2 - LA Virtual Admy'!I38</f>
        <v>-97830.31195214203</v>
      </c>
      <c r="T40" s="314">
        <f>-'Table 5C3 - LA Connections EBR'!M38-'Table 5C3 - LA Connections EBR'!I38</f>
        <v>-50962.62783658845</v>
      </c>
      <c r="U40" s="1692">
        <f t="shared" si="25"/>
        <v>-148792.93978873047</v>
      </c>
      <c r="V40" s="563">
        <f t="shared" si="26"/>
        <v>27761949</v>
      </c>
      <c r="W40" s="563">
        <f>[3]MFP!DT41</f>
        <v>23155596</v>
      </c>
      <c r="X40" s="563">
        <f t="shared" si="27"/>
        <v>0</v>
      </c>
      <c r="Y40" s="563">
        <f>'[4]Table 4B Rewards'!G37</f>
        <v>25361.550000000003</v>
      </c>
      <c r="Z40" s="563">
        <f t="shared" si="28"/>
        <v>23180957.550000001</v>
      </c>
      <c r="AA40" s="1738">
        <f t="shared" si="29"/>
        <v>4580991.4499999993</v>
      </c>
      <c r="AB40" s="1741">
        <f>('[5]Table 2A-2 EFT (Monthly)'!Z39+'[5]Table 2A-2 EFT (Monthly)Aug'!Z39+'[5]Table 2A-2 EFT (Monthly) sep'!Z39+'[5]Table 2A-2 EFT (Monthly)oct'!Z39+'[5]Table 2A-2 EFT (Monthly)oct'!Z39+'[5]Table 2A-2 EFT (Monthly)dec'!Z39+'[5]Table 2A-2 EFT (Monthly)jan'!Z39+'[5]Table 2A-2 EFT (Monthly)feb'!Z39+'[5]Table 2A-2 EFT (Monthly) mar'!Z39+'[5]Table 2A-2 EFT (Monthly)apr'!Z39)*-1</f>
        <v>1046</v>
      </c>
      <c r="AC40" s="1741">
        <f>('[5]Table 2A-2 EFT (Monthly)'!AA39+'[5]Table 2A-2 EFT (Monthly)Aug'!AA39+'[5]Table 2A-2 EFT (Monthly) sep'!AA39+'[5]Table 2A-2 EFT (Monthly)oct'!AA39+'[5]Table 2A-2 EFT (Monthly)oct'!AA39+'[5]Table 2A-2 EFT (Monthly)dec'!AA39+'[5]Table 2A-2 EFT (Monthly)jan'!AA39+'[5]Table 2A-2 EFT (Monthly)feb'!AA39+'[5]Table 2A-2 EFT (Monthly) mar'!AA39+'[5]Table 2A-2 EFT (Monthly)apr'!AA39)*-1</f>
        <v>0</v>
      </c>
      <c r="AD40" s="1741">
        <f>('[5]Table 2A-2 EFT (Monthly)'!AB39+'[5]Table 2A-2 EFT (Monthly)Aug'!AB39+'[5]Table 2A-2 EFT (Monthly) sep'!AB39+'[5]Table 2A-2 EFT (Monthly)oct'!AB39+'[5]Table 2A-2 EFT (Monthly)oct'!AB39+'[5]Table 2A-2 EFT (Monthly)dec'!AB39+'[5]Table 2A-2 EFT (Monthly)jan'!AB39+'[5]Table 2A-2 EFT (Monthly)feb'!AB39+'[5]Table 2A-2 EFT (Monthly) mar'!AB39+'[5]Table 2A-2 EFT (Monthly)apr'!AB39)*-1</f>
        <v>0</v>
      </c>
      <c r="AE40" s="1741">
        <f>('[5]Table 2A-2 EFT (Monthly)'!AC39+'[5]Table 2A-2 EFT (Monthly)Aug'!AC39+'[5]Table 2A-2 EFT (Monthly) sep'!AC39+'[5]Table 2A-2 EFT (Monthly)oct'!AC39+'[5]Table 2A-2 EFT (Monthly)oct'!AC39+'[5]Table 2A-2 EFT (Monthly)dec'!AC39+'[5]Table 2A-2 EFT (Monthly)jan'!AC39+'[5]Table 2A-2 EFT (Monthly)feb'!AC39+'[5]Table 2A-2 EFT (Monthly) mar'!AC39+'[5]Table 2A-2 EFT (Monthly)apr'!AC39)*-1</f>
        <v>1396</v>
      </c>
      <c r="AF40" s="1741">
        <f>('[5]Table 2A-2 EFT (Monthly)'!Q39+'[5]Table 2A-2 EFT (Monthly)Aug'!Q39+'[5]Table 2A-2 EFT (Monthly) sep'!Q39+'[5]Table 2A-2 EFT (Monthly)oct'!Q39+'[5]Table 2A-2 EFT (Monthly)oct'!Q39+'[5]Table 2A-2 EFT (Monthly)dec'!Q39+'[5]Table 2A-2 EFT (Monthly)jan'!Q39+'[5]Table 2A-2 EFT (Monthly)feb'!Q39+'[5]Table 2A-2 EFT (Monthly) mar'!Q39+'[5]Table 2A-2 EFT (Monthly)apr'!Q39+'[5]Table 2A-2 EFT (Monthly)'!AT39+'[5]Table 2A-2 EFT (Monthly) mar'!AT39)*-1</f>
        <v>18459.16</v>
      </c>
      <c r="AG40" s="1741">
        <f>('[5]Table 2A-2 EFT (Monthly)'!R39+'[5]Table 2A-2 EFT (Monthly)Aug'!R39+'[5]Table 2A-2 EFT (Monthly) sep'!R39+'[5]Table 2A-2 EFT (Monthly)oct'!R39+'[5]Table 2A-2 EFT (Monthly)oct'!R39+'[5]Table 2A-2 EFT (Monthly)dec'!R39+'[5]Table 2A-2 EFT (Monthly)jan'!R39+'[5]Table 2A-2 EFT (Monthly)feb'!R39+'[5]Table 2A-2 EFT (Monthly) mar'!R39+'[5]Table 2A-2 EFT (Monthly)apr'!R39+'[5]Table 2A-2 EFT (Monthly)'!AU39+'[5]Table 2A-2 EFT (Monthly) mar'!AU39)*-1</f>
        <v>0</v>
      </c>
      <c r="AH40" s="1741">
        <f>('[5]Table 2A-2 EFT (Monthly)'!S39+'[5]Table 2A-2 EFT (Monthly)Aug'!S39+'[5]Table 2A-2 EFT (Monthly) sep'!S39+'[5]Table 2A-2 EFT (Monthly)oct'!S39+'[5]Table 2A-2 EFT (Monthly)oct'!S39+'[5]Table 2A-2 EFT (Monthly)dec'!S39+'[5]Table 2A-2 EFT (Monthly)jan'!S39+'[5]Table 2A-2 EFT (Monthly)feb'!S39+'[5]Table 2A-2 EFT (Monthly) mar'!S39+'[5]Table 2A-2 EFT (Monthly)apr'!S39+'[5]Table 2A-2 EFT (Monthly)'!AV39+'[5]Table 2A-2 EFT (Monthly) mar'!AV39)*-1</f>
        <v>0</v>
      </c>
      <c r="AI40" s="1741">
        <f>('[5]Table 2A-2 EFT (Monthly)'!T39+'[5]Table 2A-2 EFT (Monthly)Aug'!T39+'[5]Table 2A-2 EFT (Monthly) sep'!T39+'[5]Table 2A-2 EFT (Monthly)oct'!T39+'[5]Table 2A-2 EFT (Monthly)oct'!T39+'[5]Table 2A-2 EFT (Monthly)dec'!T39+'[5]Table 2A-2 EFT (Monthly)jan'!T39+'[5]Table 2A-2 EFT (Monthly)feb'!T39+'[5]Table 2A-2 EFT (Monthly) mar'!T39+'[5]Table 2A-2 EFT (Monthly)apr'!T39+'[5]Table 2A-2 EFT (Monthly)'!AW39+'[5]Table 2A-2 EFT (Monthly) mar'!AW39)*-1</f>
        <v>0</v>
      </c>
      <c r="AJ40" s="1741">
        <f>('[5]Table 2A-2 EFT (Monthly)'!U39+'[5]Table 2A-2 EFT (Monthly)Aug'!U39+'[5]Table 2A-2 EFT (Monthly) sep'!U39+'[5]Table 2A-2 EFT (Monthly)oct'!U39+'[5]Table 2A-2 EFT (Monthly)oct'!U39+'[5]Table 2A-2 EFT (Monthly)dec'!U39+'[5]Table 2A-2 EFT (Monthly)jan'!U39+'[5]Table 2A-2 EFT (Monthly)feb'!U39+'[5]Table 2A-2 EFT (Monthly) mar'!U39+'[5]Table 2A-2 EFT (Monthly)apr'!U39+'[5]Table 2A-2 EFT (Monthly)'!AX39+'[5]Table 2A-2 EFT (Monthly) mar'!AX39)*-1</f>
        <v>2765.79</v>
      </c>
      <c r="AK40" s="1741">
        <f>('[5]Table 2A-2 EFT (Monthly)'!V39+'[5]Table 2A-2 EFT (Monthly)Aug'!V39+'[5]Table 2A-2 EFT (Monthly) sep'!V39+'[5]Table 2A-2 EFT (Monthly)oct'!V39+'[5]Table 2A-2 EFT (Monthly)oct'!V39+'[5]Table 2A-2 EFT (Monthly)dec'!V39+'[5]Table 2A-2 EFT (Monthly)jan'!V39+'[5]Table 2A-2 EFT (Monthly)feb'!V39+'[5]Table 2A-2 EFT (Monthly) mar'!V39+'[5]Table 2A-2 EFT (Monthly)apr'!V39+'[5]Table 2A-2 EFT (Monthly)'!AY39+'[5]Table 2A-2 EFT (Monthly) mar'!AY39)*-1</f>
        <v>0</v>
      </c>
      <c r="AL40" s="1741">
        <f>('[5]Table 2A-2 EFT (Monthly)'!W39+'[5]Table 2A-2 EFT (Monthly)Aug'!W39+'[5]Table 2A-2 EFT (Monthly) sep'!W39+'[5]Table 2A-2 EFT (Monthly)oct'!W39+'[5]Table 2A-2 EFT (Monthly)oct'!W39+'[5]Table 2A-2 EFT (Monthly)dec'!W39+'[5]Table 2A-2 EFT (Monthly)jan'!W39+'[5]Table 2A-2 EFT (Monthly)feb'!W39+'[5]Table 2A-2 EFT (Monthly) mar'!W39+'[5]Table 2A-2 EFT (Monthly)apr'!W39+'[5]Table 2A-2 EFT (Monthly)'!AZ39+'[5]Table 2A-2 EFT (Monthly) mar'!AZ39)*-1</f>
        <v>0</v>
      </c>
      <c r="AM40" s="1741">
        <f>('[5]Table 2A-2 EFT (Monthly)'!X39+'[5]Table 2A-2 EFT (Monthly)Aug'!X39+'[5]Table 2A-2 EFT (Monthly) sep'!X39+'[5]Table 2A-2 EFT (Monthly)oct'!X39+'[5]Table 2A-2 EFT (Monthly)oct'!X39+'[5]Table 2A-2 EFT (Monthly)dec'!X39+'[5]Table 2A-2 EFT (Monthly)jan'!X39+'[5]Table 2A-2 EFT (Monthly)feb'!X39+'[5]Table 2A-2 EFT (Monthly) mar'!X39+'[5]Table 2A-2 EFT (Monthly)apr'!X39+'[5]Table 2A-2 EFT (Monthly)'!BA39+'[5]Table 2A-2 EFT (Monthly) mar'!BA39)*-1</f>
        <v>0</v>
      </c>
      <c r="AN40" s="1741">
        <f>('[5]Table 2A-2 EFT (Monthly) sep'!AD39+'[5]Table 2A-2 EFT (Monthly)dec'!AD39+'[5]Table 2A-2 EFT (Monthly)feb'!AD39)*-1</f>
        <v>6169.4597955702411</v>
      </c>
      <c r="AO40" s="1741">
        <f t="shared" si="30"/>
        <v>29836.409795570242</v>
      </c>
      <c r="AP40" s="563">
        <f t="shared" si="31"/>
        <v>4610827.8597955694</v>
      </c>
      <c r="AQ40" s="309">
        <f t="shared" si="32"/>
        <v>2305414</v>
      </c>
      <c r="AR40" s="309">
        <f>'Table 4A Stipends'!G37</f>
        <v>0</v>
      </c>
      <c r="AS40" s="354">
        <f t="shared" si="34"/>
        <v>27761949</v>
      </c>
      <c r="AU40" s="1339">
        <f>('Table 8 2.1.12 MFP Funded'!G37*'Table 3 Levels 1&amp;2'!AP41)+'Table 2_State with Midyear Adjs'!F40</f>
        <v>28066948.271853119</v>
      </c>
      <c r="AV40" s="959">
        <f t="shared" si="35"/>
        <v>-304999.27185311913</v>
      </c>
      <c r="AW40" s="280">
        <f t="shared" si="33"/>
        <v>-1.0866848397586103E-2</v>
      </c>
    </row>
    <row r="41" spans="1:70">
      <c r="A41" s="102">
        <v>35</v>
      </c>
      <c r="B41" s="300" t="s">
        <v>136</v>
      </c>
      <c r="C41" s="318">
        <f>'Table 3 Levels 1&amp;2'!AO42</f>
        <v>34787005.582719997</v>
      </c>
      <c r="D41" s="355">
        <f>'[2]Adjusted Amounts'!$C41</f>
        <v>16712.829669196377</v>
      </c>
      <c r="E41" s="355">
        <f>'[2]Adjusted Amounts'!$H41</f>
        <v>-57032.604864552908</v>
      </c>
      <c r="F41" s="355">
        <f t="shared" si="22"/>
        <v>-40319.775195356531</v>
      </c>
      <c r="G41" s="318">
        <f t="shared" si="19"/>
        <v>0</v>
      </c>
      <c r="H41" s="355">
        <f t="shared" si="23"/>
        <v>-40319.775195356531</v>
      </c>
      <c r="I41" s="355">
        <f>'[1]Midyear Adjustment Summary'!C39+'[1]Oct midyear Madison Prep'!K41+'[1]Oct midyear DArbonne'!K41+'[1]Oct midyear Intl_VIBE '!K41+'[1]Oct midyear NOMMA'!K41+'[1]Oct midyear LFNO'!K41+'[1]Oct midyear Lake Charles Chtr'!K41+'[1]Oct midyear LA Virtual Admy'!K38+'[1]Oct midyear LA Connections'!K38</f>
        <v>155679.3295343772</v>
      </c>
      <c r="J41" s="355">
        <f>'[1]Midyear Adjustment Summary'!D39+'[1]Feb midyear Madison Prep'!K41+'[1]Feb midyear DArbonne'!K41+'[1]Feb midyear Intl_VIBE '!K41+'[1]Feb midyear NOMMA'!K41+'[1]Feb midyear LFNO '!K41+'[1]Feb midyear Lake Charles Ch'!K41+'[1]Feb midyear LA Virtual Admy'!K38+'[1]Feb midyear LA Connections'!K38</f>
        <v>5117.4866109916402</v>
      </c>
      <c r="K41" s="355">
        <f t="shared" si="24"/>
        <v>160796.81614536885</v>
      </c>
      <c r="L41" s="355"/>
      <c r="M41" s="355">
        <f>-'Table 5C1A-Madison Prep'!L41</f>
        <v>0</v>
      </c>
      <c r="N41" s="355">
        <f>-'Table 5C1B-DArbonne'!L41</f>
        <v>0</v>
      </c>
      <c r="O41" s="355">
        <f>-'Table 5C1C-Intl_VIBE'!L41</f>
        <v>0</v>
      </c>
      <c r="P41" s="355">
        <f>-'Table 5C1D-NOMMA'!L41</f>
        <v>0</v>
      </c>
      <c r="Q41" s="355">
        <f>-'Table 5C1E-LFNO'!L41</f>
        <v>0</v>
      </c>
      <c r="R41" s="355">
        <f>-'Table 5C1F-Lake Charles Charter'!L41</f>
        <v>0</v>
      </c>
      <c r="S41" s="321">
        <f>-'Table 5C2 - LA Virtual Admy'!M39-'Table 5C2 - LA Virtual Admy'!I39</f>
        <v>-87752.223389750376</v>
      </c>
      <c r="T41" s="321">
        <f>-'Table 5C3 - LA Connections EBR'!M39-'Table 5C3 - LA Connections EBR'!I39</f>
        <v>-104235.84482503931</v>
      </c>
      <c r="U41" s="321">
        <f t="shared" si="25"/>
        <v>-191988.06821478967</v>
      </c>
      <c r="V41" s="564">
        <f t="shared" si="26"/>
        <v>34715495</v>
      </c>
      <c r="W41" s="564">
        <f>[3]MFP!DT42</f>
        <v>28802304</v>
      </c>
      <c r="X41" s="564">
        <f t="shared" si="27"/>
        <v>0</v>
      </c>
      <c r="Y41" s="564">
        <f>'[4]Table 4B Rewards'!G38</f>
        <v>33815.4</v>
      </c>
      <c r="Z41" s="564">
        <f t="shared" si="28"/>
        <v>28836119.399999999</v>
      </c>
      <c r="AA41" s="564">
        <f t="shared" si="29"/>
        <v>5879375.6000000015</v>
      </c>
      <c r="AB41" s="1742">
        <f>('[5]Table 2A-2 EFT (Monthly)'!Z40+'[5]Table 2A-2 EFT (Monthly)Aug'!Z40+'[5]Table 2A-2 EFT (Monthly) sep'!Z40+'[5]Table 2A-2 EFT (Monthly)oct'!Z40+'[5]Table 2A-2 EFT (Monthly)oct'!Z40+'[5]Table 2A-2 EFT (Monthly)dec'!Z40+'[5]Table 2A-2 EFT (Monthly)jan'!Z40+'[5]Table 2A-2 EFT (Monthly)feb'!Z40+'[5]Table 2A-2 EFT (Monthly) mar'!Z40+'[5]Table 2A-2 EFT (Monthly)apr'!Z40)*-1</f>
        <v>18998</v>
      </c>
      <c r="AC41" s="1742">
        <f>('[5]Table 2A-2 EFT (Monthly)'!AA40+'[5]Table 2A-2 EFT (Monthly)Aug'!AA40+'[5]Table 2A-2 EFT (Monthly) sep'!AA40+'[5]Table 2A-2 EFT (Monthly)oct'!AA40+'[5]Table 2A-2 EFT (Monthly)oct'!AA40+'[5]Table 2A-2 EFT (Monthly)dec'!AA40+'[5]Table 2A-2 EFT (Monthly)jan'!AA40+'[5]Table 2A-2 EFT (Monthly)feb'!AA40+'[5]Table 2A-2 EFT (Monthly) mar'!AA40+'[5]Table 2A-2 EFT (Monthly)apr'!AA40)*-1</f>
        <v>0</v>
      </c>
      <c r="AD41" s="1742">
        <f>('[5]Table 2A-2 EFT (Monthly)'!AB40+'[5]Table 2A-2 EFT (Monthly)Aug'!AB40+'[5]Table 2A-2 EFT (Monthly) sep'!AB40+'[5]Table 2A-2 EFT (Monthly)oct'!AB40+'[5]Table 2A-2 EFT (Monthly)oct'!AB40+'[5]Table 2A-2 EFT (Monthly)dec'!AB40+'[5]Table 2A-2 EFT (Monthly)jan'!AB40+'[5]Table 2A-2 EFT (Monthly)feb'!AB40+'[5]Table 2A-2 EFT (Monthly) mar'!AB40+'[5]Table 2A-2 EFT (Monthly)apr'!AB40)*-1</f>
        <v>8130</v>
      </c>
      <c r="AE41" s="1742">
        <f>('[5]Table 2A-2 EFT (Monthly)'!AC40+'[5]Table 2A-2 EFT (Monthly)Aug'!AC40+'[5]Table 2A-2 EFT (Monthly) sep'!AC40+'[5]Table 2A-2 EFT (Monthly)oct'!AC40+'[5]Table 2A-2 EFT (Monthly)oct'!AC40+'[5]Table 2A-2 EFT (Monthly)dec'!AC40+'[5]Table 2A-2 EFT (Monthly)jan'!AC40+'[5]Table 2A-2 EFT (Monthly)feb'!AC40+'[5]Table 2A-2 EFT (Monthly) mar'!AC40+'[5]Table 2A-2 EFT (Monthly)apr'!AC40)*-1</f>
        <v>8400</v>
      </c>
      <c r="AF41" s="1742">
        <f>('[5]Table 2A-2 EFT (Monthly)'!Q40+'[5]Table 2A-2 EFT (Monthly)Aug'!Q40+'[5]Table 2A-2 EFT (Monthly) sep'!Q40+'[5]Table 2A-2 EFT (Monthly)oct'!Q40+'[5]Table 2A-2 EFT (Monthly)oct'!Q40+'[5]Table 2A-2 EFT (Monthly)dec'!Q40+'[5]Table 2A-2 EFT (Monthly)jan'!Q40+'[5]Table 2A-2 EFT (Monthly)feb'!Q40+'[5]Table 2A-2 EFT (Monthly) mar'!Q40+'[5]Table 2A-2 EFT (Monthly)apr'!Q40+'[5]Table 2A-2 EFT (Monthly)'!AT40+'[5]Table 2A-2 EFT (Monthly) mar'!AT40)*-1</f>
        <v>0</v>
      </c>
      <c r="AG41" s="1742">
        <f>('[5]Table 2A-2 EFT (Monthly)'!R40+'[5]Table 2A-2 EFT (Monthly)Aug'!R40+'[5]Table 2A-2 EFT (Monthly) sep'!R40+'[5]Table 2A-2 EFT (Monthly)oct'!R40+'[5]Table 2A-2 EFT (Monthly)oct'!R40+'[5]Table 2A-2 EFT (Monthly)dec'!R40+'[5]Table 2A-2 EFT (Monthly)jan'!R40+'[5]Table 2A-2 EFT (Monthly)feb'!R40+'[5]Table 2A-2 EFT (Monthly) mar'!R40+'[5]Table 2A-2 EFT (Monthly)apr'!R40+'[5]Table 2A-2 EFT (Monthly)'!AU40+'[5]Table 2A-2 EFT (Monthly) mar'!AU40)*-1</f>
        <v>0</v>
      </c>
      <c r="AH41" s="1742">
        <f>('[5]Table 2A-2 EFT (Monthly)'!S40+'[5]Table 2A-2 EFT (Monthly)Aug'!S40+'[5]Table 2A-2 EFT (Monthly) sep'!S40+'[5]Table 2A-2 EFT (Monthly)oct'!S40+'[5]Table 2A-2 EFT (Monthly)oct'!S40+'[5]Table 2A-2 EFT (Monthly)dec'!S40+'[5]Table 2A-2 EFT (Monthly)jan'!S40+'[5]Table 2A-2 EFT (Monthly)feb'!S40+'[5]Table 2A-2 EFT (Monthly) mar'!S40+'[5]Table 2A-2 EFT (Monthly)apr'!S40+'[5]Table 2A-2 EFT (Monthly)'!AV40+'[5]Table 2A-2 EFT (Monthly) mar'!AV40)*-1</f>
        <v>0</v>
      </c>
      <c r="AI41" s="1742">
        <f>('[5]Table 2A-2 EFT (Monthly)'!T40+'[5]Table 2A-2 EFT (Monthly)Aug'!T40+'[5]Table 2A-2 EFT (Monthly) sep'!T40+'[5]Table 2A-2 EFT (Monthly)oct'!T40+'[5]Table 2A-2 EFT (Monthly)oct'!T40+'[5]Table 2A-2 EFT (Monthly)dec'!T40+'[5]Table 2A-2 EFT (Monthly)jan'!T40+'[5]Table 2A-2 EFT (Monthly)feb'!T40+'[5]Table 2A-2 EFT (Monthly) mar'!T40+'[5]Table 2A-2 EFT (Monthly)apr'!T40+'[5]Table 2A-2 EFT (Monthly)'!AW40+'[5]Table 2A-2 EFT (Monthly) mar'!AW40)*-1</f>
        <v>0</v>
      </c>
      <c r="AJ41" s="1742">
        <f>('[5]Table 2A-2 EFT (Monthly)'!U40+'[5]Table 2A-2 EFT (Monthly)Aug'!U40+'[5]Table 2A-2 EFT (Monthly) sep'!U40+'[5]Table 2A-2 EFT (Monthly)oct'!U40+'[5]Table 2A-2 EFT (Monthly)oct'!U40+'[5]Table 2A-2 EFT (Monthly)dec'!U40+'[5]Table 2A-2 EFT (Monthly)jan'!U40+'[5]Table 2A-2 EFT (Monthly)feb'!U40+'[5]Table 2A-2 EFT (Monthly) mar'!U40+'[5]Table 2A-2 EFT (Monthly)apr'!U40+'[5]Table 2A-2 EFT (Monthly)'!AX40+'[5]Table 2A-2 EFT (Monthly) mar'!AX40)*-1</f>
        <v>0</v>
      </c>
      <c r="AK41" s="1742">
        <f>('[5]Table 2A-2 EFT (Monthly)'!V40+'[5]Table 2A-2 EFT (Monthly)Aug'!V40+'[5]Table 2A-2 EFT (Monthly) sep'!V40+'[5]Table 2A-2 EFT (Monthly)oct'!V40+'[5]Table 2A-2 EFT (Monthly)oct'!V40+'[5]Table 2A-2 EFT (Monthly)dec'!V40+'[5]Table 2A-2 EFT (Monthly)jan'!V40+'[5]Table 2A-2 EFT (Monthly)feb'!V40+'[5]Table 2A-2 EFT (Monthly) mar'!V40+'[5]Table 2A-2 EFT (Monthly)apr'!V40+'[5]Table 2A-2 EFT (Monthly)'!AY40+'[5]Table 2A-2 EFT (Monthly) mar'!AY40)*-1</f>
        <v>0</v>
      </c>
      <c r="AL41" s="1742">
        <f>('[5]Table 2A-2 EFT (Monthly)'!W40+'[5]Table 2A-2 EFT (Monthly)Aug'!W40+'[5]Table 2A-2 EFT (Monthly) sep'!W40+'[5]Table 2A-2 EFT (Monthly)oct'!W40+'[5]Table 2A-2 EFT (Monthly)oct'!W40+'[5]Table 2A-2 EFT (Monthly)dec'!W40+'[5]Table 2A-2 EFT (Monthly)jan'!W40+'[5]Table 2A-2 EFT (Monthly)feb'!W40+'[5]Table 2A-2 EFT (Monthly) mar'!W40+'[5]Table 2A-2 EFT (Monthly)apr'!W40+'[5]Table 2A-2 EFT (Monthly)'!AZ40+'[5]Table 2A-2 EFT (Monthly) mar'!AZ40)*-1</f>
        <v>0</v>
      </c>
      <c r="AM41" s="1742">
        <f>('[5]Table 2A-2 EFT (Monthly)'!X40+'[5]Table 2A-2 EFT (Monthly)Aug'!X40+'[5]Table 2A-2 EFT (Monthly) sep'!X40+'[5]Table 2A-2 EFT (Monthly)oct'!X40+'[5]Table 2A-2 EFT (Monthly)oct'!X40+'[5]Table 2A-2 EFT (Monthly)dec'!X40+'[5]Table 2A-2 EFT (Monthly)jan'!X40+'[5]Table 2A-2 EFT (Monthly)feb'!X40+'[5]Table 2A-2 EFT (Monthly) mar'!X40+'[5]Table 2A-2 EFT (Monthly)apr'!X40+'[5]Table 2A-2 EFT (Monthly)'!BA40+'[5]Table 2A-2 EFT (Monthly) mar'!BA40)*-1</f>
        <v>0</v>
      </c>
      <c r="AN41" s="1742">
        <f>('[5]Table 2A-2 EFT (Monthly) sep'!AD40+'[5]Table 2A-2 EFT (Monthly)dec'!AD40+'[5]Table 2A-2 EFT (Monthly)feb'!AD40)*-1</f>
        <v>3056.1374338247374</v>
      </c>
      <c r="AO41" s="1742">
        <f t="shared" si="30"/>
        <v>38584.137433824741</v>
      </c>
      <c r="AP41" s="564">
        <f t="shared" si="31"/>
        <v>5917959.7374338266</v>
      </c>
      <c r="AQ41" s="318">
        <f t="shared" si="32"/>
        <v>2958980</v>
      </c>
      <c r="AR41" s="318">
        <f>'Table 4A Stipends'!G38</f>
        <v>0</v>
      </c>
      <c r="AS41" s="355">
        <f t="shared" si="34"/>
        <v>34715495</v>
      </c>
      <c r="AU41" s="1339">
        <f>('Table 8 2.1.12 MFP Funded'!G38*'Table 3 Levels 1&amp;2'!AP42)+'Table 2_State with Midyear Adjs'!F41</f>
        <v>34633566.092870392</v>
      </c>
      <c r="AV41" s="959">
        <f t="shared" si="35"/>
        <v>81928.907129608095</v>
      </c>
      <c r="AW41" s="280">
        <f t="shared" si="33"/>
        <v>2.3655925846594772E-3</v>
      </c>
    </row>
    <row r="42" spans="1:70" ht="12.75" customHeight="1">
      <c r="A42" s="101">
        <v>36</v>
      </c>
      <c r="B42" s="299" t="s">
        <v>137</v>
      </c>
      <c r="C42" s="309">
        <f>'Table 3 Levels 1&amp;2'!AO43</f>
        <v>174556408.64986092</v>
      </c>
      <c r="D42" s="354">
        <f>'[2]Adjusted Amounts'!$C42</f>
        <v>72547.637439992221</v>
      </c>
      <c r="E42" s="354">
        <f>'[2]Adjusted Amounts'!$H42</f>
        <v>-43254.296528080115</v>
      </c>
      <c r="F42" s="354">
        <f t="shared" si="22"/>
        <v>29293.340911912106</v>
      </c>
      <c r="G42" s="309">
        <f t="shared" si="19"/>
        <v>29293.340911912106</v>
      </c>
      <c r="H42" s="354">
        <f t="shared" si="23"/>
        <v>0</v>
      </c>
      <c r="I42" s="354">
        <f>'[1]Midyear Adjustment Summary'!C40+'[1]Oct midyear Madison Prep'!K42+'[1]Oct midyear DArbonne'!K42+'[1]Oct midyear Intl_VIBE '!K42+'[1]Oct midyear NOMMA'!K42+'[1]Oct midyear LFNO'!K42+'[1]Oct midyear Lake Charles Chtr'!K42+'[1]Oct midyear LA Virtual Admy'!K39+'[1]Oct midyear LA Connections'!K39+'[1]Midyear Adjustment Summary'!$C$116+'[1]Midyear Adjustment Summary'!$C$185</f>
        <v>-4265025.38896708</v>
      </c>
      <c r="J42" s="354">
        <f>'[1]Midyear Adjustment Summary'!D40+'[1]Feb midyear Madison Prep'!K42+'[1]Feb midyear DArbonne'!K42+'[1]Feb midyear Intl_VIBE '!K42+'[1]Feb midyear NOMMA'!K42+'[1]Feb midyear LFNO '!K42+'[1]Feb midyear Lake Charles Ch'!K42+'[1]Feb midyear LA Virtual Admy'!K39+'[1]Feb midyear LA Connections'!K39+'[1]Midyear Adjustment Summary'!$D$116+'[1]Midyear Adjustment Summary'!$D$185</f>
        <v>-40604.939270552524</v>
      </c>
      <c r="K42" s="354">
        <f t="shared" si="24"/>
        <v>-4305630.3282376323</v>
      </c>
      <c r="L42" s="354">
        <f>-'Table 5B1_RSD_Orleans'!L70</f>
        <v>-121241395.29319263</v>
      </c>
      <c r="M42" s="49">
        <f>-'Table 5C1A-Madison Prep'!L42</f>
        <v>0</v>
      </c>
      <c r="N42" s="354">
        <f>-'Table 5C1B-DArbonne'!L42</f>
        <v>0</v>
      </c>
      <c r="O42" s="354">
        <f>-'Table 5C1C-Intl_VIBE'!L42</f>
        <v>-1566606.8034558301</v>
      </c>
      <c r="P42" s="354">
        <f>-'Table 5C1D-NOMMA'!L42</f>
        <v>-431445.18918703345</v>
      </c>
      <c r="Q42" s="354">
        <f>-'Table 5C1E-LFNO'!L42</f>
        <v>-613657.47782427561</v>
      </c>
      <c r="R42" s="354">
        <f>-'Table 5C1F-Lake Charles Charter'!L42</f>
        <v>0</v>
      </c>
      <c r="S42" s="314">
        <f>-'Table 5C2 - LA Virtual Admy'!M40-'Table 5C2 - LA Virtual Admy'!I40</f>
        <v>-239164.81782453696</v>
      </c>
      <c r="T42" s="314">
        <f>-'Table 5C3 - LA Connections EBR'!M40-'Table 5C3 - LA Connections EBR'!I40</f>
        <v>-165041.00690948384</v>
      </c>
      <c r="U42" s="1692">
        <f t="shared" si="25"/>
        <v>-124257310.58839379</v>
      </c>
      <c r="V42" s="563">
        <f t="shared" si="26"/>
        <v>46022761</v>
      </c>
      <c r="W42" s="563">
        <f>[3]MFP!DT43</f>
        <v>38009678</v>
      </c>
      <c r="X42" s="563">
        <f t="shared" si="27"/>
        <v>62000</v>
      </c>
      <c r="Y42" s="563">
        <f>'[4]Table 4B Rewards'!G39</f>
        <v>76084.650000000009</v>
      </c>
      <c r="Z42" s="563">
        <f t="shared" si="28"/>
        <v>38147762.649999999</v>
      </c>
      <c r="AA42" s="1738">
        <f t="shared" si="29"/>
        <v>7874998.3500000015</v>
      </c>
      <c r="AB42" s="1741">
        <f>('[5]Table 2A-2 EFT (Monthly)'!Z41+'[5]Table 2A-2 EFT (Monthly)Aug'!Z41+'[5]Table 2A-2 EFT (Monthly) sep'!Z41+'[5]Table 2A-2 EFT (Monthly)oct'!Z41+'[5]Table 2A-2 EFT (Monthly)oct'!Z41+'[5]Table 2A-2 EFT (Monthly)dec'!Z41+'[5]Table 2A-2 EFT (Monthly)jan'!Z41+'[5]Table 2A-2 EFT (Monthly)feb'!Z41+'[5]Table 2A-2 EFT (Monthly) mar'!Z41+'[5]Table 2A-2 EFT (Monthly)apr'!Z41)*-1</f>
        <v>11242</v>
      </c>
      <c r="AC42" s="1741">
        <f>('[5]Table 2A-2 EFT (Monthly)'!AA41+'[5]Table 2A-2 EFT (Monthly)Aug'!AA41+'[5]Table 2A-2 EFT (Monthly) sep'!AA41+'[5]Table 2A-2 EFT (Monthly)oct'!AA41+'[5]Table 2A-2 EFT (Monthly)oct'!AA41+'[5]Table 2A-2 EFT (Monthly)dec'!AA41+'[5]Table 2A-2 EFT (Monthly)jan'!AA41+'[5]Table 2A-2 EFT (Monthly)feb'!AA41+'[5]Table 2A-2 EFT (Monthly) mar'!AA41+'[5]Table 2A-2 EFT (Monthly)apr'!AA41)*-1</f>
        <v>97174</v>
      </c>
      <c r="AD42" s="1741">
        <f>('[5]Table 2A-2 EFT (Monthly)'!AB41+'[5]Table 2A-2 EFT (Monthly)Aug'!AB41+'[5]Table 2A-2 EFT (Monthly) sep'!AB41+'[5]Table 2A-2 EFT (Monthly)oct'!AB41+'[5]Table 2A-2 EFT (Monthly)oct'!AB41+'[5]Table 2A-2 EFT (Monthly)dec'!AB41+'[5]Table 2A-2 EFT (Monthly)jan'!AB41+'[5]Table 2A-2 EFT (Monthly)feb'!AB41+'[5]Table 2A-2 EFT (Monthly) mar'!AB41+'[5]Table 2A-2 EFT (Monthly)apr'!AB41)*-1</f>
        <v>36458</v>
      </c>
      <c r="AE42" s="1741">
        <f>('[5]Table 2A-2 EFT (Monthly)'!AC41+'[5]Table 2A-2 EFT (Monthly)Aug'!AC41+'[5]Table 2A-2 EFT (Monthly) sep'!AC41+'[5]Table 2A-2 EFT (Monthly)oct'!AC41+'[5]Table 2A-2 EFT (Monthly)oct'!AC41+'[5]Table 2A-2 EFT (Monthly)dec'!AC41+'[5]Table 2A-2 EFT (Monthly)jan'!AC41+'[5]Table 2A-2 EFT (Monthly)feb'!AC41+'[5]Table 2A-2 EFT (Monthly) mar'!AC41+'[5]Table 2A-2 EFT (Monthly)apr'!AC41)*-1</f>
        <v>115802</v>
      </c>
      <c r="AF42" s="1741">
        <f>('[5]Table 2A-2 EFT (Monthly)'!Q41+'[5]Table 2A-2 EFT (Monthly)Aug'!Q41+'[5]Table 2A-2 EFT (Monthly) sep'!Q41+'[5]Table 2A-2 EFT (Monthly)oct'!Q41+'[5]Table 2A-2 EFT (Monthly)oct'!Q41+'[5]Table 2A-2 EFT (Monthly)dec'!Q41+'[5]Table 2A-2 EFT (Monthly)jan'!Q41+'[5]Table 2A-2 EFT (Monthly)feb'!Q41+'[5]Table 2A-2 EFT (Monthly) mar'!Q41+'[5]Table 2A-2 EFT (Monthly)apr'!Q41+'[5]Table 2A-2 EFT (Monthly)'!AT41+'[5]Table 2A-2 EFT (Monthly) mar'!AT41)*-1</f>
        <v>0</v>
      </c>
      <c r="AG42" s="1741">
        <f>('[5]Table 2A-2 EFT (Monthly)'!R41+'[5]Table 2A-2 EFT (Monthly)Aug'!R41+'[5]Table 2A-2 EFT (Monthly) sep'!R41+'[5]Table 2A-2 EFT (Monthly)oct'!R41+'[5]Table 2A-2 EFT (Monthly)oct'!R41+'[5]Table 2A-2 EFT (Monthly)dec'!R41+'[5]Table 2A-2 EFT (Monthly)jan'!R41+'[5]Table 2A-2 EFT (Monthly)feb'!R41+'[5]Table 2A-2 EFT (Monthly) mar'!R41+'[5]Table 2A-2 EFT (Monthly)apr'!R41+'[5]Table 2A-2 EFT (Monthly)'!AU41+'[5]Table 2A-2 EFT (Monthly) mar'!AU41)*-1</f>
        <v>0</v>
      </c>
      <c r="AH42" s="1741">
        <f>('[5]Table 2A-2 EFT (Monthly)'!S41+'[5]Table 2A-2 EFT (Monthly)Aug'!S41+'[5]Table 2A-2 EFT (Monthly) sep'!S41+'[5]Table 2A-2 EFT (Monthly)oct'!S41+'[5]Table 2A-2 EFT (Monthly)oct'!S41+'[5]Table 2A-2 EFT (Monthly)dec'!S41+'[5]Table 2A-2 EFT (Monthly)jan'!S41+'[5]Table 2A-2 EFT (Monthly)feb'!S41+'[5]Table 2A-2 EFT (Monthly) mar'!S41+'[5]Table 2A-2 EFT (Monthly)apr'!S41+'[5]Table 2A-2 EFT (Monthly)'!AV41+'[5]Table 2A-2 EFT (Monthly) mar'!AV41)*-1</f>
        <v>1581989.575</v>
      </c>
      <c r="AI42" s="1741">
        <f>('[5]Table 2A-2 EFT (Monthly)'!T41+'[5]Table 2A-2 EFT (Monthly)Aug'!T41+'[5]Table 2A-2 EFT (Monthly) sep'!T41+'[5]Table 2A-2 EFT (Monthly)oct'!T41+'[5]Table 2A-2 EFT (Monthly)oct'!T41+'[5]Table 2A-2 EFT (Monthly)dec'!T41+'[5]Table 2A-2 EFT (Monthly)jan'!T41+'[5]Table 2A-2 EFT (Monthly)feb'!T41+'[5]Table 2A-2 EFT (Monthly) mar'!T41+'[5]Table 2A-2 EFT (Monthly)apr'!T41+'[5]Table 2A-2 EFT (Monthly)'!AW41+'[5]Table 2A-2 EFT (Monthly) mar'!AW41)*-1</f>
        <v>0</v>
      </c>
      <c r="AJ42" s="1741">
        <f>('[5]Table 2A-2 EFT (Monthly)'!U41+'[5]Table 2A-2 EFT (Monthly)Aug'!U41+'[5]Table 2A-2 EFT (Monthly) sep'!U41+'[5]Table 2A-2 EFT (Monthly)oct'!U41+'[5]Table 2A-2 EFT (Monthly)oct'!U41+'[5]Table 2A-2 EFT (Monthly)dec'!U41+'[5]Table 2A-2 EFT (Monthly)jan'!U41+'[5]Table 2A-2 EFT (Monthly)feb'!U41+'[5]Table 2A-2 EFT (Monthly) mar'!U41+'[5]Table 2A-2 EFT (Monthly)apr'!U41+'[5]Table 2A-2 EFT (Monthly)'!AX41+'[5]Table 2A-2 EFT (Monthly) mar'!AX41)*-1</f>
        <v>0</v>
      </c>
      <c r="AK42" s="1741">
        <f>('[5]Table 2A-2 EFT (Monthly)'!V41+'[5]Table 2A-2 EFT (Monthly)Aug'!V41+'[5]Table 2A-2 EFT (Monthly) sep'!V41+'[5]Table 2A-2 EFT (Monthly)oct'!V41+'[5]Table 2A-2 EFT (Monthly)oct'!V41+'[5]Table 2A-2 EFT (Monthly)dec'!V41+'[5]Table 2A-2 EFT (Monthly)jan'!V41+'[5]Table 2A-2 EFT (Monthly)feb'!V41+'[5]Table 2A-2 EFT (Monthly) mar'!V41+'[5]Table 2A-2 EFT (Monthly)apr'!V41+'[5]Table 2A-2 EFT (Monthly)'!AY41+'[5]Table 2A-2 EFT (Monthly) mar'!AY41)*-1</f>
        <v>1275281.8150000002</v>
      </c>
      <c r="AL42" s="1741">
        <f>('[5]Table 2A-2 EFT (Monthly)'!W41+'[5]Table 2A-2 EFT (Monthly)Aug'!W41+'[5]Table 2A-2 EFT (Monthly) sep'!W41+'[5]Table 2A-2 EFT (Monthly)oct'!W41+'[5]Table 2A-2 EFT (Monthly)oct'!W41+'[5]Table 2A-2 EFT (Monthly)dec'!W41+'[5]Table 2A-2 EFT (Monthly)jan'!W41+'[5]Table 2A-2 EFT (Monthly)feb'!W41+'[5]Table 2A-2 EFT (Monthly) mar'!W41+'[5]Table 2A-2 EFT (Monthly)apr'!W41+'[5]Table 2A-2 EFT (Monthly)'!AZ41+'[5]Table 2A-2 EFT (Monthly) mar'!AZ41)*-1</f>
        <v>0</v>
      </c>
      <c r="AM42" s="1741">
        <f>('[5]Table 2A-2 EFT (Monthly)'!X41+'[5]Table 2A-2 EFT (Monthly)Aug'!X41+'[5]Table 2A-2 EFT (Monthly) sep'!X41+'[5]Table 2A-2 EFT (Monthly)oct'!X41+'[5]Table 2A-2 EFT (Monthly)oct'!X41+'[5]Table 2A-2 EFT (Monthly)dec'!X41+'[5]Table 2A-2 EFT (Monthly)jan'!X41+'[5]Table 2A-2 EFT (Monthly)feb'!X41+'[5]Table 2A-2 EFT (Monthly) mar'!X41+'[5]Table 2A-2 EFT (Monthly)apr'!X41+'[5]Table 2A-2 EFT (Monthly)'!BA41+'[5]Table 2A-2 EFT (Monthly) mar'!BA41)*-1</f>
        <v>515314.82749999996</v>
      </c>
      <c r="AN42" s="1741">
        <f>('[5]Table 2A-2 EFT (Monthly) sep'!AD41+'[5]Table 2A-2 EFT (Monthly)dec'!AD41+'[5]Table 2A-2 EFT (Monthly)feb'!AD41)*-1</f>
        <v>5027923.9685896561</v>
      </c>
      <c r="AO42" s="1741">
        <f t="shared" si="30"/>
        <v>8661186.1860896572</v>
      </c>
      <c r="AP42" s="563">
        <f t="shared" si="31"/>
        <v>16536184.536089659</v>
      </c>
      <c r="AQ42" s="309">
        <f t="shared" si="32"/>
        <v>8268092</v>
      </c>
      <c r="AR42" s="309">
        <f>'Table 4A Stipends'!G39</f>
        <v>62000</v>
      </c>
      <c r="AS42" s="354">
        <f t="shared" si="34"/>
        <v>46084761</v>
      </c>
      <c r="AU42" s="1339">
        <f>('Table 8 2.1.12 MFP Funded'!G39*'Table 3 Levels 1&amp;2'!AP43)+'Table 2_State with Midyear Adjs'!F42</f>
        <v>44544565.123678684</v>
      </c>
      <c r="AV42" s="959">
        <f t="shared" si="35"/>
        <v>1478195.8763213158</v>
      </c>
      <c r="AW42" s="280">
        <f t="shared" si="33"/>
        <v>3.318465164531479E-2</v>
      </c>
      <c r="AX42" s="1823" t="s">
        <v>296</v>
      </c>
      <c r="AY42" s="1824"/>
      <c r="AZ42" s="1824"/>
      <c r="BA42" s="1824"/>
      <c r="BB42" s="1824"/>
      <c r="BC42" s="1824"/>
      <c r="BD42" s="1824"/>
      <c r="BE42" s="1824"/>
      <c r="BF42" s="1824"/>
      <c r="BG42" s="1824"/>
      <c r="BH42" s="1824"/>
      <c r="BI42" s="1824"/>
      <c r="BJ42" s="1824"/>
      <c r="BK42" s="1824"/>
      <c r="BL42" s="1824"/>
      <c r="BM42" s="1824"/>
      <c r="BN42" s="1824"/>
      <c r="BO42" s="1824"/>
      <c r="BP42" s="1824"/>
      <c r="BQ42" s="1824"/>
      <c r="BR42" s="1824"/>
    </row>
    <row r="43" spans="1:70">
      <c r="A43" s="101">
        <v>37</v>
      </c>
      <c r="B43" s="299" t="s">
        <v>138</v>
      </c>
      <c r="C43" s="309">
        <f>'Table 3 Levels 1&amp;2'!AO44</f>
        <v>118369676.2262976</v>
      </c>
      <c r="D43" s="354">
        <f>'[2]Adjusted Amounts'!$C43</f>
        <v>27442.238034423674</v>
      </c>
      <c r="E43" s="354">
        <f>'[2]Adjusted Amounts'!$H43</f>
        <v>-163665.13745430135</v>
      </c>
      <c r="F43" s="354">
        <f t="shared" si="22"/>
        <v>-136222.89941987768</v>
      </c>
      <c r="G43" s="309">
        <f t="shared" si="19"/>
        <v>0</v>
      </c>
      <c r="H43" s="354">
        <f t="shared" si="23"/>
        <v>-136222.89941987768</v>
      </c>
      <c r="I43" s="354">
        <f>'[1]Midyear Adjustment Summary'!C41+'[1]Oct midyear Madison Prep'!K43+'[1]Oct midyear DArbonne'!K43+'[1]Oct midyear Intl_VIBE '!K43+'[1]Oct midyear NOMMA'!K43+'[1]Oct midyear LFNO'!K43+'[1]Oct midyear Lake Charles Chtr'!K43+'[1]Oct midyear LA Virtual Admy'!K40+'[1]Oct midyear LA Connections'!K40</f>
        <v>2186630.92419719</v>
      </c>
      <c r="J43" s="354">
        <f>'[1]Midyear Adjustment Summary'!D41+'[1]Feb midyear Madison Prep'!K43+'[1]Feb midyear DArbonne'!K43+'[1]Feb midyear Intl_VIBE '!K43+'[1]Feb midyear NOMMA'!K43+'[1]Feb midyear LFNO '!K43+'[1]Feb midyear Lake Charles Ch'!K43+'[1]Feb midyear LA Virtual Admy'!K40+'[1]Feb midyear LA Connections'!K40</f>
        <v>9525.7952009714536</v>
      </c>
      <c r="K43" s="354">
        <f t="shared" si="24"/>
        <v>2196156.7193981614</v>
      </c>
      <c r="L43" s="354"/>
      <c r="M43" s="49">
        <f>-'Table 5C1A-Madison Prep'!L43</f>
        <v>0</v>
      </c>
      <c r="N43" s="354">
        <f>-'Table 5C1B-DArbonne'!L43</f>
        <v>-24582.697292829573</v>
      </c>
      <c r="O43" s="354">
        <f>-'Table 5C1C-Intl_VIBE'!L43</f>
        <v>0</v>
      </c>
      <c r="P43" s="354">
        <f>-'Table 5C1D-NOMMA'!L43</f>
        <v>0</v>
      </c>
      <c r="Q43" s="354">
        <f>-'Table 5C1E-LFNO'!L43</f>
        <v>0</v>
      </c>
      <c r="R43" s="354">
        <f>-'Table 5C1F-Lake Charles Charter'!L43</f>
        <v>0</v>
      </c>
      <c r="S43" s="314">
        <f>-'Table 5C2 - LA Virtual Admy'!M41-'Table 5C2 - LA Virtual Admy'!I41</f>
        <v>-231110.47013339982</v>
      </c>
      <c r="T43" s="314">
        <f>-'Table 5C3 - LA Connections EBR'!M41-'Table 5C3 - LA Connections EBR'!I41</f>
        <v>-116114.20214094047</v>
      </c>
      <c r="U43" s="1692">
        <f t="shared" si="25"/>
        <v>-371807.36956716987</v>
      </c>
      <c r="V43" s="563">
        <f t="shared" si="26"/>
        <v>120057803</v>
      </c>
      <c r="W43" s="563">
        <f>[3]MFP!DT44</f>
        <v>99150486</v>
      </c>
      <c r="X43" s="563">
        <f t="shared" si="27"/>
        <v>0</v>
      </c>
      <c r="Y43" s="563">
        <f>'[4]Table 4B Rewards'!G40</f>
        <v>160623.15000000005</v>
      </c>
      <c r="Z43" s="563">
        <f t="shared" si="28"/>
        <v>99311109.150000006</v>
      </c>
      <c r="AA43" s="1738">
        <f t="shared" si="29"/>
        <v>20746693.849999994</v>
      </c>
      <c r="AB43" s="1741">
        <f>('[5]Table 2A-2 EFT (Monthly)'!Z42+'[5]Table 2A-2 EFT (Monthly)Aug'!Z42+'[5]Table 2A-2 EFT (Monthly) sep'!Z42+'[5]Table 2A-2 EFT (Monthly)oct'!Z42+'[5]Table 2A-2 EFT (Monthly)oct'!Z42+'[5]Table 2A-2 EFT (Monthly)dec'!Z42+'[5]Table 2A-2 EFT (Monthly)jan'!Z42+'[5]Table 2A-2 EFT (Monthly)feb'!Z42+'[5]Table 2A-2 EFT (Monthly) mar'!Z42+'[5]Table 2A-2 EFT (Monthly)apr'!Z42)*-1</f>
        <v>5814</v>
      </c>
      <c r="AC43" s="1741">
        <f>('[5]Table 2A-2 EFT (Monthly)'!AA42+'[5]Table 2A-2 EFT (Monthly)Aug'!AA42+'[5]Table 2A-2 EFT (Monthly) sep'!AA42+'[5]Table 2A-2 EFT (Monthly)oct'!AA42+'[5]Table 2A-2 EFT (Monthly)oct'!AA42+'[5]Table 2A-2 EFT (Monthly)dec'!AA42+'[5]Table 2A-2 EFT (Monthly)jan'!AA42+'[5]Table 2A-2 EFT (Monthly)feb'!AA42+'[5]Table 2A-2 EFT (Monthly) mar'!AA42+'[5]Table 2A-2 EFT (Monthly)apr'!AA42)*-1</f>
        <v>0</v>
      </c>
      <c r="AD43" s="1741">
        <f>('[5]Table 2A-2 EFT (Monthly)'!AB42+'[5]Table 2A-2 EFT (Monthly)Aug'!AB42+'[5]Table 2A-2 EFT (Monthly) sep'!AB42+'[5]Table 2A-2 EFT (Monthly)oct'!AB42+'[5]Table 2A-2 EFT (Monthly)oct'!AB42+'[5]Table 2A-2 EFT (Monthly)dec'!AB42+'[5]Table 2A-2 EFT (Monthly)jan'!AB42+'[5]Table 2A-2 EFT (Monthly)feb'!AB42+'[5]Table 2A-2 EFT (Monthly) mar'!AB42+'[5]Table 2A-2 EFT (Monthly)apr'!AB42)*-1</f>
        <v>9298</v>
      </c>
      <c r="AE43" s="1741">
        <f>('[5]Table 2A-2 EFT (Monthly)'!AC42+'[5]Table 2A-2 EFT (Monthly)Aug'!AC42+'[5]Table 2A-2 EFT (Monthly) sep'!AC42+'[5]Table 2A-2 EFT (Monthly)oct'!AC42+'[5]Table 2A-2 EFT (Monthly)oct'!AC42+'[5]Table 2A-2 EFT (Monthly)dec'!AC42+'[5]Table 2A-2 EFT (Monthly)jan'!AC42+'[5]Table 2A-2 EFT (Monthly)feb'!AC42+'[5]Table 2A-2 EFT (Monthly) mar'!AC42+'[5]Table 2A-2 EFT (Monthly)apr'!AC42)*-1</f>
        <v>22414</v>
      </c>
      <c r="AF43" s="1741">
        <f>('[5]Table 2A-2 EFT (Monthly)'!Q42+'[5]Table 2A-2 EFT (Monthly)Aug'!Q42+'[5]Table 2A-2 EFT (Monthly) sep'!Q42+'[5]Table 2A-2 EFT (Monthly)oct'!Q42+'[5]Table 2A-2 EFT (Monthly)oct'!Q42+'[5]Table 2A-2 EFT (Monthly)dec'!Q42+'[5]Table 2A-2 EFT (Monthly)jan'!Q42+'[5]Table 2A-2 EFT (Monthly)feb'!Q42+'[5]Table 2A-2 EFT (Monthly) mar'!Q42+'[5]Table 2A-2 EFT (Monthly)apr'!Q42+'[5]Table 2A-2 EFT (Monthly)'!AT42+'[5]Table 2A-2 EFT (Monthly) mar'!AT42)*-1</f>
        <v>343172.9325</v>
      </c>
      <c r="AG43" s="1741">
        <f>('[5]Table 2A-2 EFT (Monthly)'!R42+'[5]Table 2A-2 EFT (Monthly)Aug'!R42+'[5]Table 2A-2 EFT (Monthly) sep'!R42+'[5]Table 2A-2 EFT (Monthly)oct'!R42+'[5]Table 2A-2 EFT (Monthly)oct'!R42+'[5]Table 2A-2 EFT (Monthly)dec'!R42+'[5]Table 2A-2 EFT (Monthly)jan'!R42+'[5]Table 2A-2 EFT (Monthly)feb'!R42+'[5]Table 2A-2 EFT (Monthly) mar'!R42+'[5]Table 2A-2 EFT (Monthly)apr'!R42+'[5]Table 2A-2 EFT (Monthly)'!AU42+'[5]Table 2A-2 EFT (Monthly) mar'!AU42)*-1</f>
        <v>0</v>
      </c>
      <c r="AH43" s="1741">
        <f>('[5]Table 2A-2 EFT (Monthly)'!S42+'[5]Table 2A-2 EFT (Monthly)Aug'!S42+'[5]Table 2A-2 EFT (Monthly) sep'!S42+'[5]Table 2A-2 EFT (Monthly)oct'!S42+'[5]Table 2A-2 EFT (Monthly)oct'!S42+'[5]Table 2A-2 EFT (Monthly)dec'!S42+'[5]Table 2A-2 EFT (Monthly)jan'!S42+'[5]Table 2A-2 EFT (Monthly)feb'!S42+'[5]Table 2A-2 EFT (Monthly) mar'!S42+'[5]Table 2A-2 EFT (Monthly)apr'!S42+'[5]Table 2A-2 EFT (Monthly)'!AV42+'[5]Table 2A-2 EFT (Monthly) mar'!AV42)*-1</f>
        <v>0</v>
      </c>
      <c r="AI43" s="1741">
        <f>('[5]Table 2A-2 EFT (Monthly)'!T42+'[5]Table 2A-2 EFT (Monthly)Aug'!T42+'[5]Table 2A-2 EFT (Monthly) sep'!T42+'[5]Table 2A-2 EFT (Monthly)oct'!T42+'[5]Table 2A-2 EFT (Monthly)oct'!T42+'[5]Table 2A-2 EFT (Monthly)dec'!T42+'[5]Table 2A-2 EFT (Monthly)jan'!T42+'[5]Table 2A-2 EFT (Monthly)feb'!T42+'[5]Table 2A-2 EFT (Monthly) mar'!T42+'[5]Table 2A-2 EFT (Monthly)apr'!T42+'[5]Table 2A-2 EFT (Monthly)'!AW42+'[5]Table 2A-2 EFT (Monthly) mar'!AW42)*-1</f>
        <v>0</v>
      </c>
      <c r="AJ43" s="1741">
        <f>('[5]Table 2A-2 EFT (Monthly)'!U42+'[5]Table 2A-2 EFT (Monthly)Aug'!U42+'[5]Table 2A-2 EFT (Monthly) sep'!U42+'[5]Table 2A-2 EFT (Monthly)oct'!U42+'[5]Table 2A-2 EFT (Monthly)oct'!U42+'[5]Table 2A-2 EFT (Monthly)dec'!U42+'[5]Table 2A-2 EFT (Monthly)jan'!U42+'[5]Table 2A-2 EFT (Monthly)feb'!U42+'[5]Table 2A-2 EFT (Monthly) mar'!U42+'[5]Table 2A-2 EFT (Monthly)apr'!U42+'[5]Table 2A-2 EFT (Monthly)'!AX42+'[5]Table 2A-2 EFT (Monthly) mar'!AX42)*-1</f>
        <v>3883.3687500000001</v>
      </c>
      <c r="AK43" s="1741">
        <f>('[5]Table 2A-2 EFT (Monthly)'!V42+'[5]Table 2A-2 EFT (Monthly)Aug'!V42+'[5]Table 2A-2 EFT (Monthly) sep'!V42+'[5]Table 2A-2 EFT (Monthly)oct'!V42+'[5]Table 2A-2 EFT (Monthly)oct'!V42+'[5]Table 2A-2 EFT (Monthly)dec'!V42+'[5]Table 2A-2 EFT (Monthly)jan'!V42+'[5]Table 2A-2 EFT (Monthly)feb'!V42+'[5]Table 2A-2 EFT (Monthly) mar'!V42+'[5]Table 2A-2 EFT (Monthly)apr'!V42+'[5]Table 2A-2 EFT (Monthly)'!AY42+'[5]Table 2A-2 EFT (Monthly) mar'!AY42)*-1</f>
        <v>0</v>
      </c>
      <c r="AL43" s="1741">
        <f>('[5]Table 2A-2 EFT (Monthly)'!W42+'[5]Table 2A-2 EFT (Monthly)Aug'!W42+'[5]Table 2A-2 EFT (Monthly) sep'!W42+'[5]Table 2A-2 EFT (Monthly)oct'!W42+'[5]Table 2A-2 EFT (Monthly)oct'!W42+'[5]Table 2A-2 EFT (Monthly)dec'!W42+'[5]Table 2A-2 EFT (Monthly)jan'!W42+'[5]Table 2A-2 EFT (Monthly)feb'!W42+'[5]Table 2A-2 EFT (Monthly) mar'!W42+'[5]Table 2A-2 EFT (Monthly)apr'!W42+'[5]Table 2A-2 EFT (Monthly)'!AZ42+'[5]Table 2A-2 EFT (Monthly) mar'!AZ42)*-1</f>
        <v>0</v>
      </c>
      <c r="AM43" s="1741">
        <f>('[5]Table 2A-2 EFT (Monthly)'!X42+'[5]Table 2A-2 EFT (Monthly)Aug'!X42+'[5]Table 2A-2 EFT (Monthly) sep'!X42+'[5]Table 2A-2 EFT (Monthly)oct'!X42+'[5]Table 2A-2 EFT (Monthly)oct'!X42+'[5]Table 2A-2 EFT (Monthly)dec'!X42+'[5]Table 2A-2 EFT (Monthly)jan'!X42+'[5]Table 2A-2 EFT (Monthly)feb'!X42+'[5]Table 2A-2 EFT (Monthly) mar'!X42+'[5]Table 2A-2 EFT (Monthly)apr'!X42+'[5]Table 2A-2 EFT (Monthly)'!BA42+'[5]Table 2A-2 EFT (Monthly) mar'!BA42)*-1</f>
        <v>0</v>
      </c>
      <c r="AN43" s="1741">
        <f>('[5]Table 2A-2 EFT (Monthly) sep'!AD42+'[5]Table 2A-2 EFT (Monthly)dec'!AD42+'[5]Table 2A-2 EFT (Monthly)feb'!AD42)*-1</f>
        <v>69732.026148740144</v>
      </c>
      <c r="AO43" s="1741">
        <f t="shared" si="30"/>
        <v>454314.32739874016</v>
      </c>
      <c r="AP43" s="563">
        <f t="shared" si="31"/>
        <v>21201008.177398734</v>
      </c>
      <c r="AQ43" s="309">
        <f t="shared" si="32"/>
        <v>10600504</v>
      </c>
      <c r="AR43" s="309">
        <f>'Table 4A Stipends'!G40</f>
        <v>0</v>
      </c>
      <c r="AS43" s="354">
        <f t="shared" si="34"/>
        <v>120057803</v>
      </c>
      <c r="AT43" s="565"/>
      <c r="AU43" s="1340">
        <f>('Table 8 2.1.12 MFP Funded'!G40*'Table 3 Levels 1&amp;2'!AP44)+'Table 2_State with Midyear Adjs'!F43</f>
        <v>117993776.39562672</v>
      </c>
      <c r="AV43" s="1337">
        <f t="shared" si="35"/>
        <v>2064026.6043732762</v>
      </c>
      <c r="AW43" s="1335">
        <f t="shared" ref="AW43:AW75" si="36">AV43/AU43</f>
        <v>1.7492673490275515E-2</v>
      </c>
      <c r="AX43" s="566"/>
      <c r="AY43" s="566"/>
    </row>
    <row r="44" spans="1:70">
      <c r="A44" s="101">
        <v>38</v>
      </c>
      <c r="B44" s="299" t="s">
        <v>139</v>
      </c>
      <c r="C44" s="309">
        <f>'Table 3 Levels 1&amp;2'!AO45</f>
        <v>11753467.312000001</v>
      </c>
      <c r="D44" s="354">
        <f>'[2]Adjusted Amounts'!$C44</f>
        <v>-10069.452945205478</v>
      </c>
      <c r="E44" s="354">
        <f>'[2]Adjusted Amounts'!$H44</f>
        <v>-8831.5543560959377</v>
      </c>
      <c r="F44" s="354">
        <f t="shared" si="22"/>
        <v>-18901.007301301415</v>
      </c>
      <c r="G44" s="309">
        <f t="shared" si="19"/>
        <v>0</v>
      </c>
      <c r="H44" s="354">
        <f t="shared" si="23"/>
        <v>-18901.007301301415</v>
      </c>
      <c r="I44" s="354">
        <f>'[1]Midyear Adjustment Summary'!C42+'[1]Oct midyear Madison Prep'!K44+'[1]Oct midyear DArbonne'!K44+'[1]Oct midyear Intl_VIBE '!K44+'[1]Oct midyear NOMMA'!K44+'[1]Oct midyear LFNO'!K44+'[1]Oct midyear Lake Charles Chtr'!K44+'[1]Oct midyear LA Virtual Admy'!K41+'[1]Oct midyear LA Connections'!K41</f>
        <v>207622.31236818305</v>
      </c>
      <c r="J44" s="354">
        <f>'[1]Midyear Adjustment Summary'!D42+'[1]Feb midyear Madison Prep'!K44+'[1]Feb midyear DArbonne'!K44+'[1]Feb midyear Intl_VIBE '!K44+'[1]Feb midyear NOMMA'!K44+'[1]Feb midyear LFNO '!K44+'[1]Feb midyear Lake Charles Ch'!K44+'[1]Feb midyear LA Virtual Admy'!K41+'[1]Feb midyear LA Connections'!K41</f>
        <v>-24702.052224527801</v>
      </c>
      <c r="K44" s="354">
        <f t="shared" si="24"/>
        <v>182920.26014365524</v>
      </c>
      <c r="L44" s="354"/>
      <c r="M44" s="49">
        <f>-'Table 5C1A-Madison Prep'!L44</f>
        <v>0</v>
      </c>
      <c r="N44" s="354">
        <f>-'Table 5C1B-DArbonne'!L44</f>
        <v>0</v>
      </c>
      <c r="O44" s="354">
        <f>-'Table 5C1C-Intl_VIBE'!L44</f>
        <v>0</v>
      </c>
      <c r="P44" s="354">
        <f>-'Table 5C1D-NOMMA'!L44</f>
        <v>-25014.736429901572</v>
      </c>
      <c r="Q44" s="354">
        <f>-'Table 5C1E-LFNO'!L44</f>
        <v>-9380.5261612130889</v>
      </c>
      <c r="R44" s="354">
        <f>-'Table 5C1F-Lake Charles Charter'!L44</f>
        <v>0</v>
      </c>
      <c r="S44" s="314">
        <f>-'Table 5C2 - LA Virtual Admy'!M42-'Table 5C2 - LA Virtual Admy'!I42</f>
        <v>-12175.400214950785</v>
      </c>
      <c r="T44" s="314">
        <f>-'Table 5C3 - LA Connections EBR'!M42-'Table 5C3 - LA Connections EBR'!I42</f>
        <v>-14070.789241819635</v>
      </c>
      <c r="U44" s="1692">
        <f t="shared" si="25"/>
        <v>-60641.452047885083</v>
      </c>
      <c r="V44" s="563">
        <f t="shared" si="26"/>
        <v>11856845</v>
      </c>
      <c r="W44" s="563">
        <f>[3]MFP!DT45</f>
        <v>9498283</v>
      </c>
      <c r="X44" s="563">
        <f t="shared" si="27"/>
        <v>8000</v>
      </c>
      <c r="Y44" s="563">
        <f>'[4]Table 4B Rewards'!G41</f>
        <v>50723.1</v>
      </c>
      <c r="Z44" s="563">
        <f t="shared" si="28"/>
        <v>9557006.0999999996</v>
      </c>
      <c r="AA44" s="1738">
        <f t="shared" si="29"/>
        <v>2299838.9000000004</v>
      </c>
      <c r="AB44" s="1741">
        <f>('[5]Table 2A-2 EFT (Monthly)'!Z43+'[5]Table 2A-2 EFT (Monthly)Aug'!Z43+'[5]Table 2A-2 EFT (Monthly) sep'!Z43+'[5]Table 2A-2 EFT (Monthly)oct'!Z43+'[5]Table 2A-2 EFT (Monthly)oct'!Z43+'[5]Table 2A-2 EFT (Monthly)dec'!Z43+'[5]Table 2A-2 EFT (Monthly)jan'!Z43+'[5]Table 2A-2 EFT (Monthly)feb'!Z43+'[5]Table 2A-2 EFT (Monthly) mar'!Z43+'[5]Table 2A-2 EFT (Monthly)apr'!Z43)*-1</f>
        <v>7232</v>
      </c>
      <c r="AC44" s="1741">
        <f>('[5]Table 2A-2 EFT (Monthly)'!AA43+'[5]Table 2A-2 EFT (Monthly)Aug'!AA43+'[5]Table 2A-2 EFT (Monthly) sep'!AA43+'[5]Table 2A-2 EFT (Monthly)oct'!AA43+'[5]Table 2A-2 EFT (Monthly)oct'!AA43+'[5]Table 2A-2 EFT (Monthly)dec'!AA43+'[5]Table 2A-2 EFT (Monthly)jan'!AA43+'[5]Table 2A-2 EFT (Monthly)feb'!AA43+'[5]Table 2A-2 EFT (Monthly) mar'!AA43+'[5]Table 2A-2 EFT (Monthly)apr'!AA43)*-1</f>
        <v>1886</v>
      </c>
      <c r="AD44" s="1741">
        <f>('[5]Table 2A-2 EFT (Monthly)'!AB43+'[5]Table 2A-2 EFT (Monthly)Aug'!AB43+'[5]Table 2A-2 EFT (Monthly) sep'!AB43+'[5]Table 2A-2 EFT (Monthly)oct'!AB43+'[5]Table 2A-2 EFT (Monthly)oct'!AB43+'[5]Table 2A-2 EFT (Monthly)dec'!AB43+'[5]Table 2A-2 EFT (Monthly)jan'!AB43+'[5]Table 2A-2 EFT (Monthly)feb'!AB43+'[5]Table 2A-2 EFT (Monthly) mar'!AB43+'[5]Table 2A-2 EFT (Monthly)apr'!AB43)*-1</f>
        <v>0</v>
      </c>
      <c r="AE44" s="1741">
        <f>('[5]Table 2A-2 EFT (Monthly)'!AC43+'[5]Table 2A-2 EFT (Monthly)Aug'!AC43+'[5]Table 2A-2 EFT (Monthly) sep'!AC43+'[5]Table 2A-2 EFT (Monthly)oct'!AC43+'[5]Table 2A-2 EFT (Monthly)oct'!AC43+'[5]Table 2A-2 EFT (Monthly)dec'!AC43+'[5]Table 2A-2 EFT (Monthly)jan'!AC43+'[5]Table 2A-2 EFT (Monthly)feb'!AC43+'[5]Table 2A-2 EFT (Monthly) mar'!AC43+'[5]Table 2A-2 EFT (Monthly)apr'!AC43)*-1</f>
        <v>0</v>
      </c>
      <c r="AF44" s="1741">
        <f>('[5]Table 2A-2 EFT (Monthly)'!Q43+'[5]Table 2A-2 EFT (Monthly)Aug'!Q43+'[5]Table 2A-2 EFT (Monthly) sep'!Q43+'[5]Table 2A-2 EFT (Monthly)oct'!Q43+'[5]Table 2A-2 EFT (Monthly)oct'!Q43+'[5]Table 2A-2 EFT (Monthly)dec'!Q43+'[5]Table 2A-2 EFT (Monthly)jan'!Q43+'[5]Table 2A-2 EFT (Monthly)feb'!Q43+'[5]Table 2A-2 EFT (Monthly) mar'!Q43+'[5]Table 2A-2 EFT (Monthly)apr'!Q43+'[5]Table 2A-2 EFT (Monthly)'!AT43+'[5]Table 2A-2 EFT (Monthly) mar'!AT43)*-1</f>
        <v>0</v>
      </c>
      <c r="AG44" s="1741">
        <f>('[5]Table 2A-2 EFT (Monthly)'!R43+'[5]Table 2A-2 EFT (Monthly)Aug'!R43+'[5]Table 2A-2 EFT (Monthly) sep'!R43+'[5]Table 2A-2 EFT (Monthly)oct'!R43+'[5]Table 2A-2 EFT (Monthly)oct'!R43+'[5]Table 2A-2 EFT (Monthly)dec'!R43+'[5]Table 2A-2 EFT (Monthly)jan'!R43+'[5]Table 2A-2 EFT (Monthly)feb'!R43+'[5]Table 2A-2 EFT (Monthly) mar'!R43+'[5]Table 2A-2 EFT (Monthly)apr'!R43+'[5]Table 2A-2 EFT (Monthly)'!AU43+'[5]Table 2A-2 EFT (Monthly) mar'!AU43)*-1</f>
        <v>0</v>
      </c>
      <c r="AH44" s="1741">
        <f>('[5]Table 2A-2 EFT (Monthly)'!S43+'[5]Table 2A-2 EFT (Monthly)Aug'!S43+'[5]Table 2A-2 EFT (Monthly) sep'!S43+'[5]Table 2A-2 EFT (Monthly)oct'!S43+'[5]Table 2A-2 EFT (Monthly)oct'!S43+'[5]Table 2A-2 EFT (Monthly)dec'!S43+'[5]Table 2A-2 EFT (Monthly)jan'!S43+'[5]Table 2A-2 EFT (Monthly)feb'!S43+'[5]Table 2A-2 EFT (Monthly) mar'!S43+'[5]Table 2A-2 EFT (Monthly)apr'!S43+'[5]Table 2A-2 EFT (Monthly)'!AV43+'[5]Table 2A-2 EFT (Monthly) mar'!AV43)*-1</f>
        <v>4996.1849999999995</v>
      </c>
      <c r="AI44" s="1741">
        <f>('[5]Table 2A-2 EFT (Monthly)'!T43+'[5]Table 2A-2 EFT (Monthly)Aug'!T43+'[5]Table 2A-2 EFT (Monthly) sep'!T43+'[5]Table 2A-2 EFT (Monthly)oct'!T43+'[5]Table 2A-2 EFT (Monthly)oct'!T43+'[5]Table 2A-2 EFT (Monthly)dec'!T43+'[5]Table 2A-2 EFT (Monthly)jan'!T43+'[5]Table 2A-2 EFT (Monthly)feb'!T43+'[5]Table 2A-2 EFT (Monthly) mar'!T43+'[5]Table 2A-2 EFT (Monthly)apr'!T43+'[5]Table 2A-2 EFT (Monthly)'!AW43+'[5]Table 2A-2 EFT (Monthly) mar'!AW43)*-1</f>
        <v>0</v>
      </c>
      <c r="AJ44" s="1741">
        <f>('[5]Table 2A-2 EFT (Monthly)'!U43+'[5]Table 2A-2 EFT (Monthly)Aug'!U43+'[5]Table 2A-2 EFT (Monthly) sep'!U43+'[5]Table 2A-2 EFT (Monthly)oct'!U43+'[5]Table 2A-2 EFT (Monthly)oct'!U43+'[5]Table 2A-2 EFT (Monthly)dec'!U43+'[5]Table 2A-2 EFT (Monthly)jan'!U43+'[5]Table 2A-2 EFT (Monthly)feb'!U43+'[5]Table 2A-2 EFT (Monthly) mar'!U43+'[5]Table 2A-2 EFT (Monthly)apr'!U43+'[5]Table 2A-2 EFT (Monthly)'!AX43+'[5]Table 2A-2 EFT (Monthly) mar'!AX43)*-1</f>
        <v>0</v>
      </c>
      <c r="AK44" s="1741">
        <f>('[5]Table 2A-2 EFT (Monthly)'!V43+'[5]Table 2A-2 EFT (Monthly)Aug'!V43+'[5]Table 2A-2 EFT (Monthly) sep'!V43+'[5]Table 2A-2 EFT (Monthly)oct'!V43+'[5]Table 2A-2 EFT (Monthly)oct'!V43+'[5]Table 2A-2 EFT (Monthly)dec'!V43+'[5]Table 2A-2 EFT (Monthly)jan'!V43+'[5]Table 2A-2 EFT (Monthly)feb'!V43+'[5]Table 2A-2 EFT (Monthly) mar'!V43+'[5]Table 2A-2 EFT (Monthly)apr'!V43+'[5]Table 2A-2 EFT (Monthly)'!AY43+'[5]Table 2A-2 EFT (Monthly) mar'!AY43)*-1</f>
        <v>0</v>
      </c>
      <c r="AL44" s="1741">
        <f>('[5]Table 2A-2 EFT (Monthly)'!W43+'[5]Table 2A-2 EFT (Monthly)Aug'!W43+'[5]Table 2A-2 EFT (Monthly) sep'!W43+'[5]Table 2A-2 EFT (Monthly)oct'!W43+'[5]Table 2A-2 EFT (Monthly)oct'!W43+'[5]Table 2A-2 EFT (Monthly)dec'!W43+'[5]Table 2A-2 EFT (Monthly)jan'!W43+'[5]Table 2A-2 EFT (Monthly)feb'!W43+'[5]Table 2A-2 EFT (Monthly) mar'!W43+'[5]Table 2A-2 EFT (Monthly)apr'!W43+'[5]Table 2A-2 EFT (Monthly)'!AZ43+'[5]Table 2A-2 EFT (Monthly) mar'!AZ43)*-1</f>
        <v>0</v>
      </c>
      <c r="AM44" s="1741">
        <f>('[5]Table 2A-2 EFT (Monthly)'!X43+'[5]Table 2A-2 EFT (Monthly)Aug'!X43+'[5]Table 2A-2 EFT (Monthly) sep'!X43+'[5]Table 2A-2 EFT (Monthly)oct'!X43+'[5]Table 2A-2 EFT (Monthly)oct'!X43+'[5]Table 2A-2 EFT (Monthly)dec'!X43+'[5]Table 2A-2 EFT (Monthly)jan'!X43+'[5]Table 2A-2 EFT (Monthly)feb'!X43+'[5]Table 2A-2 EFT (Monthly) mar'!X43+'[5]Table 2A-2 EFT (Monthly)apr'!X43+'[5]Table 2A-2 EFT (Monthly)'!BA43+'[5]Table 2A-2 EFT (Monthly) mar'!BA43)*-1</f>
        <v>575874.30249999999</v>
      </c>
      <c r="AN44" s="1741">
        <f>('[5]Table 2A-2 EFT (Monthly) sep'!AD43+'[5]Table 2A-2 EFT (Monthly)dec'!AD43+'[5]Table 2A-2 EFT (Monthly)feb'!AD43)*-1</f>
        <v>1587.9318889678152</v>
      </c>
      <c r="AO44" s="1741">
        <f t="shared" si="30"/>
        <v>591576.41938896792</v>
      </c>
      <c r="AP44" s="563">
        <f t="shared" si="31"/>
        <v>2891415.3193889684</v>
      </c>
      <c r="AQ44" s="309">
        <f t="shared" si="32"/>
        <v>1445708</v>
      </c>
      <c r="AR44" s="309">
        <f>'Table 4A Stipends'!G41</f>
        <v>8000</v>
      </c>
      <c r="AS44" s="354">
        <f t="shared" si="34"/>
        <v>11864845</v>
      </c>
      <c r="AT44" s="565"/>
      <c r="AU44" s="1340">
        <f>('Table 8 2.1.12 MFP Funded'!G41*'Table 3 Levels 1&amp;2'!AP45)+'Table 2_State with Midyear Adjs'!F44</f>
        <v>11706425.521030704</v>
      </c>
      <c r="AV44" s="1337">
        <f t="shared" si="35"/>
        <v>150419.47896929644</v>
      </c>
      <c r="AW44" s="1335">
        <f t="shared" si="36"/>
        <v>1.2849309014016826E-2</v>
      </c>
      <c r="AX44" s="566"/>
      <c r="AY44" s="566"/>
    </row>
    <row r="45" spans="1:70">
      <c r="A45" s="101">
        <v>39</v>
      </c>
      <c r="B45" s="299" t="s">
        <v>140</v>
      </c>
      <c r="C45" s="309">
        <f>'Table 3 Levels 1&amp;2'!AO46</f>
        <v>12843282.369218983</v>
      </c>
      <c r="D45" s="354">
        <f>'[2]Adjusted Amounts'!$C45</f>
        <v>13198.600736875989</v>
      </c>
      <c r="E45" s="354">
        <f>'[2]Adjusted Amounts'!$H45</f>
        <v>-9827.0072077442619</v>
      </c>
      <c r="F45" s="354">
        <f t="shared" si="22"/>
        <v>3371.5935291317273</v>
      </c>
      <c r="G45" s="309">
        <f t="shared" si="19"/>
        <v>3371.5935291317273</v>
      </c>
      <c r="H45" s="354">
        <f t="shared" si="23"/>
        <v>0</v>
      </c>
      <c r="I45" s="354">
        <f>'[1]Midyear Adjustment Summary'!C43+'[1]Oct midyear Madison Prep'!K45+'[1]Oct midyear DArbonne'!K45+'[1]Oct midyear Intl_VIBE '!K45+'[1]Oct midyear NOMMA'!K45+'[1]Oct midyear LFNO'!K45+'[1]Oct midyear Lake Charles Chtr'!K45+'[1]Oct midyear LA Virtual Admy'!K42+'[1]Oct midyear LA Connections'!K42+'[1]Midyear Adjustment Summary'!$C$123</f>
        <v>-4919.4726719482569</v>
      </c>
      <c r="J45" s="354">
        <f>'[1]Midyear Adjustment Summary'!D43+'[1]Feb midyear Madison Prep'!K45+'[1]Feb midyear DArbonne'!K45+'[1]Feb midyear Intl_VIBE '!K45+'[1]Feb midyear NOMMA'!K45+'[1]Feb midyear LFNO '!K45+'[1]Feb midyear Lake Charles Ch'!K45+'[1]Feb midyear LA Virtual Admy'!K42+'[1]Feb midyear LA Connections'!K42+'[1]Midyear Adjustment Summary'!$D$123</f>
        <v>-70214.291772352401</v>
      </c>
      <c r="K45" s="354">
        <f t="shared" si="24"/>
        <v>-75133.764444300657</v>
      </c>
      <c r="L45" s="354">
        <f>-'Table 5B2_RSD_LA'!L23</f>
        <v>-1053214.3501595336</v>
      </c>
      <c r="M45" s="354">
        <f>-'Table 5C1A-Madison Prep'!L45</f>
        <v>0</v>
      </c>
      <c r="N45" s="354">
        <f>-'Table 5C1B-DArbonne'!L45</f>
        <v>0</v>
      </c>
      <c r="O45" s="354">
        <f>-'Table 5C1C-Intl_VIBE'!L45</f>
        <v>0</v>
      </c>
      <c r="P45" s="354">
        <f>-'Table 5C1D-NOMMA'!L45</f>
        <v>0</v>
      </c>
      <c r="Q45" s="354">
        <f>-'Table 5C1E-LFNO'!L45</f>
        <v>0</v>
      </c>
      <c r="R45" s="354">
        <f>-'Table 5C1F-Lake Charles Charter'!L45</f>
        <v>0</v>
      </c>
      <c r="S45" s="314">
        <f>-'Table 5C2 - LA Virtual Admy'!M43-'Table 5C2 - LA Virtual Admy'!I43</f>
        <v>-26734.953078595445</v>
      </c>
      <c r="T45" s="314">
        <f>-'Table 5C3 - LA Connections EBR'!M43-'Table 5C3 - LA Connections EBR'!I43</f>
        <v>-22340.670768048898</v>
      </c>
      <c r="U45" s="1692">
        <f t="shared" si="25"/>
        <v>-1102289.9740061779</v>
      </c>
      <c r="V45" s="563">
        <f t="shared" si="26"/>
        <v>11669230</v>
      </c>
      <c r="W45" s="563">
        <f>[3]MFP!DT46</f>
        <v>9630189</v>
      </c>
      <c r="X45" s="563">
        <f t="shared" si="27"/>
        <v>0</v>
      </c>
      <c r="Y45" s="563">
        <f>'[4]Table 4B Rewards'!G42</f>
        <v>8453.85</v>
      </c>
      <c r="Z45" s="563">
        <f t="shared" si="28"/>
        <v>9638642.8499999996</v>
      </c>
      <c r="AA45" s="1738">
        <f t="shared" si="29"/>
        <v>2030587.1500000004</v>
      </c>
      <c r="AB45" s="1741">
        <f>('[5]Table 2A-2 EFT (Monthly)'!Z44+'[5]Table 2A-2 EFT (Monthly)Aug'!Z44+'[5]Table 2A-2 EFT (Monthly) sep'!Z44+'[5]Table 2A-2 EFT (Monthly)oct'!Z44+'[5]Table 2A-2 EFT (Monthly)oct'!Z44+'[5]Table 2A-2 EFT (Monthly)dec'!Z44+'[5]Table 2A-2 EFT (Monthly)jan'!Z44+'[5]Table 2A-2 EFT (Monthly)feb'!Z44+'[5]Table 2A-2 EFT (Monthly) mar'!Z44+'[5]Table 2A-2 EFT (Monthly)apr'!Z44)*-1</f>
        <v>13038</v>
      </c>
      <c r="AC45" s="1741">
        <f>('[5]Table 2A-2 EFT (Monthly)'!AA44+'[5]Table 2A-2 EFT (Monthly)Aug'!AA44+'[5]Table 2A-2 EFT (Monthly) sep'!AA44+'[5]Table 2A-2 EFT (Monthly)oct'!AA44+'[5]Table 2A-2 EFT (Monthly)oct'!AA44+'[5]Table 2A-2 EFT (Monthly)dec'!AA44+'[5]Table 2A-2 EFT (Monthly)jan'!AA44+'[5]Table 2A-2 EFT (Monthly)feb'!AA44+'[5]Table 2A-2 EFT (Monthly) mar'!AA44+'[5]Table 2A-2 EFT (Monthly)apr'!AA44)*-1</f>
        <v>0</v>
      </c>
      <c r="AD45" s="1741">
        <f>('[5]Table 2A-2 EFT (Monthly)'!AB44+'[5]Table 2A-2 EFT (Monthly)Aug'!AB44+'[5]Table 2A-2 EFT (Monthly) sep'!AB44+'[5]Table 2A-2 EFT (Monthly)oct'!AB44+'[5]Table 2A-2 EFT (Monthly)oct'!AB44+'[5]Table 2A-2 EFT (Monthly)dec'!AB44+'[5]Table 2A-2 EFT (Monthly)jan'!AB44+'[5]Table 2A-2 EFT (Monthly)feb'!AB44+'[5]Table 2A-2 EFT (Monthly) mar'!AB44+'[5]Table 2A-2 EFT (Monthly)apr'!AB44)*-1</f>
        <v>22072</v>
      </c>
      <c r="AE45" s="1741">
        <f>('[5]Table 2A-2 EFT (Monthly)'!AC44+'[5]Table 2A-2 EFT (Monthly)Aug'!AC44+'[5]Table 2A-2 EFT (Monthly) sep'!AC44+'[5]Table 2A-2 EFT (Monthly)oct'!AC44+'[5]Table 2A-2 EFT (Monthly)oct'!AC44+'[5]Table 2A-2 EFT (Monthly)dec'!AC44+'[5]Table 2A-2 EFT (Monthly)jan'!AC44+'[5]Table 2A-2 EFT (Monthly)feb'!AC44+'[5]Table 2A-2 EFT (Monthly) mar'!AC44+'[5]Table 2A-2 EFT (Monthly)apr'!AC44)*-1</f>
        <v>2414</v>
      </c>
      <c r="AF45" s="1741">
        <f>('[5]Table 2A-2 EFT (Monthly)'!Q44+'[5]Table 2A-2 EFT (Monthly)Aug'!Q44+'[5]Table 2A-2 EFT (Monthly) sep'!Q44+'[5]Table 2A-2 EFT (Monthly)oct'!Q44+'[5]Table 2A-2 EFT (Monthly)oct'!Q44+'[5]Table 2A-2 EFT (Monthly)dec'!Q44+'[5]Table 2A-2 EFT (Monthly)jan'!Q44+'[5]Table 2A-2 EFT (Monthly)feb'!Q44+'[5]Table 2A-2 EFT (Monthly) mar'!Q44+'[5]Table 2A-2 EFT (Monthly)apr'!Q44+'[5]Table 2A-2 EFT (Monthly)'!AT44+'[5]Table 2A-2 EFT (Monthly) mar'!AT44)*-1</f>
        <v>0</v>
      </c>
      <c r="AG45" s="1741">
        <f>('[5]Table 2A-2 EFT (Monthly)'!R44+'[5]Table 2A-2 EFT (Monthly)Aug'!R44+'[5]Table 2A-2 EFT (Monthly) sep'!R44+'[5]Table 2A-2 EFT (Monthly)oct'!R44+'[5]Table 2A-2 EFT (Monthly)oct'!R44+'[5]Table 2A-2 EFT (Monthly)dec'!R44+'[5]Table 2A-2 EFT (Monthly)jan'!R44+'[5]Table 2A-2 EFT (Monthly)feb'!R44+'[5]Table 2A-2 EFT (Monthly) mar'!R44+'[5]Table 2A-2 EFT (Monthly)apr'!R44+'[5]Table 2A-2 EFT (Monthly)'!AU44+'[5]Table 2A-2 EFT (Monthly) mar'!AU44)*-1</f>
        <v>0</v>
      </c>
      <c r="AH45" s="1741">
        <f>('[5]Table 2A-2 EFT (Monthly)'!S44+'[5]Table 2A-2 EFT (Monthly)Aug'!S44+'[5]Table 2A-2 EFT (Monthly) sep'!S44+'[5]Table 2A-2 EFT (Monthly)oct'!S44+'[5]Table 2A-2 EFT (Monthly)oct'!S44+'[5]Table 2A-2 EFT (Monthly)dec'!S44+'[5]Table 2A-2 EFT (Monthly)jan'!S44+'[5]Table 2A-2 EFT (Monthly)feb'!S44+'[5]Table 2A-2 EFT (Monthly) mar'!S44+'[5]Table 2A-2 EFT (Monthly)apr'!S44+'[5]Table 2A-2 EFT (Monthly)'!AV44+'[5]Table 2A-2 EFT (Monthly) mar'!AV44)*-1</f>
        <v>0</v>
      </c>
      <c r="AI45" s="1741">
        <f>('[5]Table 2A-2 EFT (Monthly)'!T44+'[5]Table 2A-2 EFT (Monthly)Aug'!T44+'[5]Table 2A-2 EFT (Monthly) sep'!T44+'[5]Table 2A-2 EFT (Monthly)oct'!T44+'[5]Table 2A-2 EFT (Monthly)oct'!T44+'[5]Table 2A-2 EFT (Monthly)dec'!T44+'[5]Table 2A-2 EFT (Monthly)jan'!T44+'[5]Table 2A-2 EFT (Monthly)feb'!T44+'[5]Table 2A-2 EFT (Monthly) mar'!T44+'[5]Table 2A-2 EFT (Monthly)apr'!T44+'[5]Table 2A-2 EFT (Monthly)'!AW44+'[5]Table 2A-2 EFT (Monthly) mar'!AW44)*-1</f>
        <v>4927.6925000000001</v>
      </c>
      <c r="AJ45" s="1741">
        <f>('[5]Table 2A-2 EFT (Monthly)'!U44+'[5]Table 2A-2 EFT (Monthly)Aug'!U44+'[5]Table 2A-2 EFT (Monthly) sep'!U44+'[5]Table 2A-2 EFT (Monthly)oct'!U44+'[5]Table 2A-2 EFT (Monthly)oct'!U44+'[5]Table 2A-2 EFT (Monthly)dec'!U44+'[5]Table 2A-2 EFT (Monthly)jan'!U44+'[5]Table 2A-2 EFT (Monthly)feb'!U44+'[5]Table 2A-2 EFT (Monthly) mar'!U44+'[5]Table 2A-2 EFT (Monthly)apr'!U44+'[5]Table 2A-2 EFT (Monthly)'!AX44+'[5]Table 2A-2 EFT (Monthly) mar'!AX44)*-1</f>
        <v>0</v>
      </c>
      <c r="AK45" s="1741">
        <f>('[5]Table 2A-2 EFT (Monthly)'!V44+'[5]Table 2A-2 EFT (Monthly)Aug'!V44+'[5]Table 2A-2 EFT (Monthly) sep'!V44+'[5]Table 2A-2 EFT (Monthly)oct'!V44+'[5]Table 2A-2 EFT (Monthly)oct'!V44+'[5]Table 2A-2 EFT (Monthly)dec'!V44+'[5]Table 2A-2 EFT (Monthly)jan'!V44+'[5]Table 2A-2 EFT (Monthly)feb'!V44+'[5]Table 2A-2 EFT (Monthly) mar'!V44+'[5]Table 2A-2 EFT (Monthly)apr'!V44+'[5]Table 2A-2 EFT (Monthly)'!AY44+'[5]Table 2A-2 EFT (Monthly) mar'!AY44)*-1</f>
        <v>0</v>
      </c>
      <c r="AL45" s="1741">
        <f>('[5]Table 2A-2 EFT (Monthly)'!W44+'[5]Table 2A-2 EFT (Monthly)Aug'!W44+'[5]Table 2A-2 EFT (Monthly) sep'!W44+'[5]Table 2A-2 EFT (Monthly)oct'!W44+'[5]Table 2A-2 EFT (Monthly)oct'!W44+'[5]Table 2A-2 EFT (Monthly)dec'!W44+'[5]Table 2A-2 EFT (Monthly)jan'!W44+'[5]Table 2A-2 EFT (Monthly)feb'!W44+'[5]Table 2A-2 EFT (Monthly) mar'!W44+'[5]Table 2A-2 EFT (Monthly)apr'!W44+'[5]Table 2A-2 EFT (Monthly)'!AZ44+'[5]Table 2A-2 EFT (Monthly) mar'!AZ44)*-1</f>
        <v>0</v>
      </c>
      <c r="AM45" s="1741">
        <f>('[5]Table 2A-2 EFT (Monthly)'!X44+'[5]Table 2A-2 EFT (Monthly)Aug'!X44+'[5]Table 2A-2 EFT (Monthly) sep'!X44+'[5]Table 2A-2 EFT (Monthly)oct'!X44+'[5]Table 2A-2 EFT (Monthly)oct'!X44+'[5]Table 2A-2 EFT (Monthly)dec'!X44+'[5]Table 2A-2 EFT (Monthly)jan'!X44+'[5]Table 2A-2 EFT (Monthly)feb'!X44+'[5]Table 2A-2 EFT (Monthly) mar'!X44+'[5]Table 2A-2 EFT (Monthly)apr'!X44+'[5]Table 2A-2 EFT (Monthly)'!BA44+'[5]Table 2A-2 EFT (Monthly) mar'!BA44)*-1</f>
        <v>0</v>
      </c>
      <c r="AN45" s="1741">
        <f>('[5]Table 2A-2 EFT (Monthly) sep'!AD44+'[5]Table 2A-2 EFT (Monthly)dec'!AD44+'[5]Table 2A-2 EFT (Monthly)feb'!AD44)*-1</f>
        <v>47802.599988586662</v>
      </c>
      <c r="AO45" s="1741">
        <f t="shared" si="30"/>
        <v>90254.292488586652</v>
      </c>
      <c r="AP45" s="563">
        <f t="shared" si="31"/>
        <v>2120841.442488587</v>
      </c>
      <c r="AQ45" s="309">
        <f t="shared" si="32"/>
        <v>1060421</v>
      </c>
      <c r="AR45" s="309">
        <f>'Table 4A Stipends'!G42</f>
        <v>0</v>
      </c>
      <c r="AS45" s="354">
        <f t="shared" si="34"/>
        <v>11669230</v>
      </c>
      <c r="AT45" s="565"/>
      <c r="AU45" s="1340">
        <f>('Table 8 2.1.12 MFP Funded'!G42*'Table 3 Levels 1&amp;2'!AP46)+'Table 2_State with Midyear Adjs'!F45</f>
        <v>11549804.419895221</v>
      </c>
      <c r="AV45" s="1337">
        <f t="shared" si="35"/>
        <v>119425.58010477945</v>
      </c>
      <c r="AW45" s="1335">
        <f t="shared" si="36"/>
        <v>1.0340052156992532E-2</v>
      </c>
      <c r="AX45" s="566"/>
      <c r="AY45" s="566"/>
    </row>
    <row r="46" spans="1:70">
      <c r="A46" s="102">
        <v>40</v>
      </c>
      <c r="B46" s="300" t="s">
        <v>141</v>
      </c>
      <c r="C46" s="318">
        <f>'Table 3 Levels 1&amp;2'!AO47</f>
        <v>128678887.124992</v>
      </c>
      <c r="D46" s="355">
        <f>'[2]Adjusted Amounts'!$C46</f>
        <v>-56723.898615665617</v>
      </c>
      <c r="E46" s="355">
        <f>'[2]Adjusted Amounts'!$H46</f>
        <v>-77470.728537964867</v>
      </c>
      <c r="F46" s="355">
        <f t="shared" si="22"/>
        <v>-134194.62715363048</v>
      </c>
      <c r="G46" s="318">
        <f t="shared" si="19"/>
        <v>0</v>
      </c>
      <c r="H46" s="355">
        <f t="shared" si="23"/>
        <v>-134194.62715363048</v>
      </c>
      <c r="I46" s="355">
        <f>'[1]Midyear Adjustment Summary'!C44+'[1]Oct midyear Madison Prep'!K46+'[1]Oct midyear DArbonne'!K46+'[1]Oct midyear Intl_VIBE '!K46+'[1]Oct midyear NOMMA'!K46+'[1]Oct midyear LFNO'!K46+'[1]Oct midyear Lake Charles Chtr'!K46+'[1]Oct midyear LA Virtual Admy'!K43+'[1]Oct midyear LA Connections'!K43</f>
        <v>411981.79832508636</v>
      </c>
      <c r="J46" s="355">
        <f>'[1]Midyear Adjustment Summary'!D44+'[1]Feb midyear Madison Prep'!K46+'[1]Feb midyear DArbonne'!K46+'[1]Feb midyear Intl_VIBE '!K46+'[1]Feb midyear NOMMA'!K46+'[1]Feb midyear LFNO '!K46+'[1]Feb midyear Lake Charles Ch'!K46+'[1]Feb midyear LA Virtual Admy'!K43+'[1]Feb midyear LA Connections'!K43</f>
        <v>-246293.46638999728</v>
      </c>
      <c r="K46" s="355">
        <f t="shared" si="24"/>
        <v>165688.33193508908</v>
      </c>
      <c r="L46" s="355"/>
      <c r="M46" s="355">
        <f>-'Table 5C1A-Madison Prep'!L46</f>
        <v>0</v>
      </c>
      <c r="N46" s="355">
        <f>-'Table 5C1B-DArbonne'!L46</f>
        <v>0</v>
      </c>
      <c r="O46" s="355">
        <f>-'Table 5C1C-Intl_VIBE'!L46</f>
        <v>0</v>
      </c>
      <c r="P46" s="355">
        <f>-'Table 5C1D-NOMMA'!L46</f>
        <v>0</v>
      </c>
      <c r="Q46" s="355">
        <f>-'Table 5C1E-LFNO'!L46</f>
        <v>0</v>
      </c>
      <c r="R46" s="355">
        <f>-'Table 5C1F-Lake Charles Charter'!L46</f>
        <v>0</v>
      </c>
      <c r="S46" s="321">
        <f>-'Table 5C2 - LA Virtual Admy'!M44-'Table 5C2 - LA Virtual Admy'!I44</f>
        <v>-188986.47839132746</v>
      </c>
      <c r="T46" s="321">
        <f>-'Table 5C3 - LA Connections EBR'!M44-'Table 5C3 - LA Connections EBR'!I44</f>
        <v>-109991.04869273739</v>
      </c>
      <c r="U46" s="321">
        <f t="shared" si="25"/>
        <v>-298977.52708406484</v>
      </c>
      <c r="V46" s="564">
        <f t="shared" si="26"/>
        <v>128411403</v>
      </c>
      <c r="W46" s="564">
        <f>[3]MFP!DT47</f>
        <v>106462709</v>
      </c>
      <c r="X46" s="564">
        <f t="shared" si="27"/>
        <v>0</v>
      </c>
      <c r="Y46" s="564">
        <f>'[4]Table 4B Rewards'!G43</f>
        <v>101446.20000000003</v>
      </c>
      <c r="Z46" s="564">
        <f t="shared" si="28"/>
        <v>106564155.2</v>
      </c>
      <c r="AA46" s="564">
        <f t="shared" si="29"/>
        <v>21847247.799999997</v>
      </c>
      <c r="AB46" s="1742">
        <f>('[5]Table 2A-2 EFT (Monthly)'!Z45+'[5]Table 2A-2 EFT (Monthly)Aug'!Z45+'[5]Table 2A-2 EFT (Monthly) sep'!Z45+'[5]Table 2A-2 EFT (Monthly)oct'!Z45+'[5]Table 2A-2 EFT (Monthly)oct'!Z45+'[5]Table 2A-2 EFT (Monthly)dec'!Z45+'[5]Table 2A-2 EFT (Monthly)jan'!Z45+'[5]Table 2A-2 EFT (Monthly)feb'!Z45+'[5]Table 2A-2 EFT (Monthly) mar'!Z45+'[5]Table 2A-2 EFT (Monthly)apr'!Z45)*-1</f>
        <v>8742</v>
      </c>
      <c r="AC46" s="1742">
        <f>('[5]Table 2A-2 EFT (Monthly)'!AA45+'[5]Table 2A-2 EFT (Monthly)Aug'!AA45+'[5]Table 2A-2 EFT (Monthly) sep'!AA45+'[5]Table 2A-2 EFT (Monthly)oct'!AA45+'[5]Table 2A-2 EFT (Monthly)oct'!AA45+'[5]Table 2A-2 EFT (Monthly)dec'!AA45+'[5]Table 2A-2 EFT (Monthly)jan'!AA45+'[5]Table 2A-2 EFT (Monthly)feb'!AA45+'[5]Table 2A-2 EFT (Monthly) mar'!AA45+'[5]Table 2A-2 EFT (Monthly)apr'!AA45)*-1</f>
        <v>0</v>
      </c>
      <c r="AD46" s="1742">
        <f>('[5]Table 2A-2 EFT (Monthly)'!AB45+'[5]Table 2A-2 EFT (Monthly)Aug'!AB45+'[5]Table 2A-2 EFT (Monthly) sep'!AB45+'[5]Table 2A-2 EFT (Monthly)oct'!AB45+'[5]Table 2A-2 EFT (Monthly)oct'!AB45+'[5]Table 2A-2 EFT (Monthly)dec'!AB45+'[5]Table 2A-2 EFT (Monthly)jan'!AB45+'[5]Table 2A-2 EFT (Monthly)feb'!AB45+'[5]Table 2A-2 EFT (Monthly) mar'!AB45+'[5]Table 2A-2 EFT (Monthly)apr'!AB45)*-1</f>
        <v>8228</v>
      </c>
      <c r="AE46" s="1742">
        <f>('[5]Table 2A-2 EFT (Monthly)'!AC45+'[5]Table 2A-2 EFT (Monthly)Aug'!AC45+'[5]Table 2A-2 EFT (Monthly) sep'!AC45+'[5]Table 2A-2 EFT (Monthly)oct'!AC45+'[5]Table 2A-2 EFT (Monthly)oct'!AC45+'[5]Table 2A-2 EFT (Monthly)dec'!AC45+'[5]Table 2A-2 EFT (Monthly)jan'!AC45+'[5]Table 2A-2 EFT (Monthly)feb'!AC45+'[5]Table 2A-2 EFT (Monthly) mar'!AC45+'[5]Table 2A-2 EFT (Monthly)apr'!AC45)*-1</f>
        <v>61718</v>
      </c>
      <c r="AF46" s="1742">
        <f>('[5]Table 2A-2 EFT (Monthly)'!Q45+'[5]Table 2A-2 EFT (Monthly)Aug'!Q45+'[5]Table 2A-2 EFT (Monthly) sep'!Q45+'[5]Table 2A-2 EFT (Monthly)oct'!Q45+'[5]Table 2A-2 EFT (Monthly)oct'!Q45+'[5]Table 2A-2 EFT (Monthly)dec'!Q45+'[5]Table 2A-2 EFT (Monthly)jan'!Q45+'[5]Table 2A-2 EFT (Monthly)feb'!Q45+'[5]Table 2A-2 EFT (Monthly) mar'!Q45+'[5]Table 2A-2 EFT (Monthly)apr'!Q45+'[5]Table 2A-2 EFT (Monthly)'!AT45+'[5]Table 2A-2 EFT (Monthly) mar'!AT45)*-1</f>
        <v>0</v>
      </c>
      <c r="AG46" s="1742">
        <f>('[5]Table 2A-2 EFT (Monthly)'!R45+'[5]Table 2A-2 EFT (Monthly)Aug'!R45+'[5]Table 2A-2 EFT (Monthly) sep'!R45+'[5]Table 2A-2 EFT (Monthly)oct'!R45+'[5]Table 2A-2 EFT (Monthly)oct'!R45+'[5]Table 2A-2 EFT (Monthly)dec'!R45+'[5]Table 2A-2 EFT (Monthly)jan'!R45+'[5]Table 2A-2 EFT (Monthly)feb'!R45+'[5]Table 2A-2 EFT (Monthly) mar'!R45+'[5]Table 2A-2 EFT (Monthly)apr'!R45+'[5]Table 2A-2 EFT (Monthly)'!AU45+'[5]Table 2A-2 EFT (Monthly) mar'!AU45)*-1</f>
        <v>0</v>
      </c>
      <c r="AH46" s="1742">
        <f>('[5]Table 2A-2 EFT (Monthly)'!S45+'[5]Table 2A-2 EFT (Monthly)Aug'!S45+'[5]Table 2A-2 EFT (Monthly) sep'!S45+'[5]Table 2A-2 EFT (Monthly)oct'!S45+'[5]Table 2A-2 EFT (Monthly)oct'!S45+'[5]Table 2A-2 EFT (Monthly)dec'!S45+'[5]Table 2A-2 EFT (Monthly)jan'!S45+'[5]Table 2A-2 EFT (Monthly)feb'!S45+'[5]Table 2A-2 EFT (Monthly) mar'!S45+'[5]Table 2A-2 EFT (Monthly)apr'!S45+'[5]Table 2A-2 EFT (Monthly)'!AV45+'[5]Table 2A-2 EFT (Monthly) mar'!AV45)*-1</f>
        <v>0</v>
      </c>
      <c r="AI46" s="1742">
        <f>('[5]Table 2A-2 EFT (Monthly)'!T45+'[5]Table 2A-2 EFT (Monthly)Aug'!T45+'[5]Table 2A-2 EFT (Monthly) sep'!T45+'[5]Table 2A-2 EFT (Monthly)oct'!T45+'[5]Table 2A-2 EFT (Monthly)oct'!T45+'[5]Table 2A-2 EFT (Monthly)dec'!T45+'[5]Table 2A-2 EFT (Monthly)jan'!T45+'[5]Table 2A-2 EFT (Monthly)feb'!T45+'[5]Table 2A-2 EFT (Monthly) mar'!T45+'[5]Table 2A-2 EFT (Monthly)apr'!T45+'[5]Table 2A-2 EFT (Monthly)'!AW45+'[5]Table 2A-2 EFT (Monthly) mar'!AW45)*-1</f>
        <v>9697.2100000000009</v>
      </c>
      <c r="AJ46" s="1742">
        <f>('[5]Table 2A-2 EFT (Monthly)'!U45+'[5]Table 2A-2 EFT (Monthly)Aug'!U45+'[5]Table 2A-2 EFT (Monthly) sep'!U45+'[5]Table 2A-2 EFT (Monthly)oct'!U45+'[5]Table 2A-2 EFT (Monthly)oct'!U45+'[5]Table 2A-2 EFT (Monthly)dec'!U45+'[5]Table 2A-2 EFT (Monthly)jan'!U45+'[5]Table 2A-2 EFT (Monthly)feb'!U45+'[5]Table 2A-2 EFT (Monthly) mar'!U45+'[5]Table 2A-2 EFT (Monthly)apr'!U45+'[5]Table 2A-2 EFT (Monthly)'!AX45+'[5]Table 2A-2 EFT (Monthly) mar'!AX45)*-1</f>
        <v>0</v>
      </c>
      <c r="AK46" s="1742">
        <f>('[5]Table 2A-2 EFT (Monthly)'!V45+'[5]Table 2A-2 EFT (Monthly)Aug'!V45+'[5]Table 2A-2 EFT (Monthly) sep'!V45+'[5]Table 2A-2 EFT (Monthly)oct'!V45+'[5]Table 2A-2 EFT (Monthly)oct'!V45+'[5]Table 2A-2 EFT (Monthly)dec'!V45+'[5]Table 2A-2 EFT (Monthly)jan'!V45+'[5]Table 2A-2 EFT (Monthly)feb'!V45+'[5]Table 2A-2 EFT (Monthly) mar'!V45+'[5]Table 2A-2 EFT (Monthly)apr'!V45+'[5]Table 2A-2 EFT (Monthly)'!AY45+'[5]Table 2A-2 EFT (Monthly) mar'!AY45)*-1</f>
        <v>0</v>
      </c>
      <c r="AL46" s="1742">
        <f>('[5]Table 2A-2 EFT (Monthly)'!W45+'[5]Table 2A-2 EFT (Monthly)Aug'!W45+'[5]Table 2A-2 EFT (Monthly) sep'!W45+'[5]Table 2A-2 EFT (Monthly)oct'!W45+'[5]Table 2A-2 EFT (Monthly)oct'!W45+'[5]Table 2A-2 EFT (Monthly)dec'!W45+'[5]Table 2A-2 EFT (Monthly)jan'!W45+'[5]Table 2A-2 EFT (Monthly)feb'!W45+'[5]Table 2A-2 EFT (Monthly) mar'!W45+'[5]Table 2A-2 EFT (Monthly)apr'!W45+'[5]Table 2A-2 EFT (Monthly)'!AZ45+'[5]Table 2A-2 EFT (Monthly) mar'!AZ45)*-1</f>
        <v>0</v>
      </c>
      <c r="AM46" s="1742">
        <f>('[5]Table 2A-2 EFT (Monthly)'!X45+'[5]Table 2A-2 EFT (Monthly)Aug'!X45+'[5]Table 2A-2 EFT (Monthly) sep'!X45+'[5]Table 2A-2 EFT (Monthly)oct'!X45+'[5]Table 2A-2 EFT (Monthly)oct'!X45+'[5]Table 2A-2 EFT (Monthly)dec'!X45+'[5]Table 2A-2 EFT (Monthly)jan'!X45+'[5]Table 2A-2 EFT (Monthly)feb'!X45+'[5]Table 2A-2 EFT (Monthly) mar'!X45+'[5]Table 2A-2 EFT (Monthly)apr'!X45+'[5]Table 2A-2 EFT (Monthly)'!BA45+'[5]Table 2A-2 EFT (Monthly) mar'!BA45)*-1</f>
        <v>0</v>
      </c>
      <c r="AN46" s="1742">
        <f>('[5]Table 2A-2 EFT (Monthly) sep'!AD45+'[5]Table 2A-2 EFT (Monthly)dec'!AD45+'[5]Table 2A-2 EFT (Monthly)feb'!AD45)*-1</f>
        <v>115640.07780215328</v>
      </c>
      <c r="AO46" s="1742">
        <f t="shared" si="30"/>
        <v>204025.28780215327</v>
      </c>
      <c r="AP46" s="564">
        <f t="shared" si="31"/>
        <v>22051273.087802149</v>
      </c>
      <c r="AQ46" s="318">
        <f t="shared" si="32"/>
        <v>11025637</v>
      </c>
      <c r="AR46" s="318">
        <f>'Table 4A Stipends'!G43</f>
        <v>0</v>
      </c>
      <c r="AS46" s="355">
        <f t="shared" si="34"/>
        <v>128411403</v>
      </c>
      <c r="AU46" s="1339">
        <f>('Table 8 2.1.12 MFP Funded'!G43*'Table 3 Levels 1&amp;2'!AP47)+'Table 2_State with Midyear Adjs'!F46</f>
        <v>128236834.87933062</v>
      </c>
      <c r="AV46" s="753">
        <f t="shared" si="35"/>
        <v>174568.12066937983</v>
      </c>
      <c r="AW46" s="280">
        <f t="shared" si="36"/>
        <v>1.3612946766320801E-3</v>
      </c>
    </row>
    <row r="47" spans="1:70">
      <c r="A47" s="101">
        <v>41</v>
      </c>
      <c r="B47" s="299" t="s">
        <v>142</v>
      </c>
      <c r="C47" s="309">
        <f>'Table 3 Levels 1&amp;2'!AO48</f>
        <v>3508707.514</v>
      </c>
      <c r="D47" s="354">
        <f>'[2]Adjusted Amounts'!$C47</f>
        <v>6835.8425449243568</v>
      </c>
      <c r="E47" s="354">
        <f>'[2]Adjusted Amounts'!$H47</f>
        <v>-12087.925393089325</v>
      </c>
      <c r="F47" s="354">
        <f t="shared" si="22"/>
        <v>-5252.0828481649678</v>
      </c>
      <c r="G47" s="309">
        <f t="shared" si="19"/>
        <v>0</v>
      </c>
      <c r="H47" s="354">
        <f t="shared" si="23"/>
        <v>-5252.0828481649678</v>
      </c>
      <c r="I47" s="354">
        <f>'[1]Midyear Adjustment Summary'!C45+'[1]Oct midyear Madison Prep'!K47+'[1]Oct midyear DArbonne'!K47+'[1]Oct midyear Intl_VIBE '!K47+'[1]Oct midyear NOMMA'!K47+'[1]Oct midyear LFNO'!K47+'[1]Oct midyear Lake Charles Chtr'!K47+'[1]Oct midyear LA Virtual Admy'!K44+'[1]Oct midyear LA Connections'!K44</f>
        <v>-27491.95668091168</v>
      </c>
      <c r="J47" s="354">
        <f>'[1]Midyear Adjustment Summary'!D45+'[1]Feb midyear Madison Prep'!K47+'[1]Feb midyear DArbonne'!K47+'[1]Feb midyear Intl_VIBE '!K47+'[1]Feb midyear NOMMA'!K47+'[1]Feb midyear LFNO '!K47+'[1]Feb midyear Lake Charles Ch'!K47+'[1]Feb midyear LA Virtual Admy'!K44+'[1]Feb midyear LA Connections'!K44</f>
        <v>22618.382542022791</v>
      </c>
      <c r="K47" s="354">
        <f t="shared" si="24"/>
        <v>-4873.5741388888891</v>
      </c>
      <c r="L47" s="354"/>
      <c r="M47" s="354">
        <f>-'Table 5C1A-Madison Prep'!L47</f>
        <v>0</v>
      </c>
      <c r="N47" s="354">
        <f>-'Table 5C1B-DArbonne'!L47</f>
        <v>0</v>
      </c>
      <c r="O47" s="354">
        <f>-'Table 5C1C-Intl_VIBE'!L47</f>
        <v>0</v>
      </c>
      <c r="P47" s="354">
        <f>-'Table 5C1D-NOMMA'!L47</f>
        <v>0</v>
      </c>
      <c r="Q47" s="354">
        <f>-'Table 5C1E-LFNO'!L47</f>
        <v>0</v>
      </c>
      <c r="R47" s="354">
        <f>-'Table 5C1F-Lake Charles Charter'!L47</f>
        <v>0</v>
      </c>
      <c r="S47" s="314">
        <f>-'Table 5C2 - LA Virtual Admy'!M45-'Table 5C2 - LA Virtual Admy'!I45</f>
        <v>-4821.2935783475787</v>
      </c>
      <c r="T47" s="314">
        <f>-'Table 5C3 - LA Connections EBR'!M45-'Table 5C3 - LA Connections EBR'!I45</f>
        <v>-1285.975834045584</v>
      </c>
      <c r="U47" s="1692">
        <f t="shared" si="25"/>
        <v>-6107.2694123931624</v>
      </c>
      <c r="V47" s="563">
        <f t="shared" si="26"/>
        <v>3492475</v>
      </c>
      <c r="W47" s="563">
        <f>[3]MFP!DT48</f>
        <v>2906035</v>
      </c>
      <c r="X47" s="563">
        <f t="shared" si="27"/>
        <v>0</v>
      </c>
      <c r="Y47" s="563">
        <f>'[4]Table 4B Rewards'!G44</f>
        <v>8453.85</v>
      </c>
      <c r="Z47" s="563">
        <f t="shared" si="28"/>
        <v>2914488.85</v>
      </c>
      <c r="AA47" s="1738">
        <f t="shared" si="29"/>
        <v>577986.14999999991</v>
      </c>
      <c r="AB47" s="1741">
        <f>('[5]Table 2A-2 EFT (Monthly)'!Z46+'[5]Table 2A-2 EFT (Monthly)Aug'!Z46+'[5]Table 2A-2 EFT (Monthly) sep'!Z46+'[5]Table 2A-2 EFT (Monthly)oct'!Z46+'[5]Table 2A-2 EFT (Monthly)oct'!Z46+'[5]Table 2A-2 EFT (Monthly)dec'!Z46+'[5]Table 2A-2 EFT (Monthly)jan'!Z46+'[5]Table 2A-2 EFT (Monthly)feb'!Z46+'[5]Table 2A-2 EFT (Monthly) mar'!Z46+'[5]Table 2A-2 EFT (Monthly)apr'!Z46)*-1</f>
        <v>0</v>
      </c>
      <c r="AC47" s="1741">
        <f>('[5]Table 2A-2 EFT (Monthly)'!AA46+'[5]Table 2A-2 EFT (Monthly)Aug'!AA46+'[5]Table 2A-2 EFT (Monthly) sep'!AA46+'[5]Table 2A-2 EFT (Monthly)oct'!AA46+'[5]Table 2A-2 EFT (Monthly)oct'!AA46+'[5]Table 2A-2 EFT (Monthly)dec'!AA46+'[5]Table 2A-2 EFT (Monthly)jan'!AA46+'[5]Table 2A-2 EFT (Monthly)feb'!AA46+'[5]Table 2A-2 EFT (Monthly) mar'!AA46+'[5]Table 2A-2 EFT (Monthly)apr'!AA46)*-1</f>
        <v>0</v>
      </c>
      <c r="AD47" s="1741">
        <f>('[5]Table 2A-2 EFT (Monthly)'!AB46+'[5]Table 2A-2 EFT (Monthly)Aug'!AB46+'[5]Table 2A-2 EFT (Monthly) sep'!AB46+'[5]Table 2A-2 EFT (Monthly)oct'!AB46+'[5]Table 2A-2 EFT (Monthly)oct'!AB46+'[5]Table 2A-2 EFT (Monthly)dec'!AB46+'[5]Table 2A-2 EFT (Monthly)jan'!AB46+'[5]Table 2A-2 EFT (Monthly)feb'!AB46+'[5]Table 2A-2 EFT (Monthly) mar'!AB46+'[5]Table 2A-2 EFT (Monthly)apr'!AB46)*-1</f>
        <v>2140</v>
      </c>
      <c r="AE47" s="1741">
        <f>('[5]Table 2A-2 EFT (Monthly)'!AC46+'[5]Table 2A-2 EFT (Monthly)Aug'!AC46+'[5]Table 2A-2 EFT (Monthly) sep'!AC46+'[5]Table 2A-2 EFT (Monthly)oct'!AC46+'[5]Table 2A-2 EFT (Monthly)oct'!AC46+'[5]Table 2A-2 EFT (Monthly)dec'!AC46+'[5]Table 2A-2 EFT (Monthly)jan'!AC46+'[5]Table 2A-2 EFT (Monthly)feb'!AC46+'[5]Table 2A-2 EFT (Monthly) mar'!AC46+'[5]Table 2A-2 EFT (Monthly)apr'!AC46)*-1</f>
        <v>4280</v>
      </c>
      <c r="AF47" s="1741">
        <f>('[5]Table 2A-2 EFT (Monthly)'!Q46+'[5]Table 2A-2 EFT (Monthly)Aug'!Q46+'[5]Table 2A-2 EFT (Monthly) sep'!Q46+'[5]Table 2A-2 EFT (Monthly)oct'!Q46+'[5]Table 2A-2 EFT (Monthly)oct'!Q46+'[5]Table 2A-2 EFT (Monthly)dec'!Q46+'[5]Table 2A-2 EFT (Monthly)jan'!Q46+'[5]Table 2A-2 EFT (Monthly)feb'!Q46+'[5]Table 2A-2 EFT (Monthly) mar'!Q46+'[5]Table 2A-2 EFT (Monthly)apr'!Q46+'[5]Table 2A-2 EFT (Monthly)'!AT46+'[5]Table 2A-2 EFT (Monthly) mar'!AT46)*-1</f>
        <v>0</v>
      </c>
      <c r="AG47" s="1741">
        <f>('[5]Table 2A-2 EFT (Monthly)'!R46+'[5]Table 2A-2 EFT (Monthly)Aug'!R46+'[5]Table 2A-2 EFT (Monthly) sep'!R46+'[5]Table 2A-2 EFT (Monthly)oct'!R46+'[5]Table 2A-2 EFT (Monthly)oct'!R46+'[5]Table 2A-2 EFT (Monthly)dec'!R46+'[5]Table 2A-2 EFT (Monthly)jan'!R46+'[5]Table 2A-2 EFT (Monthly)feb'!R46+'[5]Table 2A-2 EFT (Monthly) mar'!R46+'[5]Table 2A-2 EFT (Monthly)apr'!R46+'[5]Table 2A-2 EFT (Monthly)'!AU46+'[5]Table 2A-2 EFT (Monthly) mar'!AU46)*-1</f>
        <v>0</v>
      </c>
      <c r="AH47" s="1741">
        <f>('[5]Table 2A-2 EFT (Monthly)'!S46+'[5]Table 2A-2 EFT (Monthly)Aug'!S46+'[5]Table 2A-2 EFT (Monthly) sep'!S46+'[5]Table 2A-2 EFT (Monthly)oct'!S46+'[5]Table 2A-2 EFT (Monthly)oct'!S46+'[5]Table 2A-2 EFT (Monthly)dec'!S46+'[5]Table 2A-2 EFT (Monthly)jan'!S46+'[5]Table 2A-2 EFT (Monthly)feb'!S46+'[5]Table 2A-2 EFT (Monthly) mar'!S46+'[5]Table 2A-2 EFT (Monthly)apr'!S46+'[5]Table 2A-2 EFT (Monthly)'!AV46+'[5]Table 2A-2 EFT (Monthly) mar'!AV46)*-1</f>
        <v>0</v>
      </c>
      <c r="AI47" s="1741">
        <f>('[5]Table 2A-2 EFT (Monthly)'!T46+'[5]Table 2A-2 EFT (Monthly)Aug'!T46+'[5]Table 2A-2 EFT (Monthly) sep'!T46+'[5]Table 2A-2 EFT (Monthly)oct'!T46+'[5]Table 2A-2 EFT (Monthly)oct'!T46+'[5]Table 2A-2 EFT (Monthly)dec'!T46+'[5]Table 2A-2 EFT (Monthly)jan'!T46+'[5]Table 2A-2 EFT (Monthly)feb'!T46+'[5]Table 2A-2 EFT (Monthly) mar'!T46+'[5]Table 2A-2 EFT (Monthly)apr'!T46+'[5]Table 2A-2 EFT (Monthly)'!AW46+'[5]Table 2A-2 EFT (Monthly) mar'!AW46)*-1</f>
        <v>0</v>
      </c>
      <c r="AJ47" s="1741">
        <f>('[5]Table 2A-2 EFT (Monthly)'!U46+'[5]Table 2A-2 EFT (Monthly)Aug'!U46+'[5]Table 2A-2 EFT (Monthly) sep'!U46+'[5]Table 2A-2 EFT (Monthly)oct'!U46+'[5]Table 2A-2 EFT (Monthly)oct'!U46+'[5]Table 2A-2 EFT (Monthly)dec'!U46+'[5]Table 2A-2 EFT (Monthly)jan'!U46+'[5]Table 2A-2 EFT (Monthly)feb'!U46+'[5]Table 2A-2 EFT (Monthly) mar'!U46+'[5]Table 2A-2 EFT (Monthly)apr'!U46+'[5]Table 2A-2 EFT (Monthly)'!AX46+'[5]Table 2A-2 EFT (Monthly) mar'!AX46)*-1</f>
        <v>0</v>
      </c>
      <c r="AK47" s="1741">
        <f>('[5]Table 2A-2 EFT (Monthly)'!V46+'[5]Table 2A-2 EFT (Monthly)Aug'!V46+'[5]Table 2A-2 EFT (Monthly) sep'!V46+'[5]Table 2A-2 EFT (Monthly)oct'!V46+'[5]Table 2A-2 EFT (Monthly)oct'!V46+'[5]Table 2A-2 EFT (Monthly)dec'!V46+'[5]Table 2A-2 EFT (Monthly)jan'!V46+'[5]Table 2A-2 EFT (Monthly)feb'!V46+'[5]Table 2A-2 EFT (Monthly) mar'!V46+'[5]Table 2A-2 EFT (Monthly)apr'!V46+'[5]Table 2A-2 EFT (Monthly)'!AY46+'[5]Table 2A-2 EFT (Monthly) mar'!AY46)*-1</f>
        <v>0</v>
      </c>
      <c r="AL47" s="1741">
        <f>('[5]Table 2A-2 EFT (Monthly)'!W46+'[5]Table 2A-2 EFT (Monthly)Aug'!W46+'[5]Table 2A-2 EFT (Monthly) sep'!W46+'[5]Table 2A-2 EFT (Monthly)oct'!W46+'[5]Table 2A-2 EFT (Monthly)oct'!W46+'[5]Table 2A-2 EFT (Monthly)dec'!W46+'[5]Table 2A-2 EFT (Monthly)jan'!W46+'[5]Table 2A-2 EFT (Monthly)feb'!W46+'[5]Table 2A-2 EFT (Monthly) mar'!W46+'[5]Table 2A-2 EFT (Monthly)apr'!W46+'[5]Table 2A-2 EFT (Monthly)'!AZ46+'[5]Table 2A-2 EFT (Monthly) mar'!AZ46)*-1</f>
        <v>0</v>
      </c>
      <c r="AM47" s="1741">
        <f>('[5]Table 2A-2 EFT (Monthly)'!X46+'[5]Table 2A-2 EFT (Monthly)Aug'!X46+'[5]Table 2A-2 EFT (Monthly) sep'!X46+'[5]Table 2A-2 EFT (Monthly)oct'!X46+'[5]Table 2A-2 EFT (Monthly)oct'!X46+'[5]Table 2A-2 EFT (Monthly)dec'!X46+'[5]Table 2A-2 EFT (Monthly)jan'!X46+'[5]Table 2A-2 EFT (Monthly)feb'!X46+'[5]Table 2A-2 EFT (Monthly) mar'!X46+'[5]Table 2A-2 EFT (Monthly)apr'!X46+'[5]Table 2A-2 EFT (Monthly)'!BA46+'[5]Table 2A-2 EFT (Monthly) mar'!BA46)*-1</f>
        <v>0</v>
      </c>
      <c r="AN47" s="1741">
        <f>('[5]Table 2A-2 EFT (Monthly) sep'!AD46+'[5]Table 2A-2 EFT (Monthly)dec'!AD46+'[5]Table 2A-2 EFT (Monthly)feb'!AD46)*-1</f>
        <v>0</v>
      </c>
      <c r="AO47" s="1741">
        <f t="shared" si="30"/>
        <v>6420</v>
      </c>
      <c r="AP47" s="563">
        <f t="shared" si="31"/>
        <v>584406.14999999991</v>
      </c>
      <c r="AQ47" s="309">
        <f t="shared" si="32"/>
        <v>292203</v>
      </c>
      <c r="AR47" s="309">
        <f>'Table 4A Stipends'!G44</f>
        <v>0</v>
      </c>
      <c r="AS47" s="354">
        <f t="shared" si="34"/>
        <v>3492475</v>
      </c>
      <c r="AU47" s="1339">
        <f>('Table 8 2.1.12 MFP Funded'!G44*'Table 3 Levels 1&amp;2'!AP48)+'Table 2_State with Midyear Adjs'!F47</f>
        <v>3495958.1928740572</v>
      </c>
      <c r="AV47" s="753">
        <f t="shared" si="35"/>
        <v>-3483.1928740572184</v>
      </c>
      <c r="AW47" s="280">
        <f t="shared" si="36"/>
        <v>-9.963485493496866E-4</v>
      </c>
    </row>
    <row r="48" spans="1:70">
      <c r="A48" s="101">
        <v>42</v>
      </c>
      <c r="B48" s="299" t="s">
        <v>143</v>
      </c>
      <c r="C48" s="309">
        <f>'Table 3 Levels 1&amp;2'!AO49</f>
        <v>19900647.308548</v>
      </c>
      <c r="D48" s="354">
        <f>'[2]Adjusted Amounts'!$C48</f>
        <v>3135.0255741489814</v>
      </c>
      <c r="E48" s="354">
        <f>'[2]Adjusted Amounts'!$H48</f>
        <v>-27581.387289773222</v>
      </c>
      <c r="F48" s="354">
        <f t="shared" si="22"/>
        <v>-24446.36171562424</v>
      </c>
      <c r="G48" s="309">
        <f t="shared" si="19"/>
        <v>0</v>
      </c>
      <c r="H48" s="354">
        <f t="shared" si="23"/>
        <v>-24446.36171562424</v>
      </c>
      <c r="I48" s="354">
        <f>'[1]Midyear Adjustment Summary'!C46+'[1]Oct midyear Madison Prep'!K48+'[1]Oct midyear DArbonne'!K48+'[1]Oct midyear Intl_VIBE '!K48+'[1]Oct midyear NOMMA'!K48+'[1]Oct midyear LFNO'!K48+'[1]Oct midyear Lake Charles Chtr'!K48+'[1]Oct midyear LA Virtual Admy'!K45+'[1]Oct midyear LA Connections'!K45</f>
        <v>-64309.667739063407</v>
      </c>
      <c r="J48" s="354">
        <f>'[1]Midyear Adjustment Summary'!D46+'[1]Feb midyear Madison Prep'!K48+'[1]Feb midyear DArbonne'!K48+'[1]Feb midyear Intl_VIBE '!K48+'[1]Feb midyear NOMMA'!K48+'[1]Feb midyear LFNO '!K48+'[1]Feb midyear Lake Charles Ch'!K48+'[1]Feb midyear LA Virtual Admy'!K45+'[1]Feb midyear LA Connections'!K45</f>
        <v>52142.973842483829</v>
      </c>
      <c r="K48" s="354">
        <f t="shared" si="24"/>
        <v>-12166.693896579578</v>
      </c>
      <c r="L48" s="354"/>
      <c r="M48" s="354">
        <f>-'Table 5C1A-Madison Prep'!L48</f>
        <v>0</v>
      </c>
      <c r="N48" s="354">
        <f>-'Table 5C1B-DArbonne'!L48</f>
        <v>0</v>
      </c>
      <c r="O48" s="354">
        <f>-'Table 5C1C-Intl_VIBE'!L48</f>
        <v>0</v>
      </c>
      <c r="P48" s="354">
        <f>-'Table 5C1D-NOMMA'!L48</f>
        <v>0</v>
      </c>
      <c r="Q48" s="354">
        <f>-'Table 5C1E-LFNO'!L48</f>
        <v>0</v>
      </c>
      <c r="R48" s="354">
        <f>-'Table 5C1F-Lake Charles Charter'!L48</f>
        <v>0</v>
      </c>
      <c r="S48" s="314">
        <f>-'Table 5C2 - LA Virtual Admy'!M46-'Table 5C2 - LA Virtual Admy'!I46</f>
        <v>-55321.147286663232</v>
      </c>
      <c r="T48" s="314">
        <f>-'Table 5C3 - LA Connections EBR'!M46-'Table 5C3 - LA Connections EBR'!I46</f>
        <v>-13035.743460620961</v>
      </c>
      <c r="U48" s="1692">
        <f t="shared" si="25"/>
        <v>-68356.890747284197</v>
      </c>
      <c r="V48" s="563">
        <f t="shared" si="26"/>
        <v>19795677</v>
      </c>
      <c r="W48" s="563">
        <f>[3]MFP!DT49</f>
        <v>16493902</v>
      </c>
      <c r="X48" s="563">
        <f t="shared" si="27"/>
        <v>0</v>
      </c>
      <c r="Y48" s="563">
        <f>'[4]Table 4B Rewards'!G45</f>
        <v>16907.7</v>
      </c>
      <c r="Z48" s="563">
        <f t="shared" si="28"/>
        <v>16510809.699999999</v>
      </c>
      <c r="AA48" s="1738">
        <f t="shared" si="29"/>
        <v>3284867.3000000007</v>
      </c>
      <c r="AB48" s="1741">
        <f>('[5]Table 2A-2 EFT (Monthly)'!Z47+'[5]Table 2A-2 EFT (Monthly)Aug'!Z47+'[5]Table 2A-2 EFT (Monthly) sep'!Z47+'[5]Table 2A-2 EFT (Monthly)oct'!Z47+'[5]Table 2A-2 EFT (Monthly)oct'!Z47+'[5]Table 2A-2 EFT (Monthly)dec'!Z47+'[5]Table 2A-2 EFT (Monthly)jan'!Z47+'[5]Table 2A-2 EFT (Monthly)feb'!Z47+'[5]Table 2A-2 EFT (Monthly) mar'!Z47+'[5]Table 2A-2 EFT (Monthly)apr'!Z47)*-1</f>
        <v>0</v>
      </c>
      <c r="AC48" s="1741">
        <f>('[5]Table 2A-2 EFT (Monthly)'!AA47+'[5]Table 2A-2 EFT (Monthly)Aug'!AA47+'[5]Table 2A-2 EFT (Monthly) sep'!AA47+'[5]Table 2A-2 EFT (Monthly)oct'!AA47+'[5]Table 2A-2 EFT (Monthly)oct'!AA47+'[5]Table 2A-2 EFT (Monthly)dec'!AA47+'[5]Table 2A-2 EFT (Monthly)jan'!AA47+'[5]Table 2A-2 EFT (Monthly)feb'!AA47+'[5]Table 2A-2 EFT (Monthly) mar'!AA47+'[5]Table 2A-2 EFT (Monthly)apr'!AA47)*-1</f>
        <v>0</v>
      </c>
      <c r="AD48" s="1741">
        <f>('[5]Table 2A-2 EFT (Monthly)'!AB47+'[5]Table 2A-2 EFT (Monthly)Aug'!AB47+'[5]Table 2A-2 EFT (Monthly) sep'!AB47+'[5]Table 2A-2 EFT (Monthly)oct'!AB47+'[5]Table 2A-2 EFT (Monthly)oct'!AB47+'[5]Table 2A-2 EFT (Monthly)dec'!AB47+'[5]Table 2A-2 EFT (Monthly)jan'!AB47+'[5]Table 2A-2 EFT (Monthly)feb'!AB47+'[5]Table 2A-2 EFT (Monthly) mar'!AB47+'[5]Table 2A-2 EFT (Monthly)apr'!AB47)*-1</f>
        <v>0</v>
      </c>
      <c r="AE48" s="1741">
        <f>('[5]Table 2A-2 EFT (Monthly)'!AC47+'[5]Table 2A-2 EFT (Monthly)Aug'!AC47+'[5]Table 2A-2 EFT (Monthly) sep'!AC47+'[5]Table 2A-2 EFT (Monthly)oct'!AC47+'[5]Table 2A-2 EFT (Monthly)oct'!AC47+'[5]Table 2A-2 EFT (Monthly)dec'!AC47+'[5]Table 2A-2 EFT (Monthly)jan'!AC47+'[5]Table 2A-2 EFT (Monthly)feb'!AC47+'[5]Table 2A-2 EFT (Monthly) mar'!AC47+'[5]Table 2A-2 EFT (Monthly)apr'!AC47)*-1</f>
        <v>1590</v>
      </c>
      <c r="AF48" s="1741">
        <f>('[5]Table 2A-2 EFT (Monthly)'!Q47+'[5]Table 2A-2 EFT (Monthly)Aug'!Q47+'[5]Table 2A-2 EFT (Monthly) sep'!Q47+'[5]Table 2A-2 EFT (Monthly)oct'!Q47+'[5]Table 2A-2 EFT (Monthly)oct'!Q47+'[5]Table 2A-2 EFT (Monthly)dec'!Q47+'[5]Table 2A-2 EFT (Monthly)jan'!Q47+'[5]Table 2A-2 EFT (Monthly)feb'!Q47+'[5]Table 2A-2 EFT (Monthly) mar'!Q47+'[5]Table 2A-2 EFT (Monthly)apr'!Q47+'[5]Table 2A-2 EFT (Monthly)'!AT47+'[5]Table 2A-2 EFT (Monthly) mar'!AT47)*-1</f>
        <v>7965.9250000000002</v>
      </c>
      <c r="AG48" s="1741">
        <f>('[5]Table 2A-2 EFT (Monthly)'!R47+'[5]Table 2A-2 EFT (Monthly)Aug'!R47+'[5]Table 2A-2 EFT (Monthly) sep'!R47+'[5]Table 2A-2 EFT (Monthly)oct'!R47+'[5]Table 2A-2 EFT (Monthly)oct'!R47+'[5]Table 2A-2 EFT (Monthly)dec'!R47+'[5]Table 2A-2 EFT (Monthly)jan'!R47+'[5]Table 2A-2 EFT (Monthly)feb'!R47+'[5]Table 2A-2 EFT (Monthly) mar'!R47+'[5]Table 2A-2 EFT (Monthly)apr'!R47+'[5]Table 2A-2 EFT (Monthly)'!AU47+'[5]Table 2A-2 EFT (Monthly) mar'!AU47)*-1</f>
        <v>0</v>
      </c>
      <c r="AH48" s="1741">
        <f>('[5]Table 2A-2 EFT (Monthly)'!S47+'[5]Table 2A-2 EFT (Monthly)Aug'!S47+'[5]Table 2A-2 EFT (Monthly) sep'!S47+'[5]Table 2A-2 EFT (Monthly)oct'!S47+'[5]Table 2A-2 EFT (Monthly)oct'!S47+'[5]Table 2A-2 EFT (Monthly)dec'!S47+'[5]Table 2A-2 EFT (Monthly)jan'!S47+'[5]Table 2A-2 EFT (Monthly)feb'!S47+'[5]Table 2A-2 EFT (Monthly) mar'!S47+'[5]Table 2A-2 EFT (Monthly)apr'!S47+'[5]Table 2A-2 EFT (Monthly)'!AV47+'[5]Table 2A-2 EFT (Monthly) mar'!AV47)*-1</f>
        <v>0</v>
      </c>
      <c r="AI48" s="1741">
        <f>('[5]Table 2A-2 EFT (Monthly)'!T47+'[5]Table 2A-2 EFT (Monthly)Aug'!T47+'[5]Table 2A-2 EFT (Monthly) sep'!T47+'[5]Table 2A-2 EFT (Monthly)oct'!T47+'[5]Table 2A-2 EFT (Monthly)oct'!T47+'[5]Table 2A-2 EFT (Monthly)dec'!T47+'[5]Table 2A-2 EFT (Monthly)jan'!T47+'[5]Table 2A-2 EFT (Monthly)feb'!T47+'[5]Table 2A-2 EFT (Monthly) mar'!T47+'[5]Table 2A-2 EFT (Monthly)apr'!T47+'[5]Table 2A-2 EFT (Monthly)'!AW47+'[5]Table 2A-2 EFT (Monthly) mar'!AW47)*-1</f>
        <v>0</v>
      </c>
      <c r="AJ48" s="1741">
        <f>('[5]Table 2A-2 EFT (Monthly)'!U47+'[5]Table 2A-2 EFT (Monthly)Aug'!U47+'[5]Table 2A-2 EFT (Monthly) sep'!U47+'[5]Table 2A-2 EFT (Monthly)oct'!U47+'[5]Table 2A-2 EFT (Monthly)oct'!U47+'[5]Table 2A-2 EFT (Monthly)dec'!U47+'[5]Table 2A-2 EFT (Monthly)jan'!U47+'[5]Table 2A-2 EFT (Monthly)feb'!U47+'[5]Table 2A-2 EFT (Monthly) mar'!U47+'[5]Table 2A-2 EFT (Monthly)apr'!U47+'[5]Table 2A-2 EFT (Monthly)'!AX47+'[5]Table 2A-2 EFT (Monthly) mar'!AX47)*-1</f>
        <v>849137.66249999998</v>
      </c>
      <c r="AK48" s="1741">
        <f>('[5]Table 2A-2 EFT (Monthly)'!V47+'[5]Table 2A-2 EFT (Monthly)Aug'!V47+'[5]Table 2A-2 EFT (Monthly) sep'!V47+'[5]Table 2A-2 EFT (Monthly)oct'!V47+'[5]Table 2A-2 EFT (Monthly)oct'!V47+'[5]Table 2A-2 EFT (Monthly)dec'!V47+'[5]Table 2A-2 EFT (Monthly)jan'!V47+'[5]Table 2A-2 EFT (Monthly)feb'!V47+'[5]Table 2A-2 EFT (Monthly) mar'!V47+'[5]Table 2A-2 EFT (Monthly)apr'!V47+'[5]Table 2A-2 EFT (Monthly)'!AY47+'[5]Table 2A-2 EFT (Monthly) mar'!AY47)*-1</f>
        <v>0</v>
      </c>
      <c r="AL48" s="1741">
        <f>('[5]Table 2A-2 EFT (Monthly)'!W47+'[5]Table 2A-2 EFT (Monthly)Aug'!W47+'[5]Table 2A-2 EFT (Monthly) sep'!W47+'[5]Table 2A-2 EFT (Monthly)oct'!W47+'[5]Table 2A-2 EFT (Monthly)oct'!W47+'[5]Table 2A-2 EFT (Monthly)dec'!W47+'[5]Table 2A-2 EFT (Monthly)jan'!W47+'[5]Table 2A-2 EFT (Monthly)feb'!W47+'[5]Table 2A-2 EFT (Monthly) mar'!W47+'[5]Table 2A-2 EFT (Monthly)apr'!W47+'[5]Table 2A-2 EFT (Monthly)'!AZ47+'[5]Table 2A-2 EFT (Monthly) mar'!AZ47)*-1</f>
        <v>0</v>
      </c>
      <c r="AM48" s="1741">
        <f>('[5]Table 2A-2 EFT (Monthly)'!X47+'[5]Table 2A-2 EFT (Monthly)Aug'!X47+'[5]Table 2A-2 EFT (Monthly) sep'!X47+'[5]Table 2A-2 EFT (Monthly)oct'!X47+'[5]Table 2A-2 EFT (Monthly)oct'!X47+'[5]Table 2A-2 EFT (Monthly)dec'!X47+'[5]Table 2A-2 EFT (Monthly)jan'!X47+'[5]Table 2A-2 EFT (Monthly)feb'!X47+'[5]Table 2A-2 EFT (Monthly) mar'!X47+'[5]Table 2A-2 EFT (Monthly)apr'!X47+'[5]Table 2A-2 EFT (Monthly)'!BA47+'[5]Table 2A-2 EFT (Monthly) mar'!BA47)*-1</f>
        <v>0</v>
      </c>
      <c r="AN48" s="1741">
        <f>('[5]Table 2A-2 EFT (Monthly) sep'!AD47+'[5]Table 2A-2 EFT (Monthly)dec'!AD47+'[5]Table 2A-2 EFT (Monthly)feb'!AD47)*-1</f>
        <v>6315.1434945864958</v>
      </c>
      <c r="AO48" s="1741">
        <f t="shared" si="30"/>
        <v>865008.73099458648</v>
      </c>
      <c r="AP48" s="563">
        <f t="shared" si="31"/>
        <v>4149876.0309945871</v>
      </c>
      <c r="AQ48" s="309">
        <f t="shared" si="32"/>
        <v>2074938</v>
      </c>
      <c r="AR48" s="309">
        <f>'Table 4A Stipends'!G45</f>
        <v>0</v>
      </c>
      <c r="AS48" s="354">
        <f t="shared" si="34"/>
        <v>19795677</v>
      </c>
      <c r="AU48" s="1339">
        <f>('Table 8 2.1.12 MFP Funded'!G45*'Table 3 Levels 1&amp;2'!AP49)+'Table 2_State with Midyear Adjs'!F48</f>
        <v>19812472.527503692</v>
      </c>
      <c r="AV48" s="753">
        <f t="shared" si="35"/>
        <v>-16795.527503691614</v>
      </c>
      <c r="AW48" s="280">
        <f t="shared" si="36"/>
        <v>-8.4772496115141855E-4</v>
      </c>
    </row>
    <row r="49" spans="1:49">
      <c r="A49" s="101">
        <v>43</v>
      </c>
      <c r="B49" s="299" t="s">
        <v>144</v>
      </c>
      <c r="C49" s="309">
        <f>'Table 3 Levels 1&amp;2'!AO50</f>
        <v>24621640.828324798</v>
      </c>
      <c r="D49" s="354">
        <f>'[2]Adjusted Amounts'!$C49</f>
        <v>-6441.7912199200791</v>
      </c>
      <c r="E49" s="354">
        <f>'[2]Adjusted Amounts'!$H49</f>
        <v>6666.3158296887595</v>
      </c>
      <c r="F49" s="354">
        <f t="shared" si="22"/>
        <v>224.52460976868042</v>
      </c>
      <c r="G49" s="309">
        <f t="shared" si="19"/>
        <v>224.52460976868042</v>
      </c>
      <c r="H49" s="354">
        <f t="shared" si="23"/>
        <v>0</v>
      </c>
      <c r="I49" s="354">
        <f>'[1]Midyear Adjustment Summary'!C47+'[1]Oct midyear Madison Prep'!K49+'[1]Oct midyear DArbonne'!K49+'[1]Oct midyear Intl_VIBE '!K49+'[1]Oct midyear NOMMA'!K49+'[1]Oct midyear LFNO'!K49+'[1]Oct midyear Lake Charles Chtr'!K49+'[1]Oct midyear LA Virtual Admy'!K46+'[1]Oct midyear LA Connections'!K46</f>
        <v>341606.48952976958</v>
      </c>
      <c r="J49" s="354">
        <f>'[1]Midyear Adjustment Summary'!D47+'[1]Feb midyear Madison Prep'!K49+'[1]Feb midyear DArbonne'!K49+'[1]Feb midyear Intl_VIBE '!K49+'[1]Feb midyear NOMMA'!K49+'[1]Feb midyear LFNO '!K49+'[1]Feb midyear Lake Charles Ch'!K49+'[1]Feb midyear LA Virtual Admy'!K46+'[1]Feb midyear LA Connections'!K46</f>
        <v>-53742.793108661754</v>
      </c>
      <c r="K49" s="354">
        <f t="shared" si="24"/>
        <v>287863.6964211078</v>
      </c>
      <c r="L49" s="354"/>
      <c r="M49" s="354">
        <f>-'Table 5C1A-Madison Prep'!L49</f>
        <v>0</v>
      </c>
      <c r="N49" s="354">
        <f>-'Table 5C1B-DArbonne'!L49</f>
        <v>0</v>
      </c>
      <c r="O49" s="354">
        <f>-'Table 5C1C-Intl_VIBE'!L49</f>
        <v>0</v>
      </c>
      <c r="P49" s="354">
        <f>-'Table 5C1D-NOMMA'!L49</f>
        <v>0</v>
      </c>
      <c r="Q49" s="354">
        <f>-'Table 5C1E-LFNO'!L49</f>
        <v>0</v>
      </c>
      <c r="R49" s="354">
        <f>-'Table 5C1F-Lake Charles Charter'!L49</f>
        <v>0</v>
      </c>
      <c r="S49" s="314">
        <f>-'Table 5C2 - LA Virtual Admy'!M47-'Table 5C2 - LA Virtual Admy'!I47</f>
        <v>-50101.078465110288</v>
      </c>
      <c r="T49" s="314">
        <f>-'Table 5C3 - LA Connections EBR'!M47-'Table 5C3 - LA Connections EBR'!I47</f>
        <v>-45058.628178007348</v>
      </c>
      <c r="U49" s="1692">
        <f t="shared" si="25"/>
        <v>-95159.706643117635</v>
      </c>
      <c r="V49" s="560">
        <f t="shared" si="26"/>
        <v>24814569</v>
      </c>
      <c r="W49" s="560">
        <f>[3]MFP!DT50</f>
        <v>20519532</v>
      </c>
      <c r="X49" s="560">
        <f t="shared" si="27"/>
        <v>0</v>
      </c>
      <c r="Y49" s="560">
        <f>'[4]Table 4B Rewards'!G46</f>
        <v>25361.550000000003</v>
      </c>
      <c r="Z49" s="560">
        <f t="shared" si="28"/>
        <v>20544893.550000001</v>
      </c>
      <c r="AA49" s="1737">
        <f t="shared" si="29"/>
        <v>4269675.4499999993</v>
      </c>
      <c r="AB49" s="1741">
        <f>('[5]Table 2A-2 EFT (Monthly)'!Z48+'[5]Table 2A-2 EFT (Monthly)Aug'!Z48+'[5]Table 2A-2 EFT (Monthly) sep'!Z48+'[5]Table 2A-2 EFT (Monthly)oct'!Z48+'[5]Table 2A-2 EFT (Monthly)oct'!Z48+'[5]Table 2A-2 EFT (Monthly)dec'!Z48+'[5]Table 2A-2 EFT (Monthly)jan'!Z48+'[5]Table 2A-2 EFT (Monthly)feb'!Z48+'[5]Table 2A-2 EFT (Monthly) mar'!Z48+'[5]Table 2A-2 EFT (Monthly)apr'!Z48)*-1</f>
        <v>4740</v>
      </c>
      <c r="AC49" s="1741">
        <f>('[5]Table 2A-2 EFT (Monthly)'!AA48+'[5]Table 2A-2 EFT (Monthly)Aug'!AA48+'[5]Table 2A-2 EFT (Monthly) sep'!AA48+'[5]Table 2A-2 EFT (Monthly)oct'!AA48+'[5]Table 2A-2 EFT (Monthly)oct'!AA48+'[5]Table 2A-2 EFT (Monthly)dec'!AA48+'[5]Table 2A-2 EFT (Monthly)jan'!AA48+'[5]Table 2A-2 EFT (Monthly)feb'!AA48+'[5]Table 2A-2 EFT (Monthly) mar'!AA48+'[5]Table 2A-2 EFT (Monthly)apr'!AA48)*-1</f>
        <v>0</v>
      </c>
      <c r="AD49" s="1741">
        <f>('[5]Table 2A-2 EFT (Monthly)'!AB48+'[5]Table 2A-2 EFT (Monthly)Aug'!AB48+'[5]Table 2A-2 EFT (Monthly) sep'!AB48+'[5]Table 2A-2 EFT (Monthly)oct'!AB48+'[5]Table 2A-2 EFT (Monthly)oct'!AB48+'[5]Table 2A-2 EFT (Monthly)dec'!AB48+'[5]Table 2A-2 EFT (Monthly)jan'!AB48+'[5]Table 2A-2 EFT (Monthly)feb'!AB48+'[5]Table 2A-2 EFT (Monthly) mar'!AB48+'[5]Table 2A-2 EFT (Monthly)apr'!AB48)*-1</f>
        <v>1120</v>
      </c>
      <c r="AE49" s="1741">
        <f>('[5]Table 2A-2 EFT (Monthly)'!AC48+'[5]Table 2A-2 EFT (Monthly)Aug'!AC48+'[5]Table 2A-2 EFT (Monthly) sep'!AC48+'[5]Table 2A-2 EFT (Monthly)oct'!AC48+'[5]Table 2A-2 EFT (Monthly)oct'!AC48+'[5]Table 2A-2 EFT (Monthly)dec'!AC48+'[5]Table 2A-2 EFT (Monthly)jan'!AC48+'[5]Table 2A-2 EFT (Monthly)feb'!AC48+'[5]Table 2A-2 EFT (Monthly) mar'!AC48+'[5]Table 2A-2 EFT (Monthly)apr'!AC48)*-1</f>
        <v>5880</v>
      </c>
      <c r="AF49" s="1741">
        <f>('[5]Table 2A-2 EFT (Monthly)'!Q48+'[5]Table 2A-2 EFT (Monthly)Aug'!Q48+'[5]Table 2A-2 EFT (Monthly) sep'!Q48+'[5]Table 2A-2 EFT (Monthly)oct'!Q48+'[5]Table 2A-2 EFT (Monthly)oct'!Q48+'[5]Table 2A-2 EFT (Monthly)dec'!Q48+'[5]Table 2A-2 EFT (Monthly)jan'!Q48+'[5]Table 2A-2 EFT (Monthly)feb'!Q48+'[5]Table 2A-2 EFT (Monthly) mar'!Q48+'[5]Table 2A-2 EFT (Monthly)apr'!Q48+'[5]Table 2A-2 EFT (Monthly)'!AT48+'[5]Table 2A-2 EFT (Monthly) mar'!AT48)*-1</f>
        <v>0</v>
      </c>
      <c r="AG49" s="1741">
        <f>('[5]Table 2A-2 EFT (Monthly)'!R48+'[5]Table 2A-2 EFT (Monthly)Aug'!R48+'[5]Table 2A-2 EFT (Monthly) sep'!R48+'[5]Table 2A-2 EFT (Monthly)oct'!R48+'[5]Table 2A-2 EFT (Monthly)oct'!R48+'[5]Table 2A-2 EFT (Monthly)dec'!R48+'[5]Table 2A-2 EFT (Monthly)jan'!R48+'[5]Table 2A-2 EFT (Monthly)feb'!R48+'[5]Table 2A-2 EFT (Monthly) mar'!R48+'[5]Table 2A-2 EFT (Monthly)apr'!R48+'[5]Table 2A-2 EFT (Monthly)'!AU48+'[5]Table 2A-2 EFT (Monthly) mar'!AU48)*-1</f>
        <v>0</v>
      </c>
      <c r="AH49" s="1741">
        <f>('[5]Table 2A-2 EFT (Monthly)'!S48+'[5]Table 2A-2 EFT (Monthly)Aug'!S48+'[5]Table 2A-2 EFT (Monthly) sep'!S48+'[5]Table 2A-2 EFT (Monthly)oct'!S48+'[5]Table 2A-2 EFT (Monthly)oct'!S48+'[5]Table 2A-2 EFT (Monthly)dec'!S48+'[5]Table 2A-2 EFT (Monthly)jan'!S48+'[5]Table 2A-2 EFT (Monthly)feb'!S48+'[5]Table 2A-2 EFT (Monthly) mar'!S48+'[5]Table 2A-2 EFT (Monthly)apr'!S48+'[5]Table 2A-2 EFT (Monthly)'!AV48+'[5]Table 2A-2 EFT (Monthly) mar'!AV48)*-1</f>
        <v>0</v>
      </c>
      <c r="AI49" s="1741">
        <f>('[5]Table 2A-2 EFT (Monthly)'!T48+'[5]Table 2A-2 EFT (Monthly)Aug'!T48+'[5]Table 2A-2 EFT (Monthly) sep'!T48+'[5]Table 2A-2 EFT (Monthly)oct'!T48+'[5]Table 2A-2 EFT (Monthly)oct'!T48+'[5]Table 2A-2 EFT (Monthly)dec'!T48+'[5]Table 2A-2 EFT (Monthly)jan'!T48+'[5]Table 2A-2 EFT (Monthly)feb'!T48+'[5]Table 2A-2 EFT (Monthly) mar'!T48+'[5]Table 2A-2 EFT (Monthly)apr'!T48+'[5]Table 2A-2 EFT (Monthly)'!AW48+'[5]Table 2A-2 EFT (Monthly) mar'!AW48)*-1</f>
        <v>0</v>
      </c>
      <c r="AJ49" s="1741">
        <f>('[5]Table 2A-2 EFT (Monthly)'!U48+'[5]Table 2A-2 EFT (Monthly)Aug'!U48+'[5]Table 2A-2 EFT (Monthly) sep'!U48+'[5]Table 2A-2 EFT (Monthly)oct'!U48+'[5]Table 2A-2 EFT (Monthly)oct'!U48+'[5]Table 2A-2 EFT (Monthly)dec'!U48+'[5]Table 2A-2 EFT (Monthly)jan'!U48+'[5]Table 2A-2 EFT (Monthly)feb'!U48+'[5]Table 2A-2 EFT (Monthly) mar'!U48+'[5]Table 2A-2 EFT (Monthly)apr'!U48+'[5]Table 2A-2 EFT (Monthly)'!AX48+'[5]Table 2A-2 EFT (Monthly) mar'!AX48)*-1</f>
        <v>0</v>
      </c>
      <c r="AK49" s="1741">
        <f>('[5]Table 2A-2 EFT (Monthly)'!V48+'[5]Table 2A-2 EFT (Monthly)Aug'!V48+'[5]Table 2A-2 EFT (Monthly) sep'!V48+'[5]Table 2A-2 EFT (Monthly)oct'!V48+'[5]Table 2A-2 EFT (Monthly)oct'!V48+'[5]Table 2A-2 EFT (Monthly)dec'!V48+'[5]Table 2A-2 EFT (Monthly)jan'!V48+'[5]Table 2A-2 EFT (Monthly)feb'!V48+'[5]Table 2A-2 EFT (Monthly) mar'!V48+'[5]Table 2A-2 EFT (Monthly)apr'!V48+'[5]Table 2A-2 EFT (Monthly)'!AY48+'[5]Table 2A-2 EFT (Monthly) mar'!AY48)*-1</f>
        <v>0</v>
      </c>
      <c r="AL49" s="1741">
        <f>('[5]Table 2A-2 EFT (Monthly)'!W48+'[5]Table 2A-2 EFT (Monthly)Aug'!W48+'[5]Table 2A-2 EFT (Monthly) sep'!W48+'[5]Table 2A-2 EFT (Monthly)oct'!W48+'[5]Table 2A-2 EFT (Monthly)oct'!W48+'[5]Table 2A-2 EFT (Monthly)dec'!W48+'[5]Table 2A-2 EFT (Monthly)jan'!W48+'[5]Table 2A-2 EFT (Monthly)feb'!W48+'[5]Table 2A-2 EFT (Monthly) mar'!W48+'[5]Table 2A-2 EFT (Monthly)apr'!W48+'[5]Table 2A-2 EFT (Monthly)'!AZ48+'[5]Table 2A-2 EFT (Monthly) mar'!AZ48)*-1</f>
        <v>0</v>
      </c>
      <c r="AM49" s="1741">
        <f>('[5]Table 2A-2 EFT (Monthly)'!X48+'[5]Table 2A-2 EFT (Monthly)Aug'!X48+'[5]Table 2A-2 EFT (Monthly) sep'!X48+'[5]Table 2A-2 EFT (Monthly)oct'!X48+'[5]Table 2A-2 EFT (Monthly)oct'!X48+'[5]Table 2A-2 EFT (Monthly)dec'!X48+'[5]Table 2A-2 EFT (Monthly)jan'!X48+'[5]Table 2A-2 EFT (Monthly)feb'!X48+'[5]Table 2A-2 EFT (Monthly) mar'!X48+'[5]Table 2A-2 EFT (Monthly)apr'!X48+'[5]Table 2A-2 EFT (Monthly)'!BA48+'[5]Table 2A-2 EFT (Monthly) mar'!BA48)*-1</f>
        <v>0</v>
      </c>
      <c r="AN49" s="1741">
        <f>('[5]Table 2A-2 EFT (Monthly) sep'!AD48+'[5]Table 2A-2 EFT (Monthly)dec'!AD48+'[5]Table 2A-2 EFT (Monthly)feb'!AD48)*-1</f>
        <v>0</v>
      </c>
      <c r="AO49" s="1741">
        <f t="shared" si="30"/>
        <v>11740</v>
      </c>
      <c r="AP49" s="560">
        <f t="shared" si="31"/>
        <v>4281415.4499999993</v>
      </c>
      <c r="AQ49" s="309">
        <f t="shared" si="32"/>
        <v>2140708</v>
      </c>
      <c r="AR49" s="309">
        <f>'Table 4A Stipends'!G46</f>
        <v>0</v>
      </c>
      <c r="AS49" s="309">
        <f t="shared" si="34"/>
        <v>24814569</v>
      </c>
      <c r="AU49" s="1339">
        <f>('Table 8 2.1.12 MFP Funded'!G46*'Table 3 Levels 1&amp;2'!AP50)+'Table 2_State with Midyear Adjs'!F49</f>
        <v>24492147.726894721</v>
      </c>
      <c r="AV49" s="753">
        <f t="shared" si="35"/>
        <v>322421.27310527861</v>
      </c>
      <c r="AW49" s="280">
        <f t="shared" si="36"/>
        <v>1.3164271124791118E-2</v>
      </c>
    </row>
    <row r="50" spans="1:49">
      <c r="A50" s="101">
        <v>44</v>
      </c>
      <c r="B50" s="299" t="s">
        <v>145</v>
      </c>
      <c r="C50" s="309">
        <f>'Table 3 Levels 1&amp;2'!AO51</f>
        <v>28027338.193700001</v>
      </c>
      <c r="D50" s="354">
        <f>'[2]Adjusted Amounts'!$C50</f>
        <v>18142.28052498664</v>
      </c>
      <c r="E50" s="354">
        <f>'[2]Adjusted Amounts'!$H50</f>
        <v>-24705.854850118099</v>
      </c>
      <c r="F50" s="354">
        <f t="shared" si="22"/>
        <v>-6563.5743251314598</v>
      </c>
      <c r="G50" s="309">
        <f t="shared" si="19"/>
        <v>0</v>
      </c>
      <c r="H50" s="354">
        <f t="shared" si="23"/>
        <v>-6563.5743251314598</v>
      </c>
      <c r="I50" s="354">
        <f>'[1]Midyear Adjustment Summary'!C48+'[1]Oct midyear Madison Prep'!K50+'[1]Oct midyear DArbonne'!K50+'[1]Oct midyear Intl_VIBE '!K50+'[1]Oct midyear NOMMA'!K50+'[1]Oct midyear LFNO'!K50+'[1]Oct midyear Lake Charles Chtr'!K50+'[1]Oct midyear LA Virtual Admy'!K47+'[1]Oct midyear LA Connections'!K47</f>
        <v>2108317.1762477541</v>
      </c>
      <c r="J50" s="354">
        <f>'[1]Midyear Adjustment Summary'!D48+'[1]Feb midyear Madison Prep'!K50+'[1]Feb midyear DArbonne'!K50+'[1]Feb midyear Intl_VIBE '!K50+'[1]Feb midyear NOMMA'!K50+'[1]Feb midyear LFNO '!K50+'[1]Feb midyear Lake Charles Ch'!K50+'[1]Feb midyear LA Virtual Admy'!K47+'[1]Feb midyear LA Connections'!K47</f>
        <v>199105.54944814209</v>
      </c>
      <c r="K50" s="354">
        <f t="shared" si="24"/>
        <v>2307422.7256958964</v>
      </c>
      <c r="L50" s="354"/>
      <c r="M50" s="49">
        <f>-'Table 5C1A-Madison Prep'!L50</f>
        <v>0</v>
      </c>
      <c r="N50" s="354">
        <f>-'Table 5C1B-DArbonne'!L50</f>
        <v>0</v>
      </c>
      <c r="O50" s="354">
        <f>-'Table 5C1C-Intl_VIBE'!L50</f>
        <v>-16751.668823761953</v>
      </c>
      <c r="P50" s="354">
        <f>-'Table 5C1D-NOMMA'!L50</f>
        <v>-9572.3821850068307</v>
      </c>
      <c r="Q50" s="354">
        <f>-'Table 5C1E-LFNO'!L50</f>
        <v>-9572.3821850068307</v>
      </c>
      <c r="R50" s="354">
        <f>-'Table 5C1F-Lake Charles Charter'!L50</f>
        <v>0</v>
      </c>
      <c r="S50" s="314">
        <f>-'Table 5C2 - LA Virtual Admy'!M48-'Table 5C2 - LA Virtual Admy'!I48</f>
        <v>-17138.017487637466</v>
      </c>
      <c r="T50" s="314">
        <f>-'Table 5C3 - LA Connections EBR'!M48-'Table 5C3 - LA Connections EBR'!I48</f>
        <v>-42571.146277905573</v>
      </c>
      <c r="U50" s="1692">
        <f t="shared" si="25"/>
        <v>-95605.596959318646</v>
      </c>
      <c r="V50" s="560">
        <f t="shared" si="26"/>
        <v>30232592</v>
      </c>
      <c r="W50" s="560">
        <f>[3]MFP!DT51</f>
        <v>24362753</v>
      </c>
      <c r="X50" s="560">
        <f t="shared" si="27"/>
        <v>0</v>
      </c>
      <c r="Y50" s="560">
        <f>'[4]Table 4B Rewards'!G47</f>
        <v>42269.25</v>
      </c>
      <c r="Z50" s="560">
        <f t="shared" si="28"/>
        <v>24405022.25</v>
      </c>
      <c r="AA50" s="1737">
        <f t="shared" si="29"/>
        <v>5827569.75</v>
      </c>
      <c r="AB50" s="1741">
        <f>('[5]Table 2A-2 EFT (Monthly)'!Z49+'[5]Table 2A-2 EFT (Monthly)Aug'!Z49+'[5]Table 2A-2 EFT (Monthly) sep'!Z49+'[5]Table 2A-2 EFT (Monthly)oct'!Z49+'[5]Table 2A-2 EFT (Monthly)oct'!Z49+'[5]Table 2A-2 EFT (Monthly)dec'!Z49+'[5]Table 2A-2 EFT (Monthly)jan'!Z49+'[5]Table 2A-2 EFT (Monthly)feb'!Z49+'[5]Table 2A-2 EFT (Monthly) mar'!Z49+'[5]Table 2A-2 EFT (Monthly)apr'!Z49)*-1</f>
        <v>3862</v>
      </c>
      <c r="AC50" s="1741">
        <f>('[5]Table 2A-2 EFT (Monthly)'!AA49+'[5]Table 2A-2 EFT (Monthly)Aug'!AA49+'[5]Table 2A-2 EFT (Monthly) sep'!AA49+'[5]Table 2A-2 EFT (Monthly)oct'!AA49+'[5]Table 2A-2 EFT (Monthly)oct'!AA49+'[5]Table 2A-2 EFT (Monthly)dec'!AA49+'[5]Table 2A-2 EFT (Monthly)jan'!AA49+'[5]Table 2A-2 EFT (Monthly)feb'!AA49+'[5]Table 2A-2 EFT (Monthly) mar'!AA49+'[5]Table 2A-2 EFT (Monthly)apr'!AA49)*-1</f>
        <v>8688</v>
      </c>
      <c r="AD50" s="1741">
        <f>('[5]Table 2A-2 EFT (Monthly)'!AB49+'[5]Table 2A-2 EFT (Monthly)Aug'!AB49+'[5]Table 2A-2 EFT (Monthly) sep'!AB49+'[5]Table 2A-2 EFT (Monthly)oct'!AB49+'[5]Table 2A-2 EFT (Monthly)oct'!AB49+'[5]Table 2A-2 EFT (Monthly)dec'!AB49+'[5]Table 2A-2 EFT (Monthly)jan'!AB49+'[5]Table 2A-2 EFT (Monthly)feb'!AB49+'[5]Table 2A-2 EFT (Monthly) mar'!AB49+'[5]Table 2A-2 EFT (Monthly)apr'!AB49)*-1</f>
        <v>19336</v>
      </c>
      <c r="AE50" s="1741">
        <f>('[5]Table 2A-2 EFT (Monthly)'!AC49+'[5]Table 2A-2 EFT (Monthly)Aug'!AC49+'[5]Table 2A-2 EFT (Monthly) sep'!AC49+'[5]Table 2A-2 EFT (Monthly)oct'!AC49+'[5]Table 2A-2 EFT (Monthly)oct'!AC49+'[5]Table 2A-2 EFT (Monthly)dec'!AC49+'[5]Table 2A-2 EFT (Monthly)jan'!AC49+'[5]Table 2A-2 EFT (Monthly)feb'!AC49+'[5]Table 2A-2 EFT (Monthly) mar'!AC49+'[5]Table 2A-2 EFT (Monthly)apr'!AC49)*-1</f>
        <v>6552</v>
      </c>
      <c r="AF50" s="1741">
        <f>('[5]Table 2A-2 EFT (Monthly)'!Q49+'[5]Table 2A-2 EFT (Monthly)Aug'!Q49+'[5]Table 2A-2 EFT (Monthly) sep'!Q49+'[5]Table 2A-2 EFT (Monthly)oct'!Q49+'[5]Table 2A-2 EFT (Monthly)oct'!Q49+'[5]Table 2A-2 EFT (Monthly)dec'!Q49+'[5]Table 2A-2 EFT (Monthly)jan'!Q49+'[5]Table 2A-2 EFT (Monthly)feb'!Q49+'[5]Table 2A-2 EFT (Monthly) mar'!Q49+'[5]Table 2A-2 EFT (Monthly)apr'!Q49+'[5]Table 2A-2 EFT (Monthly)'!AT49+'[5]Table 2A-2 EFT (Monthly) mar'!AT49)*-1</f>
        <v>0</v>
      </c>
      <c r="AG50" s="1741">
        <f>('[5]Table 2A-2 EFT (Monthly)'!R49+'[5]Table 2A-2 EFT (Monthly)Aug'!R49+'[5]Table 2A-2 EFT (Monthly) sep'!R49+'[5]Table 2A-2 EFT (Monthly)oct'!R49+'[5]Table 2A-2 EFT (Monthly)oct'!R49+'[5]Table 2A-2 EFT (Monthly)dec'!R49+'[5]Table 2A-2 EFT (Monthly)jan'!R49+'[5]Table 2A-2 EFT (Monthly)feb'!R49+'[5]Table 2A-2 EFT (Monthly) mar'!R49+'[5]Table 2A-2 EFT (Monthly)apr'!R49+'[5]Table 2A-2 EFT (Monthly)'!AU49+'[5]Table 2A-2 EFT (Monthly) mar'!AU49)*-1</f>
        <v>0</v>
      </c>
      <c r="AH50" s="1741">
        <f>('[5]Table 2A-2 EFT (Monthly)'!S49+'[5]Table 2A-2 EFT (Monthly)Aug'!S49+'[5]Table 2A-2 EFT (Monthly) sep'!S49+'[5]Table 2A-2 EFT (Monthly)oct'!S49+'[5]Table 2A-2 EFT (Monthly)oct'!S49+'[5]Table 2A-2 EFT (Monthly)dec'!S49+'[5]Table 2A-2 EFT (Monthly)jan'!S49+'[5]Table 2A-2 EFT (Monthly)feb'!S49+'[5]Table 2A-2 EFT (Monthly) mar'!S49+'[5]Table 2A-2 EFT (Monthly)apr'!S49+'[5]Table 2A-2 EFT (Monthly)'!AV49+'[5]Table 2A-2 EFT (Monthly) mar'!AV49)*-1</f>
        <v>42533.100000000006</v>
      </c>
      <c r="AI50" s="1741">
        <f>('[5]Table 2A-2 EFT (Monthly)'!T49+'[5]Table 2A-2 EFT (Monthly)Aug'!T49+'[5]Table 2A-2 EFT (Monthly) sep'!T49+'[5]Table 2A-2 EFT (Monthly)oct'!T49+'[5]Table 2A-2 EFT (Monthly)oct'!T49+'[5]Table 2A-2 EFT (Monthly)dec'!T49+'[5]Table 2A-2 EFT (Monthly)jan'!T49+'[5]Table 2A-2 EFT (Monthly)feb'!T49+'[5]Table 2A-2 EFT (Monthly) mar'!T49+'[5]Table 2A-2 EFT (Monthly)apr'!T49+'[5]Table 2A-2 EFT (Monthly)'!AW49+'[5]Table 2A-2 EFT (Monthly) mar'!AW49)*-1</f>
        <v>0</v>
      </c>
      <c r="AJ50" s="1741">
        <f>('[5]Table 2A-2 EFT (Monthly)'!U49+'[5]Table 2A-2 EFT (Monthly)Aug'!U49+'[5]Table 2A-2 EFT (Monthly) sep'!U49+'[5]Table 2A-2 EFT (Monthly)oct'!U49+'[5]Table 2A-2 EFT (Monthly)oct'!U49+'[5]Table 2A-2 EFT (Monthly)dec'!U49+'[5]Table 2A-2 EFT (Monthly)jan'!U49+'[5]Table 2A-2 EFT (Monthly)feb'!U49+'[5]Table 2A-2 EFT (Monthly) mar'!U49+'[5]Table 2A-2 EFT (Monthly)apr'!U49+'[5]Table 2A-2 EFT (Monthly)'!AX49+'[5]Table 2A-2 EFT (Monthly) mar'!AX49)*-1</f>
        <v>0</v>
      </c>
      <c r="AK50" s="1741">
        <f>('[5]Table 2A-2 EFT (Monthly)'!V49+'[5]Table 2A-2 EFT (Monthly)Aug'!V49+'[5]Table 2A-2 EFT (Monthly) sep'!V49+'[5]Table 2A-2 EFT (Monthly)oct'!V49+'[5]Table 2A-2 EFT (Monthly)oct'!V49+'[5]Table 2A-2 EFT (Monthly)dec'!V49+'[5]Table 2A-2 EFT (Monthly)jan'!V49+'[5]Table 2A-2 EFT (Monthly)feb'!V49+'[5]Table 2A-2 EFT (Monthly) mar'!V49+'[5]Table 2A-2 EFT (Monthly)apr'!V49+'[5]Table 2A-2 EFT (Monthly)'!AY49+'[5]Table 2A-2 EFT (Monthly) mar'!AY49)*-1</f>
        <v>3605.2725</v>
      </c>
      <c r="AL50" s="1741">
        <f>('[5]Table 2A-2 EFT (Monthly)'!W49+'[5]Table 2A-2 EFT (Monthly)Aug'!W49+'[5]Table 2A-2 EFT (Monthly) sep'!W49+'[5]Table 2A-2 EFT (Monthly)oct'!W49+'[5]Table 2A-2 EFT (Monthly)oct'!W49+'[5]Table 2A-2 EFT (Monthly)dec'!W49+'[5]Table 2A-2 EFT (Monthly)jan'!W49+'[5]Table 2A-2 EFT (Monthly)feb'!W49+'[5]Table 2A-2 EFT (Monthly) mar'!W49+'[5]Table 2A-2 EFT (Monthly)apr'!W49+'[5]Table 2A-2 EFT (Monthly)'!AZ49+'[5]Table 2A-2 EFT (Monthly) mar'!AZ49)*-1</f>
        <v>0</v>
      </c>
      <c r="AM50" s="1741">
        <f>('[5]Table 2A-2 EFT (Monthly)'!X49+'[5]Table 2A-2 EFT (Monthly)Aug'!X49+'[5]Table 2A-2 EFT (Monthly) sep'!X49+'[5]Table 2A-2 EFT (Monthly)oct'!X49+'[5]Table 2A-2 EFT (Monthly)oct'!X49+'[5]Table 2A-2 EFT (Monthly)dec'!X49+'[5]Table 2A-2 EFT (Monthly)jan'!X49+'[5]Table 2A-2 EFT (Monthly)feb'!X49+'[5]Table 2A-2 EFT (Monthly) mar'!X49+'[5]Table 2A-2 EFT (Monthly)apr'!X49+'[5]Table 2A-2 EFT (Monthly)'!BA49+'[5]Table 2A-2 EFT (Monthly) mar'!BA49)*-1</f>
        <v>4118.5450000000001</v>
      </c>
      <c r="AN50" s="1741">
        <f>('[5]Table 2A-2 EFT (Monthly) sep'!AD49+'[5]Table 2A-2 EFT (Monthly)dec'!AD49+'[5]Table 2A-2 EFT (Monthly)feb'!AD49)*-1</f>
        <v>34761.676825007766</v>
      </c>
      <c r="AO50" s="1741">
        <f t="shared" si="30"/>
        <v>123456.59432500778</v>
      </c>
      <c r="AP50" s="560">
        <f t="shared" si="31"/>
        <v>5951026.3443250079</v>
      </c>
      <c r="AQ50" s="309">
        <f t="shared" si="32"/>
        <v>2975513</v>
      </c>
      <c r="AR50" s="309">
        <f>'Table 4A Stipends'!G47</f>
        <v>0</v>
      </c>
      <c r="AS50" s="309">
        <f t="shared" si="34"/>
        <v>30232592</v>
      </c>
      <c r="AU50" s="1339">
        <f>('Table 8 2.1.12 MFP Funded'!G47*'Table 3 Levels 1&amp;2'!AP51)+'Table 2_State with Midyear Adjs'!F50</f>
        <v>27972913.727650654</v>
      </c>
      <c r="AV50" s="753">
        <f t="shared" si="35"/>
        <v>2259678.2723493464</v>
      </c>
      <c r="AW50" s="280">
        <f t="shared" si="36"/>
        <v>8.0780940246339111E-2</v>
      </c>
    </row>
    <row r="51" spans="1:49">
      <c r="A51" s="102">
        <v>45</v>
      </c>
      <c r="B51" s="300" t="s">
        <v>146</v>
      </c>
      <c r="C51" s="318">
        <f>'Table 3 Levels 1&amp;2'!AO52</f>
        <v>29957547.311999999</v>
      </c>
      <c r="D51" s="355">
        <f>'[2]Adjusted Amounts'!$C51</f>
        <v>1565.9466986359766</v>
      </c>
      <c r="E51" s="355">
        <f>'[2]Adjusted Amounts'!$H51</f>
        <v>-10343.049842928602</v>
      </c>
      <c r="F51" s="355">
        <f t="shared" si="22"/>
        <v>-8777.1031442926251</v>
      </c>
      <c r="G51" s="318">
        <f t="shared" si="19"/>
        <v>0</v>
      </c>
      <c r="H51" s="355">
        <f t="shared" si="23"/>
        <v>-8777.1031442926251</v>
      </c>
      <c r="I51" s="355">
        <f>'[1]Midyear Adjustment Summary'!C49+'[1]Oct midyear Madison Prep'!K51+'[1]Oct midyear DArbonne'!K51+'[1]Oct midyear Intl_VIBE '!K51+'[1]Oct midyear NOMMA'!K51+'[1]Oct midyear LFNO'!K51+'[1]Oct midyear Lake Charles Chtr'!K51+'[1]Oct midyear LA Virtual Admy'!K48+'[1]Oct midyear LA Connections'!K48</f>
        <v>269250.98593519605</v>
      </c>
      <c r="J51" s="355">
        <f>'[1]Midyear Adjustment Summary'!D49+'[1]Feb midyear Madison Prep'!K51+'[1]Feb midyear DArbonne'!K51+'[1]Feb midyear Intl_VIBE '!K51+'[1]Feb midyear NOMMA'!K51+'[1]Feb midyear LFNO '!K51+'[1]Feb midyear Lake Charles Ch'!K51+'[1]Feb midyear LA Virtual Admy'!K48+'[1]Feb midyear LA Connections'!K48</f>
        <v>-33258.543770955068</v>
      </c>
      <c r="K51" s="355">
        <f t="shared" si="24"/>
        <v>235992.44216424099</v>
      </c>
      <c r="L51" s="355"/>
      <c r="M51" s="58">
        <f>-'Table 5C1A-Madison Prep'!L51</f>
        <v>0</v>
      </c>
      <c r="N51" s="355">
        <f>-'Table 5C1B-DArbonne'!L51</f>
        <v>0</v>
      </c>
      <c r="O51" s="355">
        <f>-'Table 5C1C-Intl_VIBE'!L51</f>
        <v>-6365.2715351110164</v>
      </c>
      <c r="P51" s="355">
        <f>-'Table 5C1D-NOMMA'!L51</f>
        <v>0</v>
      </c>
      <c r="Q51" s="355">
        <f>-'Table 5C1E-LFNO'!L51</f>
        <v>-3182.6357675555082</v>
      </c>
      <c r="R51" s="355">
        <f>-'Table 5C1F-Lake Charles Charter'!L51</f>
        <v>0</v>
      </c>
      <c r="S51" s="321">
        <f>-'Table 5C2 - LA Virtual Admy'!M49-'Table 5C2 - LA Virtual Admy'!I49</f>
        <v>-6214.479535111017</v>
      </c>
      <c r="T51" s="321">
        <f>-'Table 5C3 - LA Connections EBR'!M49-'Table 5C3 - LA Connections EBR'!I49</f>
        <v>-71634.324135132279</v>
      </c>
      <c r="U51" s="321">
        <f t="shared" si="25"/>
        <v>-87396.710972909816</v>
      </c>
      <c r="V51" s="561">
        <f t="shared" si="26"/>
        <v>30097366</v>
      </c>
      <c r="W51" s="561">
        <f>[3]MFP!DT52</f>
        <v>24879165</v>
      </c>
      <c r="X51" s="561">
        <f t="shared" si="27"/>
        <v>0</v>
      </c>
      <c r="Y51" s="561">
        <f>'[4]Table 4B Rewards'!G48</f>
        <v>67630.8</v>
      </c>
      <c r="Z51" s="561">
        <f t="shared" si="28"/>
        <v>24946795.800000001</v>
      </c>
      <c r="AA51" s="561">
        <f t="shared" si="29"/>
        <v>5150570.1999999993</v>
      </c>
      <c r="AB51" s="1742">
        <f>('[5]Table 2A-2 EFT (Monthly)'!Z50+'[5]Table 2A-2 EFT (Monthly)Aug'!Z50+'[5]Table 2A-2 EFT (Monthly) sep'!Z50+'[5]Table 2A-2 EFT (Monthly)oct'!Z50+'[5]Table 2A-2 EFT (Monthly)oct'!Z50+'[5]Table 2A-2 EFT (Monthly)dec'!Z50+'[5]Table 2A-2 EFT (Monthly)jan'!Z50+'[5]Table 2A-2 EFT (Monthly)feb'!Z50+'[5]Table 2A-2 EFT (Monthly) mar'!Z50+'[5]Table 2A-2 EFT (Monthly)apr'!Z50)*-1</f>
        <v>14678</v>
      </c>
      <c r="AC51" s="1742">
        <f>('[5]Table 2A-2 EFT (Monthly)'!AA50+'[5]Table 2A-2 EFT (Monthly)Aug'!AA50+'[5]Table 2A-2 EFT (Monthly) sep'!AA50+'[5]Table 2A-2 EFT (Monthly)oct'!AA50+'[5]Table 2A-2 EFT (Monthly)oct'!AA50+'[5]Table 2A-2 EFT (Monthly)dec'!AA50+'[5]Table 2A-2 EFT (Monthly)jan'!AA50+'[5]Table 2A-2 EFT (Monthly)feb'!AA50+'[5]Table 2A-2 EFT (Monthly) mar'!AA50+'[5]Table 2A-2 EFT (Monthly)apr'!AA50)*-1</f>
        <v>15766</v>
      </c>
      <c r="AD51" s="1742">
        <f>('[5]Table 2A-2 EFT (Monthly)'!AB50+'[5]Table 2A-2 EFT (Monthly)Aug'!AB50+'[5]Table 2A-2 EFT (Monthly) sep'!AB50+'[5]Table 2A-2 EFT (Monthly)oct'!AB50+'[5]Table 2A-2 EFT (Monthly)oct'!AB50+'[5]Table 2A-2 EFT (Monthly)dec'!AB50+'[5]Table 2A-2 EFT (Monthly)jan'!AB50+'[5]Table 2A-2 EFT (Monthly)feb'!AB50+'[5]Table 2A-2 EFT (Monthly) mar'!AB50+'[5]Table 2A-2 EFT (Monthly)apr'!AB50)*-1</f>
        <v>1252</v>
      </c>
      <c r="AE51" s="1742">
        <f>('[5]Table 2A-2 EFT (Monthly)'!AC50+'[5]Table 2A-2 EFT (Monthly)Aug'!AC50+'[5]Table 2A-2 EFT (Monthly) sep'!AC50+'[5]Table 2A-2 EFT (Monthly)oct'!AC50+'[5]Table 2A-2 EFT (Monthly)oct'!AC50+'[5]Table 2A-2 EFT (Monthly)dec'!AC50+'[5]Table 2A-2 EFT (Monthly)jan'!AC50+'[5]Table 2A-2 EFT (Monthly)feb'!AC50+'[5]Table 2A-2 EFT (Monthly) mar'!AC50+'[5]Table 2A-2 EFT (Monthly)apr'!AC50)*-1</f>
        <v>10430</v>
      </c>
      <c r="AF51" s="1742">
        <f>('[5]Table 2A-2 EFT (Monthly)'!Q50+'[5]Table 2A-2 EFT (Monthly)Aug'!Q50+'[5]Table 2A-2 EFT (Monthly) sep'!Q50+'[5]Table 2A-2 EFT (Monthly)oct'!Q50+'[5]Table 2A-2 EFT (Monthly)oct'!Q50+'[5]Table 2A-2 EFT (Monthly)dec'!Q50+'[5]Table 2A-2 EFT (Monthly)jan'!Q50+'[5]Table 2A-2 EFT (Monthly)feb'!Q50+'[5]Table 2A-2 EFT (Monthly) mar'!Q50+'[5]Table 2A-2 EFT (Monthly)apr'!Q50+'[5]Table 2A-2 EFT (Monthly)'!AT50+'[5]Table 2A-2 EFT (Monthly) mar'!AT50)*-1</f>
        <v>0</v>
      </c>
      <c r="AG51" s="1742">
        <f>('[5]Table 2A-2 EFT (Monthly)'!R50+'[5]Table 2A-2 EFT (Monthly)Aug'!R50+'[5]Table 2A-2 EFT (Monthly) sep'!R50+'[5]Table 2A-2 EFT (Monthly)oct'!R50+'[5]Table 2A-2 EFT (Monthly)oct'!R50+'[5]Table 2A-2 EFT (Monthly)dec'!R50+'[5]Table 2A-2 EFT (Monthly)jan'!R50+'[5]Table 2A-2 EFT (Monthly)feb'!R50+'[5]Table 2A-2 EFT (Monthly) mar'!R50+'[5]Table 2A-2 EFT (Monthly)apr'!R50+'[5]Table 2A-2 EFT (Monthly)'!AU50+'[5]Table 2A-2 EFT (Monthly) mar'!AU50)*-1</f>
        <v>0</v>
      </c>
      <c r="AH51" s="1742">
        <f>('[5]Table 2A-2 EFT (Monthly)'!S50+'[5]Table 2A-2 EFT (Monthly)Aug'!S50+'[5]Table 2A-2 EFT (Monthly) sep'!S50+'[5]Table 2A-2 EFT (Monthly)oct'!S50+'[5]Table 2A-2 EFT (Monthly)oct'!S50+'[5]Table 2A-2 EFT (Monthly)dec'!S50+'[5]Table 2A-2 EFT (Monthly)jan'!S50+'[5]Table 2A-2 EFT (Monthly)feb'!S50+'[5]Table 2A-2 EFT (Monthly) mar'!S50+'[5]Table 2A-2 EFT (Monthly)apr'!S50+'[5]Table 2A-2 EFT (Monthly)'!AV50+'[5]Table 2A-2 EFT (Monthly) mar'!AV50)*-1</f>
        <v>45085.262500000004</v>
      </c>
      <c r="AI51" s="1742">
        <f>('[5]Table 2A-2 EFT (Monthly)'!T50+'[5]Table 2A-2 EFT (Monthly)Aug'!T50+'[5]Table 2A-2 EFT (Monthly) sep'!T50+'[5]Table 2A-2 EFT (Monthly)oct'!T50+'[5]Table 2A-2 EFT (Monthly)oct'!T50+'[5]Table 2A-2 EFT (Monthly)dec'!T50+'[5]Table 2A-2 EFT (Monthly)jan'!T50+'[5]Table 2A-2 EFT (Monthly)feb'!T50+'[5]Table 2A-2 EFT (Monthly) mar'!T50+'[5]Table 2A-2 EFT (Monthly)apr'!T50+'[5]Table 2A-2 EFT (Monthly)'!AW50+'[5]Table 2A-2 EFT (Monthly) mar'!AW50)*-1</f>
        <v>0</v>
      </c>
      <c r="AJ51" s="1742">
        <f>('[5]Table 2A-2 EFT (Monthly)'!U50+'[5]Table 2A-2 EFT (Monthly)Aug'!U50+'[5]Table 2A-2 EFT (Monthly) sep'!U50+'[5]Table 2A-2 EFT (Monthly)oct'!U50+'[5]Table 2A-2 EFT (Monthly)oct'!U50+'[5]Table 2A-2 EFT (Monthly)dec'!U50+'[5]Table 2A-2 EFT (Monthly)jan'!U50+'[5]Table 2A-2 EFT (Monthly)feb'!U50+'[5]Table 2A-2 EFT (Monthly) mar'!U50+'[5]Table 2A-2 EFT (Monthly)apr'!U50+'[5]Table 2A-2 EFT (Monthly)'!AX50+'[5]Table 2A-2 EFT (Monthly) mar'!AX50)*-1</f>
        <v>0</v>
      </c>
      <c r="AK51" s="1742">
        <f>('[5]Table 2A-2 EFT (Monthly)'!V50+'[5]Table 2A-2 EFT (Monthly)Aug'!V50+'[5]Table 2A-2 EFT (Monthly) sep'!V50+'[5]Table 2A-2 EFT (Monthly)oct'!V50+'[5]Table 2A-2 EFT (Monthly)oct'!V50+'[5]Table 2A-2 EFT (Monthly)dec'!V50+'[5]Table 2A-2 EFT (Monthly)jan'!V50+'[5]Table 2A-2 EFT (Monthly)feb'!V50+'[5]Table 2A-2 EFT (Monthly) mar'!V50+'[5]Table 2A-2 EFT (Monthly)apr'!V50+'[5]Table 2A-2 EFT (Monthly)'!AY50+'[5]Table 2A-2 EFT (Monthly) mar'!AY50)*-1</f>
        <v>0</v>
      </c>
      <c r="AL51" s="1742">
        <f>('[5]Table 2A-2 EFT (Monthly)'!W50+'[5]Table 2A-2 EFT (Monthly)Aug'!W50+'[5]Table 2A-2 EFT (Monthly) sep'!W50+'[5]Table 2A-2 EFT (Monthly)oct'!W50+'[5]Table 2A-2 EFT (Monthly)oct'!W50+'[5]Table 2A-2 EFT (Monthly)dec'!W50+'[5]Table 2A-2 EFT (Monthly)jan'!W50+'[5]Table 2A-2 EFT (Monthly)feb'!W50+'[5]Table 2A-2 EFT (Monthly) mar'!W50+'[5]Table 2A-2 EFT (Monthly)apr'!W50+'[5]Table 2A-2 EFT (Monthly)'!AZ50+'[5]Table 2A-2 EFT (Monthly) mar'!AZ50)*-1</f>
        <v>20557.134999999998</v>
      </c>
      <c r="AM51" s="1742">
        <f>('[5]Table 2A-2 EFT (Monthly)'!X50+'[5]Table 2A-2 EFT (Monthly)Aug'!X50+'[5]Table 2A-2 EFT (Monthly) sep'!X50+'[5]Table 2A-2 EFT (Monthly)oct'!X50+'[5]Table 2A-2 EFT (Monthly)oct'!X50+'[5]Table 2A-2 EFT (Monthly)dec'!X50+'[5]Table 2A-2 EFT (Monthly)jan'!X50+'[5]Table 2A-2 EFT (Monthly)feb'!X50+'[5]Table 2A-2 EFT (Monthly) mar'!X50+'[5]Table 2A-2 EFT (Monthly)apr'!X50+'[5]Table 2A-2 EFT (Monthly)'!BA50+'[5]Table 2A-2 EFT (Monthly) mar'!BA50)*-1</f>
        <v>10106.067499999999</v>
      </c>
      <c r="AN51" s="1742">
        <f>('[5]Table 2A-2 EFT (Monthly) sep'!AD50+'[5]Table 2A-2 EFT (Monthly)dec'!AD50+'[5]Table 2A-2 EFT (Monthly)feb'!AD50)*-1</f>
        <v>32019.757741092733</v>
      </c>
      <c r="AO51" s="1742">
        <f t="shared" si="30"/>
        <v>149894.22274109273</v>
      </c>
      <c r="AP51" s="561">
        <f t="shared" si="31"/>
        <v>5300464.4227410918</v>
      </c>
      <c r="AQ51" s="318">
        <f t="shared" si="32"/>
        <v>2650232</v>
      </c>
      <c r="AR51" s="318">
        <f>'Table 4A Stipends'!G48</f>
        <v>0</v>
      </c>
      <c r="AS51" s="318">
        <f t="shared" si="34"/>
        <v>30097366</v>
      </c>
      <c r="AU51" s="1339">
        <f>('Table 8 2.1.12 MFP Funded'!G48*'Table 3 Levels 1&amp;2'!AP52)+'Table 2_State with Midyear Adjs'!F51</f>
        <v>29913761.920272682</v>
      </c>
      <c r="AV51" s="753">
        <f t="shared" si="35"/>
        <v>183604.07972731814</v>
      </c>
      <c r="AW51" s="280">
        <f t="shared" si="36"/>
        <v>6.1377796686577519E-3</v>
      </c>
    </row>
    <row r="52" spans="1:49">
      <c r="A52" s="101">
        <v>46</v>
      </c>
      <c r="B52" s="299" t="s">
        <v>147</v>
      </c>
      <c r="C52" s="309">
        <f>'Table 3 Levels 1&amp;2'!AO53</f>
        <v>7181865.5068959994</v>
      </c>
      <c r="D52" s="354">
        <f>'[2]Adjusted Amounts'!$C52</f>
        <v>12745.919341522123</v>
      </c>
      <c r="E52" s="354">
        <f>'[2]Adjusted Amounts'!$H52</f>
        <v>-81306.732609278901</v>
      </c>
      <c r="F52" s="354">
        <f t="shared" si="22"/>
        <v>-68560.813267756777</v>
      </c>
      <c r="G52" s="309">
        <f t="shared" si="19"/>
        <v>0</v>
      </c>
      <c r="H52" s="354">
        <f t="shared" si="23"/>
        <v>-68560.813267756777</v>
      </c>
      <c r="I52" s="354">
        <f>'[1]Midyear Adjustment Summary'!C50+'[1]Oct midyear Madison Prep'!K52+'[1]Oct midyear DArbonne'!K52+'[1]Oct midyear Intl_VIBE '!K52+'[1]Oct midyear NOMMA'!K52+'[1]Oct midyear LFNO'!K52+'[1]Oct midyear Lake Charles Chtr'!K52+'[1]Oct midyear LA Virtual Admy'!K49+'[1]Oct midyear LA Connections'!K49+'[1]Midyear Adjustment Summary'!$C$117</f>
        <v>-265025.08482327033</v>
      </c>
      <c r="J52" s="354">
        <f>'[1]Midyear Adjustment Summary'!D50+'[1]Feb midyear Madison Prep'!K52+'[1]Feb midyear DArbonne'!K52+'[1]Feb midyear Intl_VIBE '!K52+'[1]Feb midyear NOMMA'!K52+'[1]Feb midyear LFNO '!K52+'[1]Feb midyear Lake Charles Ch'!K52+'[1]Feb midyear LA Virtual Admy'!K49+'[1]Feb midyear LA Connections'!K49+'[1]Midyear Adjustment Summary'!$D$117</f>
        <v>42325.873497573892</v>
      </c>
      <c r="K52" s="354">
        <f t="shared" si="24"/>
        <v>-222699.21132569644</v>
      </c>
      <c r="L52" s="354">
        <f>-'Table 5B2_RSD_LA'!L35</f>
        <v>-2038153.6845470464</v>
      </c>
      <c r="M52" s="354">
        <f>-'Table 5C1A-Madison Prep'!L52</f>
        <v>0</v>
      </c>
      <c r="N52" s="354">
        <f>-'Table 5C1B-DArbonne'!L52</f>
        <v>0</v>
      </c>
      <c r="O52" s="354">
        <f>-'Table 5C1C-Intl_VIBE'!L52</f>
        <v>0</v>
      </c>
      <c r="P52" s="354">
        <f>-'Table 5C1D-NOMMA'!L52</f>
        <v>0</v>
      </c>
      <c r="Q52" s="354">
        <f>-'Table 5C1E-LFNO'!L52</f>
        <v>0</v>
      </c>
      <c r="R52" s="354">
        <f>-'Table 5C1F-Lake Charles Charter'!L52</f>
        <v>0</v>
      </c>
      <c r="S52" s="314">
        <f>-'Table 5C2 - LA Virtual Admy'!M50-'Table 5C2 - LA Virtual Admy'!I50</f>
        <v>-59723.331823470529</v>
      </c>
      <c r="T52" s="314">
        <f>-'Table 5C3 - LA Connections EBR'!M50-'Table 5C3 - LA Connections EBR'!I50</f>
        <v>-55674.802831424109</v>
      </c>
      <c r="U52" s="1692">
        <f t="shared" si="25"/>
        <v>-2153551.8192019407</v>
      </c>
      <c r="V52" s="560">
        <f t="shared" si="26"/>
        <v>4737054</v>
      </c>
      <c r="W52" s="560">
        <f>[3]MFP!DT53</f>
        <v>3953906</v>
      </c>
      <c r="X52" s="560">
        <f t="shared" si="27"/>
        <v>0</v>
      </c>
      <c r="Y52" s="560">
        <f>'[4]Table 4B Rewards'!G49</f>
        <v>0</v>
      </c>
      <c r="Z52" s="560">
        <f t="shared" si="28"/>
        <v>3953906</v>
      </c>
      <c r="AA52" s="1737">
        <f t="shared" si="29"/>
        <v>783148</v>
      </c>
      <c r="AB52" s="1741">
        <f>('[5]Table 2A-2 EFT (Monthly)'!Z51+'[5]Table 2A-2 EFT (Monthly)Aug'!Z51+'[5]Table 2A-2 EFT (Monthly) sep'!Z51+'[5]Table 2A-2 EFT (Monthly)oct'!Z51+'[5]Table 2A-2 EFT (Monthly)oct'!Z51+'[5]Table 2A-2 EFT (Monthly)dec'!Z51+'[5]Table 2A-2 EFT (Monthly)jan'!Z51+'[5]Table 2A-2 EFT (Monthly)feb'!Z51+'[5]Table 2A-2 EFT (Monthly) mar'!Z51+'[5]Table 2A-2 EFT (Monthly)apr'!Z51)*-1</f>
        <v>0</v>
      </c>
      <c r="AC52" s="1741">
        <f>('[5]Table 2A-2 EFT (Monthly)'!AA51+'[5]Table 2A-2 EFT (Monthly)Aug'!AA51+'[5]Table 2A-2 EFT (Monthly) sep'!AA51+'[5]Table 2A-2 EFT (Monthly)oct'!AA51+'[5]Table 2A-2 EFT (Monthly)oct'!AA51+'[5]Table 2A-2 EFT (Monthly)dec'!AA51+'[5]Table 2A-2 EFT (Monthly)jan'!AA51+'[5]Table 2A-2 EFT (Monthly)feb'!AA51+'[5]Table 2A-2 EFT (Monthly) mar'!AA51+'[5]Table 2A-2 EFT (Monthly)apr'!AA51)*-1</f>
        <v>0</v>
      </c>
      <c r="AD52" s="1741">
        <f>('[5]Table 2A-2 EFT (Monthly)'!AB51+'[5]Table 2A-2 EFT (Monthly)Aug'!AB51+'[5]Table 2A-2 EFT (Monthly) sep'!AB51+'[5]Table 2A-2 EFT (Monthly)oct'!AB51+'[5]Table 2A-2 EFT (Monthly)oct'!AB51+'[5]Table 2A-2 EFT (Monthly)dec'!AB51+'[5]Table 2A-2 EFT (Monthly)jan'!AB51+'[5]Table 2A-2 EFT (Monthly)feb'!AB51+'[5]Table 2A-2 EFT (Monthly) mar'!AB51+'[5]Table 2A-2 EFT (Monthly)apr'!AB51)*-1</f>
        <v>0</v>
      </c>
      <c r="AE52" s="1741">
        <f>('[5]Table 2A-2 EFT (Monthly)'!AC51+'[5]Table 2A-2 EFT (Monthly)Aug'!AC51+'[5]Table 2A-2 EFT (Monthly) sep'!AC51+'[5]Table 2A-2 EFT (Monthly)oct'!AC51+'[5]Table 2A-2 EFT (Monthly)oct'!AC51+'[5]Table 2A-2 EFT (Monthly)dec'!AC51+'[5]Table 2A-2 EFT (Monthly)jan'!AC51+'[5]Table 2A-2 EFT (Monthly)feb'!AC51+'[5]Table 2A-2 EFT (Monthly) mar'!AC51+'[5]Table 2A-2 EFT (Monthly)apr'!AC51)*-1</f>
        <v>452</v>
      </c>
      <c r="AF52" s="1741">
        <f>('[5]Table 2A-2 EFT (Monthly)'!Q51+'[5]Table 2A-2 EFT (Monthly)Aug'!Q51+'[5]Table 2A-2 EFT (Monthly) sep'!Q51+'[5]Table 2A-2 EFT (Monthly)oct'!Q51+'[5]Table 2A-2 EFT (Monthly)oct'!Q51+'[5]Table 2A-2 EFT (Monthly)dec'!Q51+'[5]Table 2A-2 EFT (Monthly)jan'!Q51+'[5]Table 2A-2 EFT (Monthly)feb'!Q51+'[5]Table 2A-2 EFT (Monthly) mar'!Q51+'[5]Table 2A-2 EFT (Monthly)apr'!Q51+'[5]Table 2A-2 EFT (Monthly)'!AT51+'[5]Table 2A-2 EFT (Monthly) mar'!AT51)*-1</f>
        <v>0</v>
      </c>
      <c r="AG52" s="1741">
        <f>('[5]Table 2A-2 EFT (Monthly)'!R51+'[5]Table 2A-2 EFT (Monthly)Aug'!R51+'[5]Table 2A-2 EFT (Monthly) sep'!R51+'[5]Table 2A-2 EFT (Monthly)oct'!R51+'[5]Table 2A-2 EFT (Monthly)oct'!R51+'[5]Table 2A-2 EFT (Monthly)dec'!R51+'[5]Table 2A-2 EFT (Monthly)jan'!R51+'[5]Table 2A-2 EFT (Monthly)feb'!R51+'[5]Table 2A-2 EFT (Monthly) mar'!R51+'[5]Table 2A-2 EFT (Monthly)apr'!R51+'[5]Table 2A-2 EFT (Monthly)'!AU51+'[5]Table 2A-2 EFT (Monthly) mar'!AU51)*-1</f>
        <v>0</v>
      </c>
      <c r="AH52" s="1741">
        <f>('[5]Table 2A-2 EFT (Monthly)'!S51+'[5]Table 2A-2 EFT (Monthly)Aug'!S51+'[5]Table 2A-2 EFT (Monthly) sep'!S51+'[5]Table 2A-2 EFT (Monthly)oct'!S51+'[5]Table 2A-2 EFT (Monthly)oct'!S51+'[5]Table 2A-2 EFT (Monthly)dec'!S51+'[5]Table 2A-2 EFT (Monthly)jan'!S51+'[5]Table 2A-2 EFT (Monthly)feb'!S51+'[5]Table 2A-2 EFT (Monthly) mar'!S51+'[5]Table 2A-2 EFT (Monthly)apr'!S51+'[5]Table 2A-2 EFT (Monthly)'!AV51+'[5]Table 2A-2 EFT (Monthly) mar'!AV51)*-1</f>
        <v>0</v>
      </c>
      <c r="AI52" s="1741">
        <f>('[5]Table 2A-2 EFT (Monthly)'!T51+'[5]Table 2A-2 EFT (Monthly)Aug'!T51+'[5]Table 2A-2 EFT (Monthly) sep'!T51+'[5]Table 2A-2 EFT (Monthly)oct'!T51+'[5]Table 2A-2 EFT (Monthly)oct'!T51+'[5]Table 2A-2 EFT (Monthly)dec'!T51+'[5]Table 2A-2 EFT (Monthly)jan'!T51+'[5]Table 2A-2 EFT (Monthly)feb'!T51+'[5]Table 2A-2 EFT (Monthly) mar'!T51+'[5]Table 2A-2 EFT (Monthly)apr'!T51+'[5]Table 2A-2 EFT (Monthly)'!AW51+'[5]Table 2A-2 EFT (Monthly) mar'!AW51)*-1</f>
        <v>0</v>
      </c>
      <c r="AJ52" s="1741">
        <f>('[5]Table 2A-2 EFT (Monthly)'!U51+'[5]Table 2A-2 EFT (Monthly)Aug'!U51+'[5]Table 2A-2 EFT (Monthly) sep'!U51+'[5]Table 2A-2 EFT (Monthly)oct'!U51+'[5]Table 2A-2 EFT (Monthly)oct'!U51+'[5]Table 2A-2 EFT (Monthly)dec'!U51+'[5]Table 2A-2 EFT (Monthly)jan'!U51+'[5]Table 2A-2 EFT (Monthly)feb'!U51+'[5]Table 2A-2 EFT (Monthly) mar'!U51+'[5]Table 2A-2 EFT (Monthly)apr'!U51+'[5]Table 2A-2 EFT (Monthly)'!AX51+'[5]Table 2A-2 EFT (Monthly) mar'!AX51)*-1</f>
        <v>0</v>
      </c>
      <c r="AK52" s="1741">
        <f>('[5]Table 2A-2 EFT (Monthly)'!V51+'[5]Table 2A-2 EFT (Monthly)Aug'!V51+'[5]Table 2A-2 EFT (Monthly) sep'!V51+'[5]Table 2A-2 EFT (Monthly)oct'!V51+'[5]Table 2A-2 EFT (Monthly)oct'!V51+'[5]Table 2A-2 EFT (Monthly)dec'!V51+'[5]Table 2A-2 EFT (Monthly)jan'!V51+'[5]Table 2A-2 EFT (Monthly)feb'!V51+'[5]Table 2A-2 EFT (Monthly) mar'!V51+'[5]Table 2A-2 EFT (Monthly)apr'!V51+'[5]Table 2A-2 EFT (Monthly)'!AY51+'[5]Table 2A-2 EFT (Monthly) mar'!AY51)*-1</f>
        <v>0</v>
      </c>
      <c r="AL52" s="1741">
        <f>('[5]Table 2A-2 EFT (Monthly)'!W51+'[5]Table 2A-2 EFT (Monthly)Aug'!W51+'[5]Table 2A-2 EFT (Monthly) sep'!W51+'[5]Table 2A-2 EFT (Monthly)oct'!W51+'[5]Table 2A-2 EFT (Monthly)oct'!W51+'[5]Table 2A-2 EFT (Monthly)dec'!W51+'[5]Table 2A-2 EFT (Monthly)jan'!W51+'[5]Table 2A-2 EFT (Monthly)feb'!W51+'[5]Table 2A-2 EFT (Monthly) mar'!W51+'[5]Table 2A-2 EFT (Monthly)apr'!W51+'[5]Table 2A-2 EFT (Monthly)'!AZ51+'[5]Table 2A-2 EFT (Monthly) mar'!AZ51)*-1</f>
        <v>0</v>
      </c>
      <c r="AM52" s="1741">
        <f>('[5]Table 2A-2 EFT (Monthly)'!X51+'[5]Table 2A-2 EFT (Monthly)Aug'!X51+'[5]Table 2A-2 EFT (Monthly) sep'!X51+'[5]Table 2A-2 EFT (Monthly)oct'!X51+'[5]Table 2A-2 EFT (Monthly)oct'!X51+'[5]Table 2A-2 EFT (Monthly)dec'!X51+'[5]Table 2A-2 EFT (Monthly)jan'!X51+'[5]Table 2A-2 EFT (Monthly)feb'!X51+'[5]Table 2A-2 EFT (Monthly) mar'!X51+'[5]Table 2A-2 EFT (Monthly)apr'!X51+'[5]Table 2A-2 EFT (Monthly)'!BA51+'[5]Table 2A-2 EFT (Monthly) mar'!BA51)*-1</f>
        <v>0</v>
      </c>
      <c r="AN52" s="1741">
        <f>('[5]Table 2A-2 EFT (Monthly) sep'!AD51+'[5]Table 2A-2 EFT (Monthly)dec'!AD51+'[5]Table 2A-2 EFT (Monthly)feb'!AD51)*-1</f>
        <v>5446.9303311782496</v>
      </c>
      <c r="AO52" s="1741">
        <f t="shared" si="30"/>
        <v>5898.9303311782496</v>
      </c>
      <c r="AP52" s="560">
        <f t="shared" si="31"/>
        <v>789046.93033117824</v>
      </c>
      <c r="AQ52" s="309">
        <f t="shared" si="32"/>
        <v>394523</v>
      </c>
      <c r="AR52" s="309">
        <f>'Table 4A Stipends'!G49</f>
        <v>0</v>
      </c>
      <c r="AS52" s="309">
        <f t="shared" si="34"/>
        <v>4737054</v>
      </c>
      <c r="AU52" s="1339">
        <f>('Table 8 2.1.12 MFP Funded'!G49*'Table 3 Levels 1&amp;2'!AP53)+'Table 2_State with Midyear Adjs'!F52</f>
        <v>4879959.3909398224</v>
      </c>
      <c r="AV52" s="753">
        <f t="shared" si="35"/>
        <v>-142905.39093982242</v>
      </c>
      <c r="AW52" s="280">
        <f t="shared" si="36"/>
        <v>-2.9284135274802059E-2</v>
      </c>
    </row>
    <row r="53" spans="1:49">
      <c r="A53" s="101">
        <v>47</v>
      </c>
      <c r="B53" s="299" t="s">
        <v>148</v>
      </c>
      <c r="C53" s="309">
        <f>'Table 3 Levels 1&amp;2'!AO54</f>
        <v>14994494.838621201</v>
      </c>
      <c r="D53" s="354">
        <f>'[2]Adjusted Amounts'!$C53</f>
        <v>0</v>
      </c>
      <c r="E53" s="354">
        <f>'[2]Adjusted Amounts'!$H53</f>
        <v>-8793.2228794655966</v>
      </c>
      <c r="F53" s="354">
        <f t="shared" si="22"/>
        <v>-8793.2228794655966</v>
      </c>
      <c r="G53" s="309">
        <f t="shared" si="19"/>
        <v>0</v>
      </c>
      <c r="H53" s="354">
        <f t="shared" si="23"/>
        <v>-8793.2228794655966</v>
      </c>
      <c r="I53" s="354">
        <f>'[1]Midyear Adjustment Summary'!C51+'[1]Oct midyear Madison Prep'!K53+'[1]Oct midyear DArbonne'!K53+'[1]Oct midyear Intl_VIBE '!K53+'[1]Oct midyear NOMMA'!K53+'[1]Oct midyear LFNO'!K53+'[1]Oct midyear Lake Charles Chtr'!K53+'[1]Oct midyear LA Virtual Admy'!K50+'[1]Oct midyear LA Connections'!K50</f>
        <v>-61808.60703471228</v>
      </c>
      <c r="J53" s="354">
        <f>'[1]Midyear Adjustment Summary'!D51+'[1]Feb midyear Madison Prep'!K53+'[1]Feb midyear DArbonne'!K53+'[1]Feb midyear Intl_VIBE '!K53+'[1]Feb midyear NOMMA'!K53+'[1]Feb midyear LFNO '!K53+'[1]Feb midyear Lake Charles Ch'!K53+'[1]Feb midyear LA Virtual Admy'!K50+'[1]Feb midyear LA Connections'!K50</f>
        <v>-6180.8607034712277</v>
      </c>
      <c r="K53" s="354">
        <f t="shared" si="24"/>
        <v>-67989.467738183506</v>
      </c>
      <c r="L53" s="354"/>
      <c r="M53" s="354">
        <f>-'Table 5C1A-Madison Prep'!L53</f>
        <v>0</v>
      </c>
      <c r="N53" s="354">
        <f>-'Table 5C1B-DArbonne'!L53</f>
        <v>0</v>
      </c>
      <c r="O53" s="354">
        <f>-'Table 5C1C-Intl_VIBE'!L53</f>
        <v>0</v>
      </c>
      <c r="P53" s="354">
        <f>-'Table 5C1D-NOMMA'!L53</f>
        <v>0</v>
      </c>
      <c r="Q53" s="354">
        <f>-'Table 5C1E-LFNO'!L53</f>
        <v>0</v>
      </c>
      <c r="R53" s="354">
        <f>-'Table 5C1F-Lake Charles Charter'!L53</f>
        <v>0</v>
      </c>
      <c r="S53" s="314">
        <f>-'Table 5C2 - LA Virtual Admy'!M51-'Table 5C2 - LA Virtual Admy'!I51</f>
        <v>-8379.9769848597189</v>
      </c>
      <c r="T53" s="314">
        <f>-'Table 5C3 - LA Connections EBR'!M51-'Table 5C3 - LA Connections EBR'!I51</f>
        <v>-3708.5164220827373</v>
      </c>
      <c r="U53" s="1692">
        <f t="shared" si="25"/>
        <v>-12088.493406942456</v>
      </c>
      <c r="V53" s="560">
        <f t="shared" si="26"/>
        <v>14905624</v>
      </c>
      <c r="W53" s="560">
        <f>[3]MFP!DT54</f>
        <v>12364798</v>
      </c>
      <c r="X53" s="560">
        <f t="shared" si="27"/>
        <v>0</v>
      </c>
      <c r="Y53" s="560">
        <f>'[4]Table 4B Rewards'!G50</f>
        <v>25361.550000000003</v>
      </c>
      <c r="Z53" s="560">
        <f t="shared" si="28"/>
        <v>12390159.550000001</v>
      </c>
      <c r="AA53" s="1737">
        <f t="shared" si="29"/>
        <v>2515464.4499999993</v>
      </c>
      <c r="AB53" s="1741">
        <f>('[5]Table 2A-2 EFT (Monthly)'!Z52+'[5]Table 2A-2 EFT (Monthly)Aug'!Z52+'[5]Table 2A-2 EFT (Monthly) sep'!Z52+'[5]Table 2A-2 EFT (Monthly)oct'!Z52+'[5]Table 2A-2 EFT (Monthly)oct'!Z52+'[5]Table 2A-2 EFT (Monthly)dec'!Z52+'[5]Table 2A-2 EFT (Monthly)jan'!Z52+'[5]Table 2A-2 EFT (Monthly)feb'!Z52+'[5]Table 2A-2 EFT (Monthly) mar'!Z52+'[5]Table 2A-2 EFT (Monthly)apr'!Z52)*-1</f>
        <v>6930</v>
      </c>
      <c r="AC53" s="1741">
        <f>('[5]Table 2A-2 EFT (Monthly)'!AA52+'[5]Table 2A-2 EFT (Monthly)Aug'!AA52+'[5]Table 2A-2 EFT (Monthly) sep'!AA52+'[5]Table 2A-2 EFT (Monthly)oct'!AA52+'[5]Table 2A-2 EFT (Monthly)oct'!AA52+'[5]Table 2A-2 EFT (Monthly)dec'!AA52+'[5]Table 2A-2 EFT (Monthly)jan'!AA52+'[5]Table 2A-2 EFT (Monthly)feb'!AA52+'[5]Table 2A-2 EFT (Monthly) mar'!AA52+'[5]Table 2A-2 EFT (Monthly)apr'!AA52)*-1</f>
        <v>0</v>
      </c>
      <c r="AD53" s="1741">
        <f>('[5]Table 2A-2 EFT (Monthly)'!AB52+'[5]Table 2A-2 EFT (Monthly)Aug'!AB52+'[5]Table 2A-2 EFT (Monthly) sep'!AB52+'[5]Table 2A-2 EFT (Monthly)oct'!AB52+'[5]Table 2A-2 EFT (Monthly)oct'!AB52+'[5]Table 2A-2 EFT (Monthly)dec'!AB52+'[5]Table 2A-2 EFT (Monthly)jan'!AB52+'[5]Table 2A-2 EFT (Monthly)feb'!AB52+'[5]Table 2A-2 EFT (Monthly) mar'!AB52+'[5]Table 2A-2 EFT (Monthly)apr'!AB52)*-1</f>
        <v>4310</v>
      </c>
      <c r="AE53" s="1741">
        <f>('[5]Table 2A-2 EFT (Monthly)'!AC52+'[5]Table 2A-2 EFT (Monthly)Aug'!AC52+'[5]Table 2A-2 EFT (Monthly) sep'!AC52+'[5]Table 2A-2 EFT (Monthly)oct'!AC52+'[5]Table 2A-2 EFT (Monthly)oct'!AC52+'[5]Table 2A-2 EFT (Monthly)dec'!AC52+'[5]Table 2A-2 EFT (Monthly)jan'!AC52+'[5]Table 2A-2 EFT (Monthly)feb'!AC52+'[5]Table 2A-2 EFT (Monthly) mar'!AC52+'[5]Table 2A-2 EFT (Monthly)apr'!AC52)*-1</f>
        <v>1294</v>
      </c>
      <c r="AF53" s="1741">
        <f>('[5]Table 2A-2 EFT (Monthly)'!Q52+'[5]Table 2A-2 EFT (Monthly)Aug'!Q52+'[5]Table 2A-2 EFT (Monthly) sep'!Q52+'[5]Table 2A-2 EFT (Monthly)oct'!Q52+'[5]Table 2A-2 EFT (Monthly)oct'!Q52+'[5]Table 2A-2 EFT (Monthly)dec'!Q52+'[5]Table 2A-2 EFT (Monthly)jan'!Q52+'[5]Table 2A-2 EFT (Monthly)feb'!Q52+'[5]Table 2A-2 EFT (Monthly) mar'!Q52+'[5]Table 2A-2 EFT (Monthly)apr'!Q52+'[5]Table 2A-2 EFT (Monthly)'!AT52+'[5]Table 2A-2 EFT (Monthly) mar'!AT52)*-1</f>
        <v>0</v>
      </c>
      <c r="AG53" s="1741">
        <f>('[5]Table 2A-2 EFT (Monthly)'!R52+'[5]Table 2A-2 EFT (Monthly)Aug'!R52+'[5]Table 2A-2 EFT (Monthly) sep'!R52+'[5]Table 2A-2 EFT (Monthly)oct'!R52+'[5]Table 2A-2 EFT (Monthly)oct'!R52+'[5]Table 2A-2 EFT (Monthly)dec'!R52+'[5]Table 2A-2 EFT (Monthly)jan'!R52+'[5]Table 2A-2 EFT (Monthly)feb'!R52+'[5]Table 2A-2 EFT (Monthly) mar'!R52+'[5]Table 2A-2 EFT (Monthly)apr'!R52+'[5]Table 2A-2 EFT (Monthly)'!AU52+'[5]Table 2A-2 EFT (Monthly) mar'!AU52)*-1</f>
        <v>0</v>
      </c>
      <c r="AH53" s="1741">
        <f>('[5]Table 2A-2 EFT (Monthly)'!S52+'[5]Table 2A-2 EFT (Monthly)Aug'!S52+'[5]Table 2A-2 EFT (Monthly) sep'!S52+'[5]Table 2A-2 EFT (Monthly)oct'!S52+'[5]Table 2A-2 EFT (Monthly)oct'!S52+'[5]Table 2A-2 EFT (Monthly)dec'!S52+'[5]Table 2A-2 EFT (Monthly)jan'!S52+'[5]Table 2A-2 EFT (Monthly)feb'!S52+'[5]Table 2A-2 EFT (Monthly) mar'!S52+'[5]Table 2A-2 EFT (Monthly)apr'!S52+'[5]Table 2A-2 EFT (Monthly)'!AV52+'[5]Table 2A-2 EFT (Monthly) mar'!AV52)*-1</f>
        <v>0</v>
      </c>
      <c r="AI53" s="1741">
        <f>('[5]Table 2A-2 EFT (Monthly)'!T52+'[5]Table 2A-2 EFT (Monthly)Aug'!T52+'[5]Table 2A-2 EFT (Monthly) sep'!T52+'[5]Table 2A-2 EFT (Monthly)oct'!T52+'[5]Table 2A-2 EFT (Monthly)oct'!T52+'[5]Table 2A-2 EFT (Monthly)dec'!T52+'[5]Table 2A-2 EFT (Monthly)jan'!T52+'[5]Table 2A-2 EFT (Monthly)feb'!T52+'[5]Table 2A-2 EFT (Monthly) mar'!T52+'[5]Table 2A-2 EFT (Monthly)apr'!T52+'[5]Table 2A-2 EFT (Monthly)'!AW52+'[5]Table 2A-2 EFT (Monthly) mar'!AW52)*-1</f>
        <v>0</v>
      </c>
      <c r="AJ53" s="1741">
        <f>('[5]Table 2A-2 EFT (Monthly)'!U52+'[5]Table 2A-2 EFT (Monthly)Aug'!U52+'[5]Table 2A-2 EFT (Monthly) sep'!U52+'[5]Table 2A-2 EFT (Monthly)oct'!U52+'[5]Table 2A-2 EFT (Monthly)oct'!U52+'[5]Table 2A-2 EFT (Monthly)dec'!U52+'[5]Table 2A-2 EFT (Monthly)jan'!U52+'[5]Table 2A-2 EFT (Monthly)feb'!U52+'[5]Table 2A-2 EFT (Monthly) mar'!U52+'[5]Table 2A-2 EFT (Monthly)apr'!U52+'[5]Table 2A-2 EFT (Monthly)'!AX52+'[5]Table 2A-2 EFT (Monthly) mar'!AX52)*-1</f>
        <v>0</v>
      </c>
      <c r="AK53" s="1741">
        <f>('[5]Table 2A-2 EFT (Monthly)'!V52+'[5]Table 2A-2 EFT (Monthly)Aug'!V52+'[5]Table 2A-2 EFT (Monthly) sep'!V52+'[5]Table 2A-2 EFT (Monthly)oct'!V52+'[5]Table 2A-2 EFT (Monthly)oct'!V52+'[5]Table 2A-2 EFT (Monthly)dec'!V52+'[5]Table 2A-2 EFT (Monthly)jan'!V52+'[5]Table 2A-2 EFT (Monthly)feb'!V52+'[5]Table 2A-2 EFT (Monthly) mar'!V52+'[5]Table 2A-2 EFT (Monthly)apr'!V52+'[5]Table 2A-2 EFT (Monthly)'!AY52+'[5]Table 2A-2 EFT (Monthly) mar'!AY52)*-1</f>
        <v>0</v>
      </c>
      <c r="AL53" s="1741">
        <f>('[5]Table 2A-2 EFT (Monthly)'!W52+'[5]Table 2A-2 EFT (Monthly)Aug'!W52+'[5]Table 2A-2 EFT (Monthly) sep'!W52+'[5]Table 2A-2 EFT (Monthly)oct'!W52+'[5]Table 2A-2 EFT (Monthly)oct'!W52+'[5]Table 2A-2 EFT (Monthly)dec'!W52+'[5]Table 2A-2 EFT (Monthly)jan'!W52+'[5]Table 2A-2 EFT (Monthly)feb'!W52+'[5]Table 2A-2 EFT (Monthly) mar'!W52+'[5]Table 2A-2 EFT (Monthly)apr'!W52+'[5]Table 2A-2 EFT (Monthly)'!AZ52+'[5]Table 2A-2 EFT (Monthly) mar'!AZ52)*-1</f>
        <v>22027.3675</v>
      </c>
      <c r="AM53" s="1741">
        <f>('[5]Table 2A-2 EFT (Monthly)'!X52+'[5]Table 2A-2 EFT (Monthly)Aug'!X52+'[5]Table 2A-2 EFT (Monthly) sep'!X52+'[5]Table 2A-2 EFT (Monthly)oct'!X52+'[5]Table 2A-2 EFT (Monthly)oct'!X52+'[5]Table 2A-2 EFT (Monthly)dec'!X52+'[5]Table 2A-2 EFT (Monthly)jan'!X52+'[5]Table 2A-2 EFT (Monthly)feb'!X52+'[5]Table 2A-2 EFT (Monthly) mar'!X52+'[5]Table 2A-2 EFT (Monthly)apr'!X52+'[5]Table 2A-2 EFT (Monthly)'!BA52+'[5]Table 2A-2 EFT (Monthly) mar'!BA52)*-1</f>
        <v>0</v>
      </c>
      <c r="AN53" s="1741">
        <f>('[5]Table 2A-2 EFT (Monthly) sep'!AD52+'[5]Table 2A-2 EFT (Monthly)dec'!AD52+'[5]Table 2A-2 EFT (Monthly)feb'!AD52)*-1</f>
        <v>12894.620244752376</v>
      </c>
      <c r="AO53" s="1741">
        <f t="shared" si="30"/>
        <v>47455.987744752376</v>
      </c>
      <c r="AP53" s="560">
        <f t="shared" si="31"/>
        <v>2562920.4377447516</v>
      </c>
      <c r="AQ53" s="309">
        <f t="shared" si="32"/>
        <v>1281460</v>
      </c>
      <c r="AR53" s="309">
        <f>'Table 4A Stipends'!G50</f>
        <v>0</v>
      </c>
      <c r="AS53" s="309">
        <f t="shared" si="34"/>
        <v>14905624</v>
      </c>
      <c r="AU53" s="1339">
        <f>('Table 8 2.1.12 MFP Funded'!G50*'Table 3 Levels 1&amp;2'!AP54)+'Table 2_State with Midyear Adjs'!F53</f>
        <v>14973340.119584586</v>
      </c>
      <c r="AV53" s="753">
        <f t="shared" si="35"/>
        <v>-67716.119584586471</v>
      </c>
      <c r="AW53" s="280">
        <f t="shared" si="36"/>
        <v>-4.5224458299732498E-3</v>
      </c>
    </row>
    <row r="54" spans="1:49">
      <c r="A54" s="101">
        <v>48</v>
      </c>
      <c r="B54" s="299" t="s">
        <v>217</v>
      </c>
      <c r="C54" s="309">
        <f>'Table 3 Levels 1&amp;2'!AO55</f>
        <v>32027038.800639201</v>
      </c>
      <c r="D54" s="354">
        <f>'[2]Adjusted Amounts'!$C54</f>
        <v>13500.066251684588</v>
      </c>
      <c r="E54" s="354">
        <f>'[2]Adjusted Amounts'!$H54</f>
        <v>-41422.92934983359</v>
      </c>
      <c r="F54" s="354">
        <f t="shared" si="22"/>
        <v>-27922.863098149002</v>
      </c>
      <c r="G54" s="309">
        <f t="shared" si="19"/>
        <v>0</v>
      </c>
      <c r="H54" s="354">
        <f t="shared" si="23"/>
        <v>-27922.863098149002</v>
      </c>
      <c r="I54" s="354">
        <f>'[1]Midyear Adjustment Summary'!C52+'[1]Oct midyear Madison Prep'!K54+'[1]Oct midyear DArbonne'!K54+'[1]Oct midyear Intl_VIBE '!K54+'[1]Oct midyear NOMMA'!K54+'[1]Oct midyear LFNO'!K54+'[1]Oct midyear Lake Charles Chtr'!K54+'[1]Oct midyear LA Virtual Admy'!K51+'[1]Oct midyear LA Connections'!K51</f>
        <v>-2237870.8633429254</v>
      </c>
      <c r="J54" s="354">
        <f>'[1]Midyear Adjustment Summary'!D52+'[1]Feb midyear Madison Prep'!K54+'[1]Feb midyear DArbonne'!K54+'[1]Feb midyear Intl_VIBE '!K54+'[1]Feb midyear NOMMA'!K54+'[1]Feb midyear LFNO '!K54+'[1]Feb midyear Lake Charles Ch'!K54+'[1]Feb midyear LA Virtual Admy'!K51+'[1]Feb midyear LA Connections'!K51</f>
        <v>39906.808998867178</v>
      </c>
      <c r="K54" s="354">
        <f t="shared" si="24"/>
        <v>-2197964.054344058</v>
      </c>
      <c r="L54" s="354"/>
      <c r="M54" s="49">
        <f>-'Table 5C1A-Madison Prep'!L54</f>
        <v>0</v>
      </c>
      <c r="N54" s="354">
        <f>-'Table 5C1B-DArbonne'!L54</f>
        <v>0</v>
      </c>
      <c r="O54" s="354">
        <f>-'Table 5C1C-Intl_VIBE'!L54</f>
        <v>-10298.531354546367</v>
      </c>
      <c r="P54" s="354">
        <f>-'Table 5C1D-NOMMA'!L54</f>
        <v>0</v>
      </c>
      <c r="Q54" s="354">
        <f>-'Table 5C1E-LFNO'!L54</f>
        <v>0</v>
      </c>
      <c r="R54" s="354">
        <f>-'Table 5C1F-Lake Charles Charter'!L54</f>
        <v>0</v>
      </c>
      <c r="S54" s="314">
        <f>-'Table 5C2 - LA Virtual Admy'!M52-'Table 5C2 - LA Virtual Admy'!I52</f>
        <v>-142274.65811205818</v>
      </c>
      <c r="T54" s="314">
        <f>-'Table 5C3 - LA Connections EBR'!M52-'Table 5C3 - LA Connections EBR'!I52</f>
        <v>-47626.849798640615</v>
      </c>
      <c r="U54" s="1692">
        <f t="shared" si="25"/>
        <v>-200200.03926524517</v>
      </c>
      <c r="V54" s="560">
        <f t="shared" si="26"/>
        <v>29600952</v>
      </c>
      <c r="W54" s="560">
        <f>[3]MFP!DT55</f>
        <v>25029770</v>
      </c>
      <c r="X54" s="560">
        <f t="shared" si="27"/>
        <v>0</v>
      </c>
      <c r="Y54" s="560">
        <f>'[4]Table 4B Rewards'!G51</f>
        <v>16907.7</v>
      </c>
      <c r="Z54" s="560">
        <f t="shared" si="28"/>
        <v>25046677.699999999</v>
      </c>
      <c r="AA54" s="1737">
        <f t="shared" si="29"/>
        <v>4554274.3000000007</v>
      </c>
      <c r="AB54" s="1741">
        <f>('[5]Table 2A-2 EFT (Monthly)'!Z53+'[5]Table 2A-2 EFT (Monthly)Aug'!Z53+'[5]Table 2A-2 EFT (Monthly) sep'!Z53+'[5]Table 2A-2 EFT (Monthly)oct'!Z53+'[5]Table 2A-2 EFT (Monthly)oct'!Z53+'[5]Table 2A-2 EFT (Monthly)dec'!Z53+'[5]Table 2A-2 EFT (Monthly)jan'!Z53+'[5]Table 2A-2 EFT (Monthly)feb'!Z53+'[5]Table 2A-2 EFT (Monthly) mar'!Z53+'[5]Table 2A-2 EFT (Monthly)apr'!Z53)*-1</f>
        <v>3832</v>
      </c>
      <c r="AC54" s="1741">
        <f>('[5]Table 2A-2 EFT (Monthly)'!AA53+'[5]Table 2A-2 EFT (Monthly)Aug'!AA53+'[5]Table 2A-2 EFT (Monthly) sep'!AA53+'[5]Table 2A-2 EFT (Monthly)oct'!AA53+'[5]Table 2A-2 EFT (Monthly)oct'!AA53+'[5]Table 2A-2 EFT (Monthly)dec'!AA53+'[5]Table 2A-2 EFT (Monthly)jan'!AA53+'[5]Table 2A-2 EFT (Monthly)feb'!AA53+'[5]Table 2A-2 EFT (Monthly) mar'!AA53+'[5]Table 2A-2 EFT (Monthly)apr'!AA53)*-1</f>
        <v>958</v>
      </c>
      <c r="AD54" s="1741">
        <f>('[5]Table 2A-2 EFT (Monthly)'!AB53+'[5]Table 2A-2 EFT (Monthly)Aug'!AB53+'[5]Table 2A-2 EFT (Monthly) sep'!AB53+'[5]Table 2A-2 EFT (Monthly)oct'!AB53+'[5]Table 2A-2 EFT (Monthly)oct'!AB53+'[5]Table 2A-2 EFT (Monthly)dec'!AB53+'[5]Table 2A-2 EFT (Monthly)jan'!AB53+'[5]Table 2A-2 EFT (Monthly)feb'!AB53+'[5]Table 2A-2 EFT (Monthly) mar'!AB53+'[5]Table 2A-2 EFT (Monthly)apr'!AB53)*-1</f>
        <v>8072</v>
      </c>
      <c r="AE54" s="1741">
        <f>('[5]Table 2A-2 EFT (Monthly)'!AC53+'[5]Table 2A-2 EFT (Monthly)Aug'!AC53+'[5]Table 2A-2 EFT (Monthly) sep'!AC53+'[5]Table 2A-2 EFT (Monthly)oct'!AC53+'[5]Table 2A-2 EFT (Monthly)oct'!AC53+'[5]Table 2A-2 EFT (Monthly)dec'!AC53+'[5]Table 2A-2 EFT (Monthly)jan'!AC53+'[5]Table 2A-2 EFT (Monthly)feb'!AC53+'[5]Table 2A-2 EFT (Monthly) mar'!AC53+'[5]Table 2A-2 EFT (Monthly)apr'!AC53)*-1</f>
        <v>3026</v>
      </c>
      <c r="AF54" s="1741">
        <f>('[5]Table 2A-2 EFT (Monthly)'!Q53+'[5]Table 2A-2 EFT (Monthly)Aug'!Q53+'[5]Table 2A-2 EFT (Monthly) sep'!Q53+'[5]Table 2A-2 EFT (Monthly)oct'!Q53+'[5]Table 2A-2 EFT (Monthly)oct'!Q53+'[5]Table 2A-2 EFT (Monthly)dec'!Q53+'[5]Table 2A-2 EFT (Monthly)jan'!Q53+'[5]Table 2A-2 EFT (Monthly)feb'!Q53+'[5]Table 2A-2 EFT (Monthly) mar'!Q53+'[5]Table 2A-2 EFT (Monthly)apr'!Q53+'[5]Table 2A-2 EFT (Monthly)'!AT53+'[5]Table 2A-2 EFT (Monthly) mar'!AT53)*-1</f>
        <v>0</v>
      </c>
      <c r="AG54" s="1741">
        <f>('[5]Table 2A-2 EFT (Monthly)'!R53+'[5]Table 2A-2 EFT (Monthly)Aug'!R53+'[5]Table 2A-2 EFT (Monthly) sep'!R53+'[5]Table 2A-2 EFT (Monthly)oct'!R53+'[5]Table 2A-2 EFT (Monthly)oct'!R53+'[5]Table 2A-2 EFT (Monthly)dec'!R53+'[5]Table 2A-2 EFT (Monthly)jan'!R53+'[5]Table 2A-2 EFT (Monthly)feb'!R53+'[5]Table 2A-2 EFT (Monthly) mar'!R53+'[5]Table 2A-2 EFT (Monthly)apr'!R53+'[5]Table 2A-2 EFT (Monthly)'!AU53+'[5]Table 2A-2 EFT (Monthly) mar'!AU53)*-1</f>
        <v>0</v>
      </c>
      <c r="AH54" s="1741">
        <f>('[5]Table 2A-2 EFT (Monthly)'!S53+'[5]Table 2A-2 EFT (Monthly)Aug'!S53+'[5]Table 2A-2 EFT (Monthly) sep'!S53+'[5]Table 2A-2 EFT (Monthly)oct'!S53+'[5]Table 2A-2 EFT (Monthly)oct'!S53+'[5]Table 2A-2 EFT (Monthly)dec'!S53+'[5]Table 2A-2 EFT (Monthly)jan'!S53+'[5]Table 2A-2 EFT (Monthly)feb'!S53+'[5]Table 2A-2 EFT (Monthly) mar'!S53+'[5]Table 2A-2 EFT (Monthly)apr'!S53+'[5]Table 2A-2 EFT (Monthly)'!AV53+'[5]Table 2A-2 EFT (Monthly) mar'!AV53)*-1</f>
        <v>26305.287499999999</v>
      </c>
      <c r="AI54" s="1741">
        <f>('[5]Table 2A-2 EFT (Monthly)'!T53+'[5]Table 2A-2 EFT (Monthly)Aug'!T53+'[5]Table 2A-2 EFT (Monthly) sep'!T53+'[5]Table 2A-2 EFT (Monthly)oct'!T53+'[5]Table 2A-2 EFT (Monthly)oct'!T53+'[5]Table 2A-2 EFT (Monthly)dec'!T53+'[5]Table 2A-2 EFT (Monthly)jan'!T53+'[5]Table 2A-2 EFT (Monthly)feb'!T53+'[5]Table 2A-2 EFT (Monthly) mar'!T53+'[5]Table 2A-2 EFT (Monthly)apr'!T53+'[5]Table 2A-2 EFT (Monthly)'!AW53+'[5]Table 2A-2 EFT (Monthly) mar'!AW53)*-1</f>
        <v>0</v>
      </c>
      <c r="AJ54" s="1741">
        <f>('[5]Table 2A-2 EFT (Monthly)'!U53+'[5]Table 2A-2 EFT (Monthly)Aug'!U53+'[5]Table 2A-2 EFT (Monthly) sep'!U53+'[5]Table 2A-2 EFT (Monthly)oct'!U53+'[5]Table 2A-2 EFT (Monthly)oct'!U53+'[5]Table 2A-2 EFT (Monthly)dec'!U53+'[5]Table 2A-2 EFT (Monthly)jan'!U53+'[5]Table 2A-2 EFT (Monthly)feb'!U53+'[5]Table 2A-2 EFT (Monthly) mar'!U53+'[5]Table 2A-2 EFT (Monthly)apr'!U53+'[5]Table 2A-2 EFT (Monthly)'!AX53+'[5]Table 2A-2 EFT (Monthly) mar'!AX53)*-1</f>
        <v>0</v>
      </c>
      <c r="AK54" s="1741">
        <f>('[5]Table 2A-2 EFT (Monthly)'!V53+'[5]Table 2A-2 EFT (Monthly)Aug'!V53+'[5]Table 2A-2 EFT (Monthly) sep'!V53+'[5]Table 2A-2 EFT (Monthly)oct'!V53+'[5]Table 2A-2 EFT (Monthly)oct'!V53+'[5]Table 2A-2 EFT (Monthly)dec'!V53+'[5]Table 2A-2 EFT (Monthly)jan'!V53+'[5]Table 2A-2 EFT (Monthly)feb'!V53+'[5]Table 2A-2 EFT (Monthly) mar'!V53+'[5]Table 2A-2 EFT (Monthly)apr'!V53+'[5]Table 2A-2 EFT (Monthly)'!AY53+'[5]Table 2A-2 EFT (Monthly) mar'!AY53)*-1</f>
        <v>3540</v>
      </c>
      <c r="AL54" s="1741">
        <f>('[5]Table 2A-2 EFT (Monthly)'!W53+'[5]Table 2A-2 EFT (Monthly)Aug'!W53+'[5]Table 2A-2 EFT (Monthly) sep'!W53+'[5]Table 2A-2 EFT (Monthly)oct'!W53+'[5]Table 2A-2 EFT (Monthly)oct'!W53+'[5]Table 2A-2 EFT (Monthly)dec'!W53+'[5]Table 2A-2 EFT (Monthly)jan'!W53+'[5]Table 2A-2 EFT (Monthly)feb'!W53+'[5]Table 2A-2 EFT (Monthly) mar'!W53+'[5]Table 2A-2 EFT (Monthly)apr'!W53+'[5]Table 2A-2 EFT (Monthly)'!AZ53+'[5]Table 2A-2 EFT (Monthly) mar'!AZ53)*-1</f>
        <v>3213.1937499999999</v>
      </c>
      <c r="AM54" s="1741">
        <f>('[5]Table 2A-2 EFT (Monthly)'!X53+'[5]Table 2A-2 EFT (Monthly)Aug'!X53+'[5]Table 2A-2 EFT (Monthly) sep'!X53+'[5]Table 2A-2 EFT (Monthly)oct'!X53+'[5]Table 2A-2 EFT (Monthly)oct'!X53+'[5]Table 2A-2 EFT (Monthly)dec'!X53+'[5]Table 2A-2 EFT (Monthly)jan'!X53+'[5]Table 2A-2 EFT (Monthly)feb'!X53+'[5]Table 2A-2 EFT (Monthly) mar'!X53+'[5]Table 2A-2 EFT (Monthly)apr'!X53+'[5]Table 2A-2 EFT (Monthly)'!BA53+'[5]Table 2A-2 EFT (Monthly) mar'!BA53)*-1</f>
        <v>0</v>
      </c>
      <c r="AN54" s="1741">
        <f>('[5]Table 2A-2 EFT (Monthly) sep'!AD53+'[5]Table 2A-2 EFT (Monthly)dec'!AD53+'[5]Table 2A-2 EFT (Monthly)feb'!AD53)*-1</f>
        <v>361000.17290310538</v>
      </c>
      <c r="AO54" s="1741">
        <f t="shared" si="30"/>
        <v>409946.6541531054</v>
      </c>
      <c r="AP54" s="560">
        <f t="shared" si="31"/>
        <v>4964220.9541531065</v>
      </c>
      <c r="AQ54" s="309">
        <f t="shared" si="32"/>
        <v>2482110</v>
      </c>
      <c r="AR54" s="309">
        <f>'Table 4A Stipends'!G51</f>
        <v>0</v>
      </c>
      <c r="AS54" s="309">
        <f t="shared" si="34"/>
        <v>29600952</v>
      </c>
      <c r="AU54" s="1339">
        <f>('Table 8 2.1.12 MFP Funded'!G51*'Table 3 Levels 1&amp;2'!AP55)+'Table 2_State with Midyear Adjs'!F54</f>
        <v>31906433.188600294</v>
      </c>
      <c r="AV54" s="753">
        <f t="shared" si="35"/>
        <v>-2305481.1886002943</v>
      </c>
      <c r="AW54" s="280">
        <f t="shared" si="36"/>
        <v>-7.2257565581602179E-2</v>
      </c>
    </row>
    <row r="55" spans="1:49">
      <c r="A55" s="101">
        <v>49</v>
      </c>
      <c r="B55" s="299" t="s">
        <v>149</v>
      </c>
      <c r="C55" s="309">
        <f>'Table 3 Levels 1&amp;2'!AO56</f>
        <v>77945036.677811995</v>
      </c>
      <c r="D55" s="354">
        <f>'[2]Adjusted Amounts'!$C55</f>
        <v>340626.01421499159</v>
      </c>
      <c r="E55" s="354">
        <f>'[2]Adjusted Amounts'!$H55</f>
        <v>-245412.87639409711</v>
      </c>
      <c r="F55" s="354">
        <f t="shared" si="22"/>
        <v>95213.137820894481</v>
      </c>
      <c r="G55" s="309">
        <f t="shared" si="19"/>
        <v>95213.137820894481</v>
      </c>
      <c r="H55" s="354">
        <f t="shared" si="23"/>
        <v>0</v>
      </c>
      <c r="I55" s="354">
        <f>'[1]Midyear Adjustment Summary'!C53+'[1]Oct midyear Madison Prep'!K55+'[1]Oct midyear DArbonne'!K55+'[1]Oct midyear Intl_VIBE '!K55+'[1]Oct midyear NOMMA'!K55+'[1]Oct midyear LFNO'!K55+'[1]Oct midyear Lake Charles Chtr'!K55+'[1]Oct midyear LA Virtual Admy'!K52+'[1]Oct midyear LA Connections'!K52</f>
        <v>-307435.89462463907</v>
      </c>
      <c r="J55" s="354">
        <f>'[1]Midyear Adjustment Summary'!D53+'[1]Feb midyear Madison Prep'!K55+'[1]Feb midyear DArbonne'!K55+'[1]Feb midyear Intl_VIBE '!K55+'[1]Feb midyear NOMMA'!K55+'[1]Feb midyear LFNO '!K55+'[1]Feb midyear Lake Charles Ch'!K55+'[1]Feb midyear LA Virtual Admy'!K52+'[1]Feb midyear LA Connections'!K52</f>
        <v>-188506.74591458132</v>
      </c>
      <c r="K55" s="354">
        <f t="shared" si="24"/>
        <v>-495942.64053922042</v>
      </c>
      <c r="L55" s="354"/>
      <c r="M55" s="354">
        <f>-'Table 5C1A-Madison Prep'!L55</f>
        <v>0</v>
      </c>
      <c r="N55" s="354">
        <f>-'Table 5C1B-DArbonne'!L55</f>
        <v>0</v>
      </c>
      <c r="O55" s="354">
        <f>-'Table 5C1C-Intl_VIBE'!L55</f>
        <v>0</v>
      </c>
      <c r="P55" s="354">
        <f>-'Table 5C1D-NOMMA'!L55</f>
        <v>0</v>
      </c>
      <c r="Q55" s="354">
        <f>-'Table 5C1E-LFNO'!L55</f>
        <v>0</v>
      </c>
      <c r="R55" s="354">
        <f>-'Table 5C1F-Lake Charles Charter'!L55</f>
        <v>0</v>
      </c>
      <c r="S55" s="314">
        <f>-'Table 5C2 - LA Virtual Admy'!M53-'Table 5C2 - LA Virtual Admy'!I53</f>
        <v>-269235.53480373754</v>
      </c>
      <c r="T55" s="314">
        <f>-'Table 5C3 - LA Connections EBR'!M53-'Table 5C3 - LA Connections EBR'!I53</f>
        <v>-121321.19541257621</v>
      </c>
      <c r="U55" s="1692">
        <f t="shared" si="25"/>
        <v>-390556.73021631374</v>
      </c>
      <c r="V55" s="560">
        <f t="shared" si="26"/>
        <v>77153750</v>
      </c>
      <c r="W55" s="560">
        <f>[3]MFP!DT56</f>
        <v>64127913</v>
      </c>
      <c r="X55" s="560">
        <f t="shared" si="27"/>
        <v>0</v>
      </c>
      <c r="Y55" s="560">
        <f>'[4]Table 4B Rewards'!G52</f>
        <v>42269.25</v>
      </c>
      <c r="Z55" s="560">
        <f t="shared" si="28"/>
        <v>64170182.25</v>
      </c>
      <c r="AA55" s="1737">
        <f t="shared" si="29"/>
        <v>12983567.75</v>
      </c>
      <c r="AB55" s="1741">
        <f>('[5]Table 2A-2 EFT (Monthly)'!Z54+'[5]Table 2A-2 EFT (Monthly)Aug'!Z54+'[5]Table 2A-2 EFT (Monthly) sep'!Z54+'[5]Table 2A-2 EFT (Monthly)oct'!Z54+'[5]Table 2A-2 EFT (Monthly)oct'!Z54+'[5]Table 2A-2 EFT (Monthly)dec'!Z54+'[5]Table 2A-2 EFT (Monthly)jan'!Z54+'[5]Table 2A-2 EFT (Monthly)feb'!Z54+'[5]Table 2A-2 EFT (Monthly) mar'!Z54+'[5]Table 2A-2 EFT (Monthly)apr'!Z54)*-1</f>
        <v>3814</v>
      </c>
      <c r="AC55" s="1741">
        <f>('[5]Table 2A-2 EFT (Monthly)'!AA54+'[5]Table 2A-2 EFT (Monthly)Aug'!AA54+'[5]Table 2A-2 EFT (Monthly) sep'!AA54+'[5]Table 2A-2 EFT (Monthly)oct'!AA54+'[5]Table 2A-2 EFT (Monthly)oct'!AA54+'[5]Table 2A-2 EFT (Monthly)dec'!AA54+'[5]Table 2A-2 EFT (Monthly)jan'!AA54+'[5]Table 2A-2 EFT (Monthly)feb'!AA54+'[5]Table 2A-2 EFT (Monthly) mar'!AA54+'[5]Table 2A-2 EFT (Monthly)apr'!AA54)*-1</f>
        <v>0</v>
      </c>
      <c r="AD55" s="1741">
        <f>('[5]Table 2A-2 EFT (Monthly)'!AB54+'[5]Table 2A-2 EFT (Monthly)Aug'!AB54+'[5]Table 2A-2 EFT (Monthly) sep'!AB54+'[5]Table 2A-2 EFT (Monthly)oct'!AB54+'[5]Table 2A-2 EFT (Monthly)oct'!AB54+'[5]Table 2A-2 EFT (Monthly)dec'!AB54+'[5]Table 2A-2 EFT (Monthly)jan'!AB54+'[5]Table 2A-2 EFT (Monthly)feb'!AB54+'[5]Table 2A-2 EFT (Monthly) mar'!AB54+'[5]Table 2A-2 EFT (Monthly)apr'!AB54)*-1</f>
        <v>6180</v>
      </c>
      <c r="AE55" s="1741">
        <f>('[5]Table 2A-2 EFT (Monthly)'!AC54+'[5]Table 2A-2 EFT (Monthly)Aug'!AC54+'[5]Table 2A-2 EFT (Monthly) sep'!AC54+'[5]Table 2A-2 EFT (Monthly)oct'!AC54+'[5]Table 2A-2 EFT (Monthly)oct'!AC54+'[5]Table 2A-2 EFT (Monthly)dec'!AC54+'[5]Table 2A-2 EFT (Monthly)jan'!AC54+'[5]Table 2A-2 EFT (Monthly)feb'!AC54+'[5]Table 2A-2 EFT (Monthly) mar'!AC54+'[5]Table 2A-2 EFT (Monthly)apr'!AC54)*-1</f>
        <v>6556</v>
      </c>
      <c r="AF55" s="1741">
        <f>('[5]Table 2A-2 EFT (Monthly)'!Q54+'[5]Table 2A-2 EFT (Monthly)Aug'!Q54+'[5]Table 2A-2 EFT (Monthly) sep'!Q54+'[5]Table 2A-2 EFT (Monthly)oct'!Q54+'[5]Table 2A-2 EFT (Monthly)oct'!Q54+'[5]Table 2A-2 EFT (Monthly)dec'!Q54+'[5]Table 2A-2 EFT (Monthly)jan'!Q54+'[5]Table 2A-2 EFT (Monthly)feb'!Q54+'[5]Table 2A-2 EFT (Monthly) mar'!Q54+'[5]Table 2A-2 EFT (Monthly)apr'!Q54+'[5]Table 2A-2 EFT (Monthly)'!AT54+'[5]Table 2A-2 EFT (Monthly) mar'!AT54)*-1</f>
        <v>0</v>
      </c>
      <c r="AG55" s="1741">
        <f>('[5]Table 2A-2 EFT (Monthly)'!R54+'[5]Table 2A-2 EFT (Monthly)Aug'!R54+'[5]Table 2A-2 EFT (Monthly) sep'!R54+'[5]Table 2A-2 EFT (Monthly)oct'!R54+'[5]Table 2A-2 EFT (Monthly)oct'!R54+'[5]Table 2A-2 EFT (Monthly)dec'!R54+'[5]Table 2A-2 EFT (Monthly)jan'!R54+'[5]Table 2A-2 EFT (Monthly)feb'!R54+'[5]Table 2A-2 EFT (Monthly) mar'!R54+'[5]Table 2A-2 EFT (Monthly)apr'!R54+'[5]Table 2A-2 EFT (Monthly)'!AU54+'[5]Table 2A-2 EFT (Monthly) mar'!AU54)*-1</f>
        <v>0</v>
      </c>
      <c r="AH55" s="1741">
        <f>('[5]Table 2A-2 EFT (Monthly)'!S54+'[5]Table 2A-2 EFT (Monthly)Aug'!S54+'[5]Table 2A-2 EFT (Monthly) sep'!S54+'[5]Table 2A-2 EFT (Monthly)oct'!S54+'[5]Table 2A-2 EFT (Monthly)oct'!S54+'[5]Table 2A-2 EFT (Monthly)dec'!S54+'[5]Table 2A-2 EFT (Monthly)jan'!S54+'[5]Table 2A-2 EFT (Monthly)feb'!S54+'[5]Table 2A-2 EFT (Monthly) mar'!S54+'[5]Table 2A-2 EFT (Monthly)apr'!S54+'[5]Table 2A-2 EFT (Monthly)'!AV54+'[5]Table 2A-2 EFT (Monthly) mar'!AV54)*-1</f>
        <v>0</v>
      </c>
      <c r="AI55" s="1741">
        <f>('[5]Table 2A-2 EFT (Monthly)'!T54+'[5]Table 2A-2 EFT (Monthly)Aug'!T54+'[5]Table 2A-2 EFT (Monthly) sep'!T54+'[5]Table 2A-2 EFT (Monthly)oct'!T54+'[5]Table 2A-2 EFT (Monthly)oct'!T54+'[5]Table 2A-2 EFT (Monthly)dec'!T54+'[5]Table 2A-2 EFT (Monthly)jan'!T54+'[5]Table 2A-2 EFT (Monthly)feb'!T54+'[5]Table 2A-2 EFT (Monthly) mar'!T54+'[5]Table 2A-2 EFT (Monthly)apr'!T54+'[5]Table 2A-2 EFT (Monthly)'!AW54+'[5]Table 2A-2 EFT (Monthly) mar'!AW54)*-1</f>
        <v>5438.6750000000002</v>
      </c>
      <c r="AJ55" s="1741">
        <f>('[5]Table 2A-2 EFT (Monthly)'!U54+'[5]Table 2A-2 EFT (Monthly)Aug'!U54+'[5]Table 2A-2 EFT (Monthly) sep'!U54+'[5]Table 2A-2 EFT (Monthly)oct'!U54+'[5]Table 2A-2 EFT (Monthly)oct'!U54+'[5]Table 2A-2 EFT (Monthly)dec'!U54+'[5]Table 2A-2 EFT (Monthly)jan'!U54+'[5]Table 2A-2 EFT (Monthly)feb'!U54+'[5]Table 2A-2 EFT (Monthly) mar'!U54+'[5]Table 2A-2 EFT (Monthly)apr'!U54+'[5]Table 2A-2 EFT (Monthly)'!AX54+'[5]Table 2A-2 EFT (Monthly) mar'!AX54)*-1</f>
        <v>0</v>
      </c>
      <c r="AK55" s="1741">
        <f>('[5]Table 2A-2 EFT (Monthly)'!V54+'[5]Table 2A-2 EFT (Monthly)Aug'!V54+'[5]Table 2A-2 EFT (Monthly) sep'!V54+'[5]Table 2A-2 EFT (Monthly)oct'!V54+'[5]Table 2A-2 EFT (Monthly)oct'!V54+'[5]Table 2A-2 EFT (Monthly)dec'!V54+'[5]Table 2A-2 EFT (Monthly)jan'!V54+'[5]Table 2A-2 EFT (Monthly)feb'!V54+'[5]Table 2A-2 EFT (Monthly) mar'!V54+'[5]Table 2A-2 EFT (Monthly)apr'!V54+'[5]Table 2A-2 EFT (Monthly)'!AY54+'[5]Table 2A-2 EFT (Monthly) mar'!AY54)*-1</f>
        <v>0</v>
      </c>
      <c r="AL55" s="1741">
        <f>('[5]Table 2A-2 EFT (Monthly)'!W54+'[5]Table 2A-2 EFT (Monthly)Aug'!W54+'[5]Table 2A-2 EFT (Monthly) sep'!W54+'[5]Table 2A-2 EFT (Monthly)oct'!W54+'[5]Table 2A-2 EFT (Monthly)oct'!W54+'[5]Table 2A-2 EFT (Monthly)dec'!W54+'[5]Table 2A-2 EFT (Monthly)jan'!W54+'[5]Table 2A-2 EFT (Monthly)feb'!W54+'[5]Table 2A-2 EFT (Monthly) mar'!W54+'[5]Table 2A-2 EFT (Monthly)apr'!W54+'[5]Table 2A-2 EFT (Monthly)'!AZ54+'[5]Table 2A-2 EFT (Monthly) mar'!AZ54)*-1</f>
        <v>0</v>
      </c>
      <c r="AM55" s="1741">
        <f>('[5]Table 2A-2 EFT (Monthly)'!X54+'[5]Table 2A-2 EFT (Monthly)Aug'!X54+'[5]Table 2A-2 EFT (Monthly) sep'!X54+'[5]Table 2A-2 EFT (Monthly)oct'!X54+'[5]Table 2A-2 EFT (Monthly)oct'!X54+'[5]Table 2A-2 EFT (Monthly)dec'!X54+'[5]Table 2A-2 EFT (Monthly)jan'!X54+'[5]Table 2A-2 EFT (Monthly)feb'!X54+'[5]Table 2A-2 EFT (Monthly) mar'!X54+'[5]Table 2A-2 EFT (Monthly)apr'!X54+'[5]Table 2A-2 EFT (Monthly)'!BA54+'[5]Table 2A-2 EFT (Monthly) mar'!BA54)*-1</f>
        <v>0</v>
      </c>
      <c r="AN55" s="1741">
        <f>('[5]Table 2A-2 EFT (Monthly) sep'!AD54+'[5]Table 2A-2 EFT (Monthly)dec'!AD54+'[5]Table 2A-2 EFT (Monthly)feb'!AD54)*-1</f>
        <v>86681.852933696719</v>
      </c>
      <c r="AO55" s="1741">
        <f t="shared" si="30"/>
        <v>108670.52793369672</v>
      </c>
      <c r="AP55" s="560">
        <f t="shared" si="31"/>
        <v>13092238.277933696</v>
      </c>
      <c r="AQ55" s="309">
        <f t="shared" si="32"/>
        <v>6546119</v>
      </c>
      <c r="AR55" s="309">
        <f>'Table 4A Stipends'!G52</f>
        <v>0</v>
      </c>
      <c r="AS55" s="309">
        <f t="shared" si="34"/>
        <v>77153750</v>
      </c>
      <c r="AU55" s="1339">
        <f>('Table 8 2.1.12 MFP Funded'!G52*'Table 3 Levels 1&amp;2'!AP56)+'Table 2_State with Midyear Adjs'!F55</f>
        <v>77716647.393776491</v>
      </c>
      <c r="AV55" s="753">
        <f t="shared" si="35"/>
        <v>-562897.39377649128</v>
      </c>
      <c r="AW55" s="280">
        <f t="shared" si="36"/>
        <v>-7.2429448857255748E-3</v>
      </c>
    </row>
    <row r="56" spans="1:49">
      <c r="A56" s="102">
        <v>50</v>
      </c>
      <c r="B56" s="300" t="s">
        <v>150</v>
      </c>
      <c r="C56" s="318">
        <f>'Table 3 Levels 1&amp;2'!AO57</f>
        <v>45609584.613104001</v>
      </c>
      <c r="D56" s="355">
        <f>'[2]Adjusted Amounts'!$C56</f>
        <v>72688.880721636524</v>
      </c>
      <c r="E56" s="355">
        <f>'[2]Adjusted Amounts'!$H56</f>
        <v>-60360.559583695052</v>
      </c>
      <c r="F56" s="355">
        <f t="shared" si="22"/>
        <v>12328.321137941472</v>
      </c>
      <c r="G56" s="318">
        <f t="shared" si="19"/>
        <v>12328.321137941472</v>
      </c>
      <c r="H56" s="355">
        <f t="shared" si="23"/>
        <v>0</v>
      </c>
      <c r="I56" s="355">
        <f>'[1]Midyear Adjustment Summary'!C54+'[1]Oct midyear Madison Prep'!K56+'[1]Oct midyear DArbonne'!K56+'[1]Oct midyear Intl_VIBE '!K56+'[1]Oct midyear NOMMA'!K56+'[1]Oct midyear LFNO'!K56+'[1]Oct midyear Lake Charles Chtr'!K56+'[1]Oct midyear LA Virtual Admy'!K53+'[1]Oct midyear LA Connections'!K53</f>
        <v>206232.0131946711</v>
      </c>
      <c r="J56" s="355">
        <f>'[1]Midyear Adjustment Summary'!D54+'[1]Feb midyear Madison Prep'!K56+'[1]Feb midyear DArbonne'!K56+'[1]Feb midyear Intl_VIBE '!K56+'[1]Feb midyear NOMMA'!K56+'[1]Feb midyear LFNO '!K56+'[1]Feb midyear Lake Charles Ch'!K56+'[1]Feb midyear LA Virtual Admy'!K53+'[1]Feb midyear LA Connections'!K53</f>
        <v>-379901.07693755202</v>
      </c>
      <c r="K56" s="355">
        <f t="shared" si="24"/>
        <v>-173669.06374288091</v>
      </c>
      <c r="L56" s="355"/>
      <c r="M56" s="355">
        <f>-'Table 5C1A-Madison Prep'!L56</f>
        <v>0</v>
      </c>
      <c r="N56" s="355">
        <f>-'Table 5C1B-DArbonne'!L56</f>
        <v>0</v>
      </c>
      <c r="O56" s="355">
        <f>-'Table 5C1C-Intl_VIBE'!L56</f>
        <v>0</v>
      </c>
      <c r="P56" s="355">
        <f>-'Table 5C1D-NOMMA'!L56</f>
        <v>0</v>
      </c>
      <c r="Q56" s="355">
        <f>-'Table 5C1E-LFNO'!L56</f>
        <v>0</v>
      </c>
      <c r="R56" s="355">
        <f>-'Table 5C1F-Lake Charles Charter'!L56</f>
        <v>0</v>
      </c>
      <c r="S56" s="321">
        <f>-'Table 5C2 - LA Virtual Admy'!M54-'Table 5C2 - LA Virtual Admy'!I54</f>
        <v>-57540.779216784264</v>
      </c>
      <c r="T56" s="321">
        <f>-'Table 5C3 - LA Connections EBR'!M54-'Table 5C3 - LA Connections EBR'!I54</f>
        <v>-35895.858063867825</v>
      </c>
      <c r="U56" s="321">
        <f t="shared" si="25"/>
        <v>-93436.637280652096</v>
      </c>
      <c r="V56" s="561">
        <f t="shared" si="26"/>
        <v>45354807</v>
      </c>
      <c r="W56" s="561">
        <f>[3]MFP!DT57</f>
        <v>37666967</v>
      </c>
      <c r="X56" s="561">
        <f t="shared" si="27"/>
        <v>28000</v>
      </c>
      <c r="Y56" s="561">
        <f>'[4]Table 4B Rewards'!G53</f>
        <v>25361.550000000003</v>
      </c>
      <c r="Z56" s="561">
        <f t="shared" si="28"/>
        <v>37720328.549999997</v>
      </c>
      <c r="AA56" s="561">
        <f t="shared" si="29"/>
        <v>7634478.450000003</v>
      </c>
      <c r="AB56" s="1742">
        <f>('[5]Table 2A-2 EFT (Monthly)'!Z55+'[5]Table 2A-2 EFT (Monthly)Aug'!Z55+'[5]Table 2A-2 EFT (Monthly) sep'!Z55+'[5]Table 2A-2 EFT (Monthly)oct'!Z55+'[5]Table 2A-2 EFT (Monthly)oct'!Z55+'[5]Table 2A-2 EFT (Monthly)dec'!Z55+'[5]Table 2A-2 EFT (Monthly)jan'!Z55+'[5]Table 2A-2 EFT (Monthly)feb'!Z55+'[5]Table 2A-2 EFT (Monthly) mar'!Z55+'[5]Table 2A-2 EFT (Monthly)apr'!Z55)*-1</f>
        <v>3710</v>
      </c>
      <c r="AC56" s="1742">
        <f>('[5]Table 2A-2 EFT (Monthly)'!AA55+'[5]Table 2A-2 EFT (Monthly)Aug'!AA55+'[5]Table 2A-2 EFT (Monthly) sep'!AA55+'[5]Table 2A-2 EFT (Monthly)oct'!AA55+'[5]Table 2A-2 EFT (Monthly)oct'!AA55+'[5]Table 2A-2 EFT (Monthly)dec'!AA55+'[5]Table 2A-2 EFT (Monthly)jan'!AA55+'[5]Table 2A-2 EFT (Monthly)feb'!AA55+'[5]Table 2A-2 EFT (Monthly) mar'!AA55+'[5]Table 2A-2 EFT (Monthly)apr'!AA55)*-1</f>
        <v>0</v>
      </c>
      <c r="AD56" s="1742">
        <f>('[5]Table 2A-2 EFT (Monthly)'!AB55+'[5]Table 2A-2 EFT (Monthly)Aug'!AB55+'[5]Table 2A-2 EFT (Monthly) sep'!AB55+'[5]Table 2A-2 EFT (Monthly)oct'!AB55+'[5]Table 2A-2 EFT (Monthly)oct'!AB55+'[5]Table 2A-2 EFT (Monthly)dec'!AB55+'[5]Table 2A-2 EFT (Monthly)jan'!AB55+'[5]Table 2A-2 EFT (Monthly)feb'!AB55+'[5]Table 2A-2 EFT (Monthly) mar'!AB55+'[5]Table 2A-2 EFT (Monthly)apr'!AB55)*-1</f>
        <v>3506</v>
      </c>
      <c r="AE56" s="1742">
        <f>('[5]Table 2A-2 EFT (Monthly)'!AC55+'[5]Table 2A-2 EFT (Monthly)Aug'!AC55+'[5]Table 2A-2 EFT (Monthly) sep'!AC55+'[5]Table 2A-2 EFT (Monthly)oct'!AC55+'[5]Table 2A-2 EFT (Monthly)oct'!AC55+'[5]Table 2A-2 EFT (Monthly)dec'!AC55+'[5]Table 2A-2 EFT (Monthly)jan'!AC55+'[5]Table 2A-2 EFT (Monthly)feb'!AC55+'[5]Table 2A-2 EFT (Monthly) mar'!AC55+'[5]Table 2A-2 EFT (Monthly)apr'!AC55)*-1</f>
        <v>658</v>
      </c>
      <c r="AF56" s="1742">
        <f>('[5]Table 2A-2 EFT (Monthly)'!Q55+'[5]Table 2A-2 EFT (Monthly)Aug'!Q55+'[5]Table 2A-2 EFT (Monthly) sep'!Q55+'[5]Table 2A-2 EFT (Monthly)oct'!Q55+'[5]Table 2A-2 EFT (Monthly)oct'!Q55+'[5]Table 2A-2 EFT (Monthly)dec'!Q55+'[5]Table 2A-2 EFT (Monthly)jan'!Q55+'[5]Table 2A-2 EFT (Monthly)feb'!Q55+'[5]Table 2A-2 EFT (Monthly) mar'!Q55+'[5]Table 2A-2 EFT (Monthly)apr'!Q55+'[5]Table 2A-2 EFT (Monthly)'!AT55+'[5]Table 2A-2 EFT (Monthly) mar'!AT55)*-1</f>
        <v>0</v>
      </c>
      <c r="AG56" s="1742">
        <f>('[5]Table 2A-2 EFT (Monthly)'!R55+'[5]Table 2A-2 EFT (Monthly)Aug'!R55+'[5]Table 2A-2 EFT (Monthly) sep'!R55+'[5]Table 2A-2 EFT (Monthly)oct'!R55+'[5]Table 2A-2 EFT (Monthly)oct'!R55+'[5]Table 2A-2 EFT (Monthly)dec'!R55+'[5]Table 2A-2 EFT (Monthly)jan'!R55+'[5]Table 2A-2 EFT (Monthly)feb'!R55+'[5]Table 2A-2 EFT (Monthly) mar'!R55+'[5]Table 2A-2 EFT (Monthly)apr'!R55+'[5]Table 2A-2 EFT (Monthly)'!AU55+'[5]Table 2A-2 EFT (Monthly) mar'!AU55)*-1</f>
        <v>0</v>
      </c>
      <c r="AH56" s="1742">
        <f>('[5]Table 2A-2 EFT (Monthly)'!S55+'[5]Table 2A-2 EFT (Monthly)Aug'!S55+'[5]Table 2A-2 EFT (Monthly) sep'!S55+'[5]Table 2A-2 EFT (Monthly)oct'!S55+'[5]Table 2A-2 EFT (Monthly)oct'!S55+'[5]Table 2A-2 EFT (Monthly)dec'!S55+'[5]Table 2A-2 EFT (Monthly)jan'!S55+'[5]Table 2A-2 EFT (Monthly)feb'!S55+'[5]Table 2A-2 EFT (Monthly) mar'!S55+'[5]Table 2A-2 EFT (Monthly)apr'!S55+'[5]Table 2A-2 EFT (Monthly)'!AV55+'[5]Table 2A-2 EFT (Monthly) mar'!AV55)*-1</f>
        <v>0</v>
      </c>
      <c r="AI56" s="1742">
        <f>('[5]Table 2A-2 EFT (Monthly)'!T55+'[5]Table 2A-2 EFT (Monthly)Aug'!T55+'[5]Table 2A-2 EFT (Monthly) sep'!T55+'[5]Table 2A-2 EFT (Monthly)oct'!T55+'[5]Table 2A-2 EFT (Monthly)oct'!T55+'[5]Table 2A-2 EFT (Monthly)dec'!T55+'[5]Table 2A-2 EFT (Monthly)jan'!T55+'[5]Table 2A-2 EFT (Monthly)feb'!T55+'[5]Table 2A-2 EFT (Monthly) mar'!T55+'[5]Table 2A-2 EFT (Monthly)apr'!T55+'[5]Table 2A-2 EFT (Monthly)'!AW55+'[5]Table 2A-2 EFT (Monthly) mar'!AW55)*-1</f>
        <v>0</v>
      </c>
      <c r="AJ56" s="1742">
        <f>('[5]Table 2A-2 EFT (Monthly)'!U55+'[5]Table 2A-2 EFT (Monthly)Aug'!U55+'[5]Table 2A-2 EFT (Monthly) sep'!U55+'[5]Table 2A-2 EFT (Monthly)oct'!U55+'[5]Table 2A-2 EFT (Monthly)oct'!U55+'[5]Table 2A-2 EFT (Monthly)dec'!U55+'[5]Table 2A-2 EFT (Monthly)jan'!U55+'[5]Table 2A-2 EFT (Monthly)feb'!U55+'[5]Table 2A-2 EFT (Monthly) mar'!U55+'[5]Table 2A-2 EFT (Monthly)apr'!U55+'[5]Table 2A-2 EFT (Monthly)'!AX55+'[5]Table 2A-2 EFT (Monthly) mar'!AX55)*-1</f>
        <v>0</v>
      </c>
      <c r="AK56" s="1742">
        <f>('[5]Table 2A-2 EFT (Monthly)'!V55+'[5]Table 2A-2 EFT (Monthly)Aug'!V55+'[5]Table 2A-2 EFT (Monthly) sep'!V55+'[5]Table 2A-2 EFT (Monthly)oct'!V55+'[5]Table 2A-2 EFT (Monthly)oct'!V55+'[5]Table 2A-2 EFT (Monthly)dec'!V55+'[5]Table 2A-2 EFT (Monthly)jan'!V55+'[5]Table 2A-2 EFT (Monthly)feb'!V55+'[5]Table 2A-2 EFT (Monthly) mar'!V55+'[5]Table 2A-2 EFT (Monthly)apr'!V55+'[5]Table 2A-2 EFT (Monthly)'!AY55+'[5]Table 2A-2 EFT (Monthly) mar'!AY55)*-1</f>
        <v>0</v>
      </c>
      <c r="AL56" s="1742">
        <f>('[5]Table 2A-2 EFT (Monthly)'!W55+'[5]Table 2A-2 EFT (Monthly)Aug'!W55+'[5]Table 2A-2 EFT (Monthly) sep'!W55+'[5]Table 2A-2 EFT (Monthly)oct'!W55+'[5]Table 2A-2 EFT (Monthly)oct'!W55+'[5]Table 2A-2 EFT (Monthly)dec'!W55+'[5]Table 2A-2 EFT (Monthly)jan'!W55+'[5]Table 2A-2 EFT (Monthly)feb'!W55+'[5]Table 2A-2 EFT (Monthly) mar'!W55+'[5]Table 2A-2 EFT (Monthly)apr'!W55+'[5]Table 2A-2 EFT (Monthly)'!AZ55+'[5]Table 2A-2 EFT (Monthly) mar'!AZ55)*-1</f>
        <v>0</v>
      </c>
      <c r="AM56" s="1742">
        <f>('[5]Table 2A-2 EFT (Monthly)'!X55+'[5]Table 2A-2 EFT (Monthly)Aug'!X55+'[5]Table 2A-2 EFT (Monthly) sep'!X55+'[5]Table 2A-2 EFT (Monthly)oct'!X55+'[5]Table 2A-2 EFT (Monthly)oct'!X55+'[5]Table 2A-2 EFT (Monthly)dec'!X55+'[5]Table 2A-2 EFT (Monthly)jan'!X55+'[5]Table 2A-2 EFT (Monthly)feb'!X55+'[5]Table 2A-2 EFT (Monthly) mar'!X55+'[5]Table 2A-2 EFT (Monthly)apr'!X55+'[5]Table 2A-2 EFT (Monthly)'!BA55+'[5]Table 2A-2 EFT (Monthly) mar'!BA55)*-1</f>
        <v>0</v>
      </c>
      <c r="AN56" s="1742">
        <f>('[5]Table 2A-2 EFT (Monthly) sep'!AD55+'[5]Table 2A-2 EFT (Monthly)dec'!AD55+'[5]Table 2A-2 EFT (Monthly)feb'!AD55)*-1</f>
        <v>44015.268128206437</v>
      </c>
      <c r="AO56" s="1742">
        <f t="shared" si="30"/>
        <v>51889.268128206437</v>
      </c>
      <c r="AP56" s="561">
        <f t="shared" si="31"/>
        <v>7686367.718128209</v>
      </c>
      <c r="AQ56" s="318">
        <f t="shared" si="32"/>
        <v>3843184</v>
      </c>
      <c r="AR56" s="318">
        <f>'Table 4A Stipends'!G53</f>
        <v>28000</v>
      </c>
      <c r="AS56" s="318">
        <f t="shared" si="34"/>
        <v>45382807</v>
      </c>
      <c r="AU56" s="1339">
        <f>('Table 8 2.1.12 MFP Funded'!G53*'Table 3 Levels 1&amp;2'!AP57)+'Table 2_State with Midyear Adjs'!F56</f>
        <v>45496235.221129678</v>
      </c>
      <c r="AV56" s="753">
        <f t="shared" si="35"/>
        <v>-141428.22112967819</v>
      </c>
      <c r="AW56" s="280">
        <f t="shared" si="36"/>
        <v>-3.1085697628008375E-3</v>
      </c>
    </row>
    <row r="57" spans="1:49">
      <c r="A57" s="101">
        <v>51</v>
      </c>
      <c r="B57" s="299" t="s">
        <v>151</v>
      </c>
      <c r="C57" s="309">
        <f>'Table 3 Levels 1&amp;2'!AO58</f>
        <v>45561692.2680832</v>
      </c>
      <c r="D57" s="354">
        <f>'[2]Adjusted Amounts'!$C57</f>
        <v>0</v>
      </c>
      <c r="E57" s="354">
        <f>'[2]Adjusted Amounts'!$H57</f>
        <v>2001.1680753535074</v>
      </c>
      <c r="F57" s="354">
        <f t="shared" si="22"/>
        <v>2001.1680753535074</v>
      </c>
      <c r="G57" s="309">
        <f t="shared" si="19"/>
        <v>2001.1680753535074</v>
      </c>
      <c r="H57" s="354">
        <f t="shared" si="23"/>
        <v>0</v>
      </c>
      <c r="I57" s="354">
        <f>'[1]Midyear Adjustment Summary'!C55+'[1]Oct midyear Madison Prep'!K57+'[1]Oct midyear DArbonne'!K57+'[1]Oct midyear Intl_VIBE '!K57+'[1]Oct midyear NOMMA'!K57+'[1]Oct midyear LFNO'!K57+'[1]Oct midyear Lake Charles Chtr'!K57+'[1]Oct midyear LA Virtual Admy'!K54+'[1]Oct midyear LA Connections'!K54</f>
        <v>304589.35753978277</v>
      </c>
      <c r="J57" s="354">
        <f>'[1]Midyear Adjustment Summary'!D55+'[1]Feb midyear Madison Prep'!K57+'[1]Feb midyear DArbonne'!K57+'[1]Feb midyear Intl_VIBE '!K57+'[1]Feb midyear NOMMA'!K57+'[1]Feb midyear LFNO '!K57+'[1]Feb midyear Lake Charles Ch'!K57+'[1]Feb midyear LA Virtual Admy'!K54+'[1]Feb midyear LA Connections'!K54</f>
        <v>-283192.58448946744</v>
      </c>
      <c r="K57" s="354">
        <f t="shared" si="24"/>
        <v>21396.773050315329</v>
      </c>
      <c r="L57" s="354"/>
      <c r="M57" s="354">
        <f>-'Table 5C1A-Madison Prep'!L57</f>
        <v>0</v>
      </c>
      <c r="N57" s="354">
        <f>-'Table 5C1B-DArbonne'!L57</f>
        <v>0</v>
      </c>
      <c r="O57" s="354">
        <f>-'Table 5C1C-Intl_VIBE'!L57</f>
        <v>0</v>
      </c>
      <c r="P57" s="354">
        <f>-'Table 5C1D-NOMMA'!L57</f>
        <v>0</v>
      </c>
      <c r="Q57" s="354">
        <f>-'Table 5C1E-LFNO'!L57</f>
        <v>0</v>
      </c>
      <c r="R57" s="354">
        <f>-'Table 5C1F-Lake Charles Charter'!L57</f>
        <v>0</v>
      </c>
      <c r="S57" s="314">
        <f>-'Table 5C2 - LA Virtual Admy'!M55-'Table 5C2 - LA Virtual Admy'!I55</f>
        <v>-14357.215764336506</v>
      </c>
      <c r="T57" s="314">
        <f>-'Table 5C3 - LA Connections EBR'!M55-'Table 5C3 - LA Connections EBR'!I55</f>
        <v>-11226.100121347112</v>
      </c>
      <c r="U57" s="1692">
        <f t="shared" si="25"/>
        <v>-25583.315885683616</v>
      </c>
      <c r="V57" s="560">
        <f t="shared" si="26"/>
        <v>45559507</v>
      </c>
      <c r="W57" s="560">
        <f>[3]MFP!DT58</f>
        <v>38363031</v>
      </c>
      <c r="X57" s="560">
        <f t="shared" si="27"/>
        <v>0</v>
      </c>
      <c r="Y57" s="560">
        <f>'[4]Table 4B Rewards'!G54</f>
        <v>59176.95</v>
      </c>
      <c r="Z57" s="560">
        <f t="shared" si="28"/>
        <v>38422207.950000003</v>
      </c>
      <c r="AA57" s="1737">
        <f t="shared" si="29"/>
        <v>7137299.049999997</v>
      </c>
      <c r="AB57" s="1741">
        <f>('[5]Table 2A-2 EFT (Monthly)'!Z56+'[5]Table 2A-2 EFT (Monthly)Aug'!Z56+'[5]Table 2A-2 EFT (Monthly) sep'!Z56+'[5]Table 2A-2 EFT (Monthly)oct'!Z56+'[5]Table 2A-2 EFT (Monthly)oct'!Z56+'[5]Table 2A-2 EFT (Monthly)dec'!Z56+'[5]Table 2A-2 EFT (Monthly)jan'!Z56+'[5]Table 2A-2 EFT (Monthly)feb'!Z56+'[5]Table 2A-2 EFT (Monthly) mar'!Z56+'[5]Table 2A-2 EFT (Monthly)apr'!Z56)*-1</f>
        <v>5614</v>
      </c>
      <c r="AC57" s="1741">
        <f>('[5]Table 2A-2 EFT (Monthly)'!AA56+'[5]Table 2A-2 EFT (Monthly)Aug'!AA56+'[5]Table 2A-2 EFT (Monthly) sep'!AA56+'[5]Table 2A-2 EFT (Monthly)oct'!AA56+'[5]Table 2A-2 EFT (Monthly)oct'!AA56+'[5]Table 2A-2 EFT (Monthly)dec'!AA56+'[5]Table 2A-2 EFT (Monthly)jan'!AA56+'[5]Table 2A-2 EFT (Monthly)feb'!AA56+'[5]Table 2A-2 EFT (Monthly) mar'!AA56+'[5]Table 2A-2 EFT (Monthly)apr'!AA56)*-1</f>
        <v>0</v>
      </c>
      <c r="AD57" s="1741">
        <f>('[5]Table 2A-2 EFT (Monthly)'!AB56+'[5]Table 2A-2 EFT (Monthly)Aug'!AB56+'[5]Table 2A-2 EFT (Monthly) sep'!AB56+'[5]Table 2A-2 EFT (Monthly)oct'!AB56+'[5]Table 2A-2 EFT (Monthly)oct'!AB56+'[5]Table 2A-2 EFT (Monthly)dec'!AB56+'[5]Table 2A-2 EFT (Monthly)jan'!AB56+'[5]Table 2A-2 EFT (Monthly)feb'!AB56+'[5]Table 2A-2 EFT (Monthly) mar'!AB56+'[5]Table 2A-2 EFT (Monthly)apr'!AB56)*-1</f>
        <v>7462</v>
      </c>
      <c r="AE57" s="1741">
        <f>('[5]Table 2A-2 EFT (Monthly)'!AC56+'[5]Table 2A-2 EFT (Monthly)Aug'!AC56+'[5]Table 2A-2 EFT (Monthly) sep'!AC56+'[5]Table 2A-2 EFT (Monthly)oct'!AC56+'[5]Table 2A-2 EFT (Monthly)oct'!AC56+'[5]Table 2A-2 EFT (Monthly)dec'!AC56+'[5]Table 2A-2 EFT (Monthly)jan'!AC56+'[5]Table 2A-2 EFT (Monthly)feb'!AC56+'[5]Table 2A-2 EFT (Monthly) mar'!AC56+'[5]Table 2A-2 EFT (Monthly)apr'!AC56)*-1</f>
        <v>10380</v>
      </c>
      <c r="AF57" s="1741">
        <f>('[5]Table 2A-2 EFT (Monthly)'!Q56+'[5]Table 2A-2 EFT (Monthly)Aug'!Q56+'[5]Table 2A-2 EFT (Monthly) sep'!Q56+'[5]Table 2A-2 EFT (Monthly)oct'!Q56+'[5]Table 2A-2 EFT (Monthly)oct'!Q56+'[5]Table 2A-2 EFT (Monthly)dec'!Q56+'[5]Table 2A-2 EFT (Monthly)jan'!Q56+'[5]Table 2A-2 EFT (Monthly)feb'!Q56+'[5]Table 2A-2 EFT (Monthly) mar'!Q56+'[5]Table 2A-2 EFT (Monthly)apr'!Q56+'[5]Table 2A-2 EFT (Monthly)'!AT56+'[5]Table 2A-2 EFT (Monthly) mar'!AT56)*-1</f>
        <v>0</v>
      </c>
      <c r="AG57" s="1741">
        <f>('[5]Table 2A-2 EFT (Monthly)'!R56+'[5]Table 2A-2 EFT (Monthly)Aug'!R56+'[5]Table 2A-2 EFT (Monthly) sep'!R56+'[5]Table 2A-2 EFT (Monthly)oct'!R56+'[5]Table 2A-2 EFT (Monthly)oct'!R56+'[5]Table 2A-2 EFT (Monthly)dec'!R56+'[5]Table 2A-2 EFT (Monthly)jan'!R56+'[5]Table 2A-2 EFT (Monthly)feb'!R56+'[5]Table 2A-2 EFT (Monthly) mar'!R56+'[5]Table 2A-2 EFT (Monthly)apr'!R56+'[5]Table 2A-2 EFT (Monthly)'!AU56+'[5]Table 2A-2 EFT (Monthly) mar'!AU56)*-1</f>
        <v>971520.82250000001</v>
      </c>
      <c r="AH57" s="1741">
        <f>('[5]Table 2A-2 EFT (Monthly)'!S56+'[5]Table 2A-2 EFT (Monthly)Aug'!S56+'[5]Table 2A-2 EFT (Monthly) sep'!S56+'[5]Table 2A-2 EFT (Monthly)oct'!S56+'[5]Table 2A-2 EFT (Monthly)oct'!S56+'[5]Table 2A-2 EFT (Monthly)dec'!S56+'[5]Table 2A-2 EFT (Monthly)jan'!S56+'[5]Table 2A-2 EFT (Monthly)feb'!S56+'[5]Table 2A-2 EFT (Monthly) mar'!S56+'[5]Table 2A-2 EFT (Monthly)apr'!S56+'[5]Table 2A-2 EFT (Monthly)'!AV56+'[5]Table 2A-2 EFT (Monthly) mar'!AV56)*-1</f>
        <v>0</v>
      </c>
      <c r="AI57" s="1741">
        <f>('[5]Table 2A-2 EFT (Monthly)'!T56+'[5]Table 2A-2 EFT (Monthly)Aug'!T56+'[5]Table 2A-2 EFT (Monthly) sep'!T56+'[5]Table 2A-2 EFT (Monthly)oct'!T56+'[5]Table 2A-2 EFT (Monthly)oct'!T56+'[5]Table 2A-2 EFT (Monthly)dec'!T56+'[5]Table 2A-2 EFT (Monthly)jan'!T56+'[5]Table 2A-2 EFT (Monthly)feb'!T56+'[5]Table 2A-2 EFT (Monthly) mar'!T56+'[5]Table 2A-2 EFT (Monthly)apr'!T56+'[5]Table 2A-2 EFT (Monthly)'!AW56+'[5]Table 2A-2 EFT (Monthly) mar'!AW56)*-1</f>
        <v>0</v>
      </c>
      <c r="AJ57" s="1741">
        <f>('[5]Table 2A-2 EFT (Monthly)'!U56+'[5]Table 2A-2 EFT (Monthly)Aug'!U56+'[5]Table 2A-2 EFT (Monthly) sep'!U56+'[5]Table 2A-2 EFT (Monthly)oct'!U56+'[5]Table 2A-2 EFT (Monthly)oct'!U56+'[5]Table 2A-2 EFT (Monthly)dec'!U56+'[5]Table 2A-2 EFT (Monthly)jan'!U56+'[5]Table 2A-2 EFT (Monthly)feb'!U56+'[5]Table 2A-2 EFT (Monthly) mar'!U56+'[5]Table 2A-2 EFT (Monthly)apr'!U56+'[5]Table 2A-2 EFT (Monthly)'!AX56+'[5]Table 2A-2 EFT (Monthly) mar'!AX56)*-1</f>
        <v>0</v>
      </c>
      <c r="AK57" s="1741">
        <f>('[5]Table 2A-2 EFT (Monthly)'!V56+'[5]Table 2A-2 EFT (Monthly)Aug'!V56+'[5]Table 2A-2 EFT (Monthly) sep'!V56+'[5]Table 2A-2 EFT (Monthly)oct'!V56+'[5]Table 2A-2 EFT (Monthly)oct'!V56+'[5]Table 2A-2 EFT (Monthly)dec'!V56+'[5]Table 2A-2 EFT (Monthly)jan'!V56+'[5]Table 2A-2 EFT (Monthly)feb'!V56+'[5]Table 2A-2 EFT (Monthly) mar'!V56+'[5]Table 2A-2 EFT (Monthly)apr'!V56+'[5]Table 2A-2 EFT (Monthly)'!AY56+'[5]Table 2A-2 EFT (Monthly) mar'!AY56)*-1</f>
        <v>0</v>
      </c>
      <c r="AL57" s="1741">
        <f>('[5]Table 2A-2 EFT (Monthly)'!W56+'[5]Table 2A-2 EFT (Monthly)Aug'!W56+'[5]Table 2A-2 EFT (Monthly) sep'!W56+'[5]Table 2A-2 EFT (Monthly)oct'!W56+'[5]Table 2A-2 EFT (Monthly)oct'!W56+'[5]Table 2A-2 EFT (Monthly)dec'!W56+'[5]Table 2A-2 EFT (Monthly)jan'!W56+'[5]Table 2A-2 EFT (Monthly)feb'!W56+'[5]Table 2A-2 EFT (Monthly) mar'!W56+'[5]Table 2A-2 EFT (Monthly)apr'!W56+'[5]Table 2A-2 EFT (Monthly)'!AZ56+'[5]Table 2A-2 EFT (Monthly) mar'!AZ56)*-1</f>
        <v>6682.2650000000003</v>
      </c>
      <c r="AM57" s="1741">
        <f>('[5]Table 2A-2 EFT (Monthly)'!X56+'[5]Table 2A-2 EFT (Monthly)Aug'!X56+'[5]Table 2A-2 EFT (Monthly) sep'!X56+'[5]Table 2A-2 EFT (Monthly)oct'!X56+'[5]Table 2A-2 EFT (Monthly)oct'!X56+'[5]Table 2A-2 EFT (Monthly)dec'!X56+'[5]Table 2A-2 EFT (Monthly)jan'!X56+'[5]Table 2A-2 EFT (Monthly)feb'!X56+'[5]Table 2A-2 EFT (Monthly) mar'!X56+'[5]Table 2A-2 EFT (Monthly)apr'!X56+'[5]Table 2A-2 EFT (Monthly)'!BA56+'[5]Table 2A-2 EFT (Monthly) mar'!BA56)*-1</f>
        <v>0</v>
      </c>
      <c r="AN57" s="1741">
        <f>('[5]Table 2A-2 EFT (Monthly) sep'!AD56+'[5]Table 2A-2 EFT (Monthly)dec'!AD56+'[5]Table 2A-2 EFT (Monthly)feb'!AD56)*-1</f>
        <v>9261.731543845548</v>
      </c>
      <c r="AO57" s="1741">
        <f t="shared" si="30"/>
        <v>1010920.8190438455</v>
      </c>
      <c r="AP57" s="560">
        <f t="shared" si="31"/>
        <v>8148219.8690438429</v>
      </c>
      <c r="AQ57" s="309">
        <f t="shared" si="32"/>
        <v>4074110</v>
      </c>
      <c r="AR57" s="309">
        <f>'Table 4A Stipends'!G54</f>
        <v>0</v>
      </c>
      <c r="AS57" s="309">
        <f t="shared" si="34"/>
        <v>45559507</v>
      </c>
      <c r="AU57" s="1339">
        <f>('Table 8 2.1.12 MFP Funded'!G54*'Table 3 Levels 1&amp;2'!AP58)+'Table 2_State with Midyear Adjs'!F57</f>
        <v>45503280.142543413</v>
      </c>
      <c r="AV57" s="753">
        <f t="shared" si="35"/>
        <v>56226.857456587255</v>
      </c>
      <c r="AW57" s="280">
        <f t="shared" si="36"/>
        <v>1.2356660284808304E-3</v>
      </c>
    </row>
    <row r="58" spans="1:49">
      <c r="A58" s="101">
        <v>52</v>
      </c>
      <c r="B58" s="299" t="s">
        <v>152</v>
      </c>
      <c r="C58" s="309">
        <f>'Table 3 Levels 1&amp;2'!AO59</f>
        <v>204294049.38911361</v>
      </c>
      <c r="D58" s="354">
        <f>'[2]Adjusted Amounts'!$C58</f>
        <v>51171.031159319959</v>
      </c>
      <c r="E58" s="354">
        <f>'[2]Adjusted Amounts'!$H58</f>
        <v>-3059.9353329750302</v>
      </c>
      <c r="F58" s="354">
        <f t="shared" si="22"/>
        <v>48111.095826344928</v>
      </c>
      <c r="G58" s="309">
        <f t="shared" si="19"/>
        <v>48111.095826344928</v>
      </c>
      <c r="H58" s="354">
        <f t="shared" si="23"/>
        <v>0</v>
      </c>
      <c r="I58" s="354">
        <f>'[1]Midyear Adjustment Summary'!C56+'[1]Oct midyear Madison Prep'!K58+'[1]Oct midyear DArbonne'!K58+'[1]Oct midyear Intl_VIBE '!K58+'[1]Oct midyear NOMMA'!K58+'[1]Oct midyear LFNO'!K58+'[1]Oct midyear Lake Charles Chtr'!K58+'[1]Oct midyear LA Virtual Admy'!K55+'[1]Oct midyear LA Connections'!K55</f>
        <v>3849930.6306956802</v>
      </c>
      <c r="J58" s="354">
        <f>'[1]Midyear Adjustment Summary'!D56+'[1]Feb midyear Madison Prep'!K58+'[1]Feb midyear DArbonne'!K58+'[1]Feb midyear Intl_VIBE '!K58+'[1]Feb midyear NOMMA'!K58+'[1]Feb midyear LFNO '!K58+'[1]Feb midyear Lake Charles Ch'!K58+'[1]Feb midyear LA Virtual Admy'!K55+'[1]Feb midyear LA Connections'!K55</f>
        <v>-365074.80548305932</v>
      </c>
      <c r="K58" s="354">
        <f t="shared" si="24"/>
        <v>3484855.8252126207</v>
      </c>
      <c r="L58" s="354"/>
      <c r="M58" s="49">
        <f>-'Table 5C1A-Madison Prep'!L58</f>
        <v>0</v>
      </c>
      <c r="N58" s="354">
        <f>-'Table 5C1B-DArbonne'!L58</f>
        <v>0</v>
      </c>
      <c r="O58" s="354">
        <f>-'Table 5C1C-Intl_VIBE'!L58</f>
        <v>-16785.048527956751</v>
      </c>
      <c r="P58" s="354">
        <f>-'Table 5C1D-NOMMA'!L58</f>
        <v>-2797.5080879927918</v>
      </c>
      <c r="Q58" s="354">
        <f>-'Table 5C1E-LFNO'!L58</f>
        <v>-5595.0161759855837</v>
      </c>
      <c r="R58" s="354">
        <f>-'Table 5C1F-Lake Charles Charter'!L58</f>
        <v>0</v>
      </c>
      <c r="S58" s="314">
        <f>-'Table 5C2 - LA Virtual Admy'!M56-'Table 5C2 - LA Virtual Admy'!I56</f>
        <v>-432362.17334447411</v>
      </c>
      <c r="T58" s="314">
        <f>-'Table 5C3 - LA Connections EBR'!M56-'Table 5C3 - LA Connections EBR'!I56</f>
        <v>-596707.79787445394</v>
      </c>
      <c r="U58" s="1692">
        <f t="shared" si="25"/>
        <v>-1054247.5440108632</v>
      </c>
      <c r="V58" s="560">
        <f t="shared" si="26"/>
        <v>206772769</v>
      </c>
      <c r="W58" s="560">
        <f>[3]MFP!DT59</f>
        <v>170685318</v>
      </c>
      <c r="X58" s="560">
        <f t="shared" si="27"/>
        <v>0</v>
      </c>
      <c r="Y58" s="560">
        <f>'[4]Table 4B Rewards'!G55</f>
        <v>228253.9500000001</v>
      </c>
      <c r="Z58" s="560">
        <f t="shared" si="28"/>
        <v>170913571.94999999</v>
      </c>
      <c r="AA58" s="1737">
        <f t="shared" si="29"/>
        <v>35859197.050000012</v>
      </c>
      <c r="AB58" s="1741">
        <f>('[5]Table 2A-2 EFT (Monthly)'!Z57+'[5]Table 2A-2 EFT (Monthly)Aug'!Z57+'[5]Table 2A-2 EFT (Monthly) sep'!Z57+'[5]Table 2A-2 EFT (Monthly)oct'!Z57+'[5]Table 2A-2 EFT (Monthly)oct'!Z57+'[5]Table 2A-2 EFT (Monthly)dec'!Z57+'[5]Table 2A-2 EFT (Monthly)jan'!Z57+'[5]Table 2A-2 EFT (Monthly)feb'!Z57+'[5]Table 2A-2 EFT (Monthly) mar'!Z57+'[5]Table 2A-2 EFT (Monthly)apr'!Z57)*-1</f>
        <v>28476</v>
      </c>
      <c r="AC58" s="1741">
        <f>('[5]Table 2A-2 EFT (Monthly)'!AA57+'[5]Table 2A-2 EFT (Monthly)Aug'!AA57+'[5]Table 2A-2 EFT (Monthly) sep'!AA57+'[5]Table 2A-2 EFT (Monthly)oct'!AA57+'[5]Table 2A-2 EFT (Monthly)oct'!AA57+'[5]Table 2A-2 EFT (Monthly)dec'!AA57+'[5]Table 2A-2 EFT (Monthly)jan'!AA57+'[5]Table 2A-2 EFT (Monthly)feb'!AA57+'[5]Table 2A-2 EFT (Monthly) mar'!AA57+'[5]Table 2A-2 EFT (Monthly)apr'!AA57)*-1</f>
        <v>14176</v>
      </c>
      <c r="AD58" s="1741">
        <f>('[5]Table 2A-2 EFT (Monthly)'!AB57+'[5]Table 2A-2 EFT (Monthly)Aug'!AB57+'[5]Table 2A-2 EFT (Monthly) sep'!AB57+'[5]Table 2A-2 EFT (Monthly)oct'!AB57+'[5]Table 2A-2 EFT (Monthly)oct'!AB57+'[5]Table 2A-2 EFT (Monthly)dec'!AB57+'[5]Table 2A-2 EFT (Monthly)jan'!AB57+'[5]Table 2A-2 EFT (Monthly)feb'!AB57+'[5]Table 2A-2 EFT (Monthly) mar'!AB57+'[5]Table 2A-2 EFT (Monthly)apr'!AB57)*-1</f>
        <v>21980</v>
      </c>
      <c r="AE58" s="1741">
        <f>('[5]Table 2A-2 EFT (Monthly)'!AC57+'[5]Table 2A-2 EFT (Monthly)Aug'!AC57+'[5]Table 2A-2 EFT (Monthly) sep'!AC57+'[5]Table 2A-2 EFT (Monthly)oct'!AC57+'[5]Table 2A-2 EFT (Monthly)oct'!AC57+'[5]Table 2A-2 EFT (Monthly)dec'!AC57+'[5]Table 2A-2 EFT (Monthly)jan'!AC57+'[5]Table 2A-2 EFT (Monthly)feb'!AC57+'[5]Table 2A-2 EFT (Monthly) mar'!AC57+'[5]Table 2A-2 EFT (Monthly)apr'!AC57)*-1</f>
        <v>38914</v>
      </c>
      <c r="AF58" s="1741">
        <f>('[5]Table 2A-2 EFT (Monthly)'!Q57+'[5]Table 2A-2 EFT (Monthly)Aug'!Q57+'[5]Table 2A-2 EFT (Monthly) sep'!Q57+'[5]Table 2A-2 EFT (Monthly)oct'!Q57+'[5]Table 2A-2 EFT (Monthly)oct'!Q57+'[5]Table 2A-2 EFT (Monthly)dec'!Q57+'[5]Table 2A-2 EFT (Monthly)jan'!Q57+'[5]Table 2A-2 EFT (Monthly)feb'!Q57+'[5]Table 2A-2 EFT (Monthly) mar'!Q57+'[5]Table 2A-2 EFT (Monthly)apr'!Q57+'[5]Table 2A-2 EFT (Monthly)'!AT57+'[5]Table 2A-2 EFT (Monthly) mar'!AT57)*-1</f>
        <v>0</v>
      </c>
      <c r="AG58" s="1741">
        <f>('[5]Table 2A-2 EFT (Monthly)'!R57+'[5]Table 2A-2 EFT (Monthly)Aug'!R57+'[5]Table 2A-2 EFT (Monthly) sep'!R57+'[5]Table 2A-2 EFT (Monthly)oct'!R57+'[5]Table 2A-2 EFT (Monthly)oct'!R57+'[5]Table 2A-2 EFT (Monthly)dec'!R57+'[5]Table 2A-2 EFT (Monthly)jan'!R57+'[5]Table 2A-2 EFT (Monthly)feb'!R57+'[5]Table 2A-2 EFT (Monthly) mar'!R57+'[5]Table 2A-2 EFT (Monthly)apr'!R57+'[5]Table 2A-2 EFT (Monthly)'!AU57+'[5]Table 2A-2 EFT (Monthly) mar'!AU57)*-1</f>
        <v>0</v>
      </c>
      <c r="AH58" s="1741">
        <f>('[5]Table 2A-2 EFT (Monthly)'!S57+'[5]Table 2A-2 EFT (Monthly)Aug'!S57+'[5]Table 2A-2 EFT (Monthly) sep'!S57+'[5]Table 2A-2 EFT (Monthly)oct'!S57+'[5]Table 2A-2 EFT (Monthly)oct'!S57+'[5]Table 2A-2 EFT (Monthly)dec'!S57+'[5]Table 2A-2 EFT (Monthly)jan'!S57+'[5]Table 2A-2 EFT (Monthly)feb'!S57+'[5]Table 2A-2 EFT (Monthly) mar'!S57+'[5]Table 2A-2 EFT (Monthly)apr'!S57+'[5]Table 2A-2 EFT (Monthly)'!AV57+'[5]Table 2A-2 EFT (Monthly) mar'!AV57)*-1</f>
        <v>39797.230000000003</v>
      </c>
      <c r="AI58" s="1741">
        <f>('[5]Table 2A-2 EFT (Monthly)'!T57+'[5]Table 2A-2 EFT (Monthly)Aug'!T57+'[5]Table 2A-2 EFT (Monthly) sep'!T57+'[5]Table 2A-2 EFT (Monthly)oct'!T57+'[5]Table 2A-2 EFT (Monthly)oct'!T57+'[5]Table 2A-2 EFT (Monthly)dec'!T57+'[5]Table 2A-2 EFT (Monthly)jan'!T57+'[5]Table 2A-2 EFT (Monthly)feb'!T57+'[5]Table 2A-2 EFT (Monthly) mar'!T57+'[5]Table 2A-2 EFT (Monthly)apr'!T57+'[5]Table 2A-2 EFT (Monthly)'!AW57+'[5]Table 2A-2 EFT (Monthly) mar'!AW57)*-1</f>
        <v>0</v>
      </c>
      <c r="AJ58" s="1741">
        <f>('[5]Table 2A-2 EFT (Monthly)'!U57+'[5]Table 2A-2 EFT (Monthly)Aug'!U57+'[5]Table 2A-2 EFT (Monthly) sep'!U57+'[5]Table 2A-2 EFT (Monthly)oct'!U57+'[5]Table 2A-2 EFT (Monthly)oct'!U57+'[5]Table 2A-2 EFT (Monthly)dec'!U57+'[5]Table 2A-2 EFT (Monthly)jan'!U57+'[5]Table 2A-2 EFT (Monthly)feb'!U57+'[5]Table 2A-2 EFT (Monthly) mar'!U57+'[5]Table 2A-2 EFT (Monthly)apr'!U57+'[5]Table 2A-2 EFT (Monthly)'!AX57+'[5]Table 2A-2 EFT (Monthly) mar'!AX57)*-1</f>
        <v>0</v>
      </c>
      <c r="AK58" s="1741">
        <f>('[5]Table 2A-2 EFT (Monthly)'!V57+'[5]Table 2A-2 EFT (Monthly)Aug'!V57+'[5]Table 2A-2 EFT (Monthly) sep'!V57+'[5]Table 2A-2 EFT (Monthly)oct'!V57+'[5]Table 2A-2 EFT (Monthly)oct'!V57+'[5]Table 2A-2 EFT (Monthly)dec'!V57+'[5]Table 2A-2 EFT (Monthly)jan'!V57+'[5]Table 2A-2 EFT (Monthly)feb'!V57+'[5]Table 2A-2 EFT (Monthly) mar'!V57+'[5]Table 2A-2 EFT (Monthly)apr'!V57+'[5]Table 2A-2 EFT (Monthly)'!AY57+'[5]Table 2A-2 EFT (Monthly) mar'!AY57)*-1</f>
        <v>0</v>
      </c>
      <c r="AL58" s="1741">
        <f>('[5]Table 2A-2 EFT (Monthly)'!W57+'[5]Table 2A-2 EFT (Monthly)Aug'!W57+'[5]Table 2A-2 EFT (Monthly) sep'!W57+'[5]Table 2A-2 EFT (Monthly)oct'!W57+'[5]Table 2A-2 EFT (Monthly)oct'!W57+'[5]Table 2A-2 EFT (Monthly)dec'!W57+'[5]Table 2A-2 EFT (Monthly)jan'!W57+'[5]Table 2A-2 EFT (Monthly)feb'!W57+'[5]Table 2A-2 EFT (Monthly) mar'!W57+'[5]Table 2A-2 EFT (Monthly)apr'!W57+'[5]Table 2A-2 EFT (Monthly)'!AZ57+'[5]Table 2A-2 EFT (Monthly) mar'!AZ57)*-1</f>
        <v>0</v>
      </c>
      <c r="AM58" s="1741">
        <f>('[5]Table 2A-2 EFT (Monthly)'!X57+'[5]Table 2A-2 EFT (Monthly)Aug'!X57+'[5]Table 2A-2 EFT (Monthly) sep'!X57+'[5]Table 2A-2 EFT (Monthly)oct'!X57+'[5]Table 2A-2 EFT (Monthly)oct'!X57+'[5]Table 2A-2 EFT (Monthly)dec'!X57+'[5]Table 2A-2 EFT (Monthly)jan'!X57+'[5]Table 2A-2 EFT (Monthly)feb'!X57+'[5]Table 2A-2 EFT (Monthly) mar'!X57+'[5]Table 2A-2 EFT (Monthly)apr'!X57+'[5]Table 2A-2 EFT (Monthly)'!BA57+'[5]Table 2A-2 EFT (Monthly) mar'!BA57)*-1</f>
        <v>18402.645</v>
      </c>
      <c r="AN58" s="1741">
        <f>('[5]Table 2A-2 EFT (Monthly) sep'!AD57+'[5]Table 2A-2 EFT (Monthly)dec'!AD57+'[5]Table 2A-2 EFT (Monthly)feb'!AD57)*-1</f>
        <v>108999.11390628238</v>
      </c>
      <c r="AO58" s="1741">
        <f t="shared" si="30"/>
        <v>270744.98890628235</v>
      </c>
      <c r="AP58" s="560">
        <f t="shared" si="31"/>
        <v>36129942.038906291</v>
      </c>
      <c r="AQ58" s="309">
        <f t="shared" si="32"/>
        <v>18064971</v>
      </c>
      <c r="AR58" s="309">
        <f>'Table 4A Stipends'!G55</f>
        <v>0</v>
      </c>
      <c r="AS58" s="309">
        <f t="shared" si="34"/>
        <v>206772769</v>
      </c>
      <c r="AU58" s="1339">
        <f>('Table 8 2.1.12 MFP Funded'!G55*'Table 3 Levels 1&amp;2'!AP59)+'Table 2_State with Midyear Adjs'!F58</f>
        <v>203654000.32952818</v>
      </c>
      <c r="AV58" s="753">
        <f t="shared" si="35"/>
        <v>3118768.6704718173</v>
      </c>
      <c r="AW58" s="280">
        <f t="shared" si="36"/>
        <v>1.5314055532547381E-2</v>
      </c>
    </row>
    <row r="59" spans="1:49">
      <c r="A59" s="101">
        <v>53</v>
      </c>
      <c r="B59" s="299" t="s">
        <v>153</v>
      </c>
      <c r="C59" s="309">
        <f>'Table 3 Levels 1&amp;2'!AO60</f>
        <v>104349901.685928</v>
      </c>
      <c r="D59" s="354">
        <f>'[2]Adjusted Amounts'!$C59</f>
        <v>2751.4011531443684</v>
      </c>
      <c r="E59" s="354">
        <f>'[2]Adjusted Amounts'!$H59</f>
        <v>-20435.600130191226</v>
      </c>
      <c r="F59" s="354">
        <f t="shared" si="22"/>
        <v>-17684.198977046857</v>
      </c>
      <c r="G59" s="309">
        <f t="shared" si="19"/>
        <v>0</v>
      </c>
      <c r="H59" s="354">
        <f t="shared" si="23"/>
        <v>-17684.198977046857</v>
      </c>
      <c r="I59" s="354">
        <f>'[1]Midyear Adjustment Summary'!C57+'[1]Oct midyear Madison Prep'!K59+'[1]Oct midyear DArbonne'!K59+'[1]Oct midyear Intl_VIBE '!K59+'[1]Oct midyear NOMMA'!K59+'[1]Oct midyear LFNO'!K59+'[1]Oct midyear Lake Charles Chtr'!K59+'[1]Oct midyear LA Virtual Admy'!K56+'[1]Oct midyear LA Connections'!K56</f>
        <v>1369770.1571240549</v>
      </c>
      <c r="J59" s="354">
        <f>'[1]Midyear Adjustment Summary'!D57+'[1]Feb midyear Madison Prep'!K59+'[1]Feb midyear DArbonne'!K59+'[1]Feb midyear Intl_VIBE '!K59+'[1]Feb midyear NOMMA'!K59+'[1]Feb midyear LFNO '!K59+'[1]Feb midyear Lake Charles Ch'!K59+'[1]Feb midyear LA Virtual Admy'!K56+'[1]Feb midyear LA Connections'!K56</f>
        <v>-317325.51134978101</v>
      </c>
      <c r="K59" s="354">
        <f t="shared" si="24"/>
        <v>1052444.6457742739</v>
      </c>
      <c r="L59" s="354"/>
      <c r="M59" s="354">
        <f>-'Table 5C1A-Madison Prep'!L59</f>
        <v>0</v>
      </c>
      <c r="N59" s="354">
        <f>-'Table 5C1B-DArbonne'!L59</f>
        <v>0</v>
      </c>
      <c r="O59" s="354">
        <f>-'Table 5C1C-Intl_VIBE'!L59</f>
        <v>0</v>
      </c>
      <c r="P59" s="354">
        <f>-'Table 5C1D-NOMMA'!L59</f>
        <v>0</v>
      </c>
      <c r="Q59" s="354">
        <f>-'Table 5C1E-LFNO'!L59</f>
        <v>0</v>
      </c>
      <c r="R59" s="354">
        <f>-'Table 5C1F-Lake Charles Charter'!L59</f>
        <v>0</v>
      </c>
      <c r="S59" s="314">
        <f>-'Table 5C2 - LA Virtual Admy'!M57-'Table 5C2 - LA Virtual Admy'!I57</f>
        <v>-297199.70709979243</v>
      </c>
      <c r="T59" s="314">
        <f>-'Table 5C3 - LA Connections EBR'!M57-'Table 5C3 - LA Connections EBR'!I57</f>
        <v>-198320.78329986212</v>
      </c>
      <c r="U59" s="1692">
        <f t="shared" si="25"/>
        <v>-495520.49039965455</v>
      </c>
      <c r="V59" s="560">
        <f t="shared" si="26"/>
        <v>104889142</v>
      </c>
      <c r="W59" s="560">
        <f>[3]MFP!DT60</f>
        <v>86753621</v>
      </c>
      <c r="X59" s="560">
        <f t="shared" si="27"/>
        <v>8000</v>
      </c>
      <c r="Y59" s="560">
        <f>'[4]Table 4B Rewards'!G56</f>
        <v>16907.7</v>
      </c>
      <c r="Z59" s="560">
        <f t="shared" si="28"/>
        <v>86778528.700000003</v>
      </c>
      <c r="AA59" s="1737">
        <f t="shared" si="29"/>
        <v>18110613.299999997</v>
      </c>
      <c r="AB59" s="1741">
        <f>('[5]Table 2A-2 EFT (Monthly)'!Z58+'[5]Table 2A-2 EFT (Monthly)Aug'!Z58+'[5]Table 2A-2 EFT (Monthly) sep'!Z58+'[5]Table 2A-2 EFT (Monthly)oct'!Z58+'[5]Table 2A-2 EFT (Monthly)oct'!Z58+'[5]Table 2A-2 EFT (Monthly)dec'!Z58+'[5]Table 2A-2 EFT (Monthly)jan'!Z58+'[5]Table 2A-2 EFT (Monthly)feb'!Z58+'[5]Table 2A-2 EFT (Monthly) mar'!Z58+'[5]Table 2A-2 EFT (Monthly)apr'!Z58)*-1</f>
        <v>7752</v>
      </c>
      <c r="AC59" s="1741">
        <f>('[5]Table 2A-2 EFT (Monthly)'!AA58+'[5]Table 2A-2 EFT (Monthly)Aug'!AA58+'[5]Table 2A-2 EFT (Monthly) sep'!AA58+'[5]Table 2A-2 EFT (Monthly)oct'!AA58+'[5]Table 2A-2 EFT (Monthly)oct'!AA58+'[5]Table 2A-2 EFT (Monthly)dec'!AA58+'[5]Table 2A-2 EFT (Monthly)jan'!AA58+'[5]Table 2A-2 EFT (Monthly)feb'!AA58+'[5]Table 2A-2 EFT (Monthly) mar'!AA58+'[5]Table 2A-2 EFT (Monthly)apr'!AA58)*-1</f>
        <v>548</v>
      </c>
      <c r="AD59" s="1741">
        <f>('[5]Table 2A-2 EFT (Monthly)'!AB58+'[5]Table 2A-2 EFT (Monthly)Aug'!AB58+'[5]Table 2A-2 EFT (Monthly) sep'!AB58+'[5]Table 2A-2 EFT (Monthly)oct'!AB58+'[5]Table 2A-2 EFT (Monthly)oct'!AB58+'[5]Table 2A-2 EFT (Monthly)dec'!AB58+'[5]Table 2A-2 EFT (Monthly)jan'!AB58+'[5]Table 2A-2 EFT (Monthly)feb'!AB58+'[5]Table 2A-2 EFT (Monthly) mar'!AB58+'[5]Table 2A-2 EFT (Monthly)apr'!AB58)*-1</f>
        <v>9322</v>
      </c>
      <c r="AE59" s="1741">
        <f>('[5]Table 2A-2 EFT (Monthly)'!AC58+'[5]Table 2A-2 EFT (Monthly)Aug'!AC58+'[5]Table 2A-2 EFT (Monthly) sep'!AC58+'[5]Table 2A-2 EFT (Monthly)oct'!AC58+'[5]Table 2A-2 EFT (Monthly)oct'!AC58+'[5]Table 2A-2 EFT (Monthly)dec'!AC58+'[5]Table 2A-2 EFT (Monthly)jan'!AC58+'[5]Table 2A-2 EFT (Monthly)feb'!AC58+'[5]Table 2A-2 EFT (Monthly) mar'!AC58+'[5]Table 2A-2 EFT (Monthly)apr'!AC58)*-1</f>
        <v>11250</v>
      </c>
      <c r="AF59" s="1741">
        <f>('[5]Table 2A-2 EFT (Monthly)'!Q58+'[5]Table 2A-2 EFT (Monthly)Aug'!Q58+'[5]Table 2A-2 EFT (Monthly) sep'!Q58+'[5]Table 2A-2 EFT (Monthly)oct'!Q58+'[5]Table 2A-2 EFT (Monthly)oct'!Q58+'[5]Table 2A-2 EFT (Monthly)dec'!Q58+'[5]Table 2A-2 EFT (Monthly)jan'!Q58+'[5]Table 2A-2 EFT (Monthly)feb'!Q58+'[5]Table 2A-2 EFT (Monthly) mar'!Q58+'[5]Table 2A-2 EFT (Monthly)apr'!Q58+'[5]Table 2A-2 EFT (Monthly)'!AT58+'[5]Table 2A-2 EFT (Monthly) mar'!AT58)*-1</f>
        <v>0</v>
      </c>
      <c r="AG59" s="1741">
        <f>('[5]Table 2A-2 EFT (Monthly)'!R58+'[5]Table 2A-2 EFT (Monthly)Aug'!R58+'[5]Table 2A-2 EFT (Monthly) sep'!R58+'[5]Table 2A-2 EFT (Monthly)oct'!R58+'[5]Table 2A-2 EFT (Monthly)oct'!R58+'[5]Table 2A-2 EFT (Monthly)dec'!R58+'[5]Table 2A-2 EFT (Monthly)jan'!R58+'[5]Table 2A-2 EFT (Monthly)feb'!R58+'[5]Table 2A-2 EFT (Monthly) mar'!R58+'[5]Table 2A-2 EFT (Monthly)apr'!R58+'[5]Table 2A-2 EFT (Monthly)'!AU58+'[5]Table 2A-2 EFT (Monthly) mar'!AU58)*-1</f>
        <v>0</v>
      </c>
      <c r="AH59" s="1741">
        <f>('[5]Table 2A-2 EFT (Monthly)'!S58+'[5]Table 2A-2 EFT (Monthly)Aug'!S58+'[5]Table 2A-2 EFT (Monthly) sep'!S58+'[5]Table 2A-2 EFT (Monthly)oct'!S58+'[5]Table 2A-2 EFT (Monthly)oct'!S58+'[5]Table 2A-2 EFT (Monthly)dec'!S58+'[5]Table 2A-2 EFT (Monthly)jan'!S58+'[5]Table 2A-2 EFT (Monthly)feb'!S58+'[5]Table 2A-2 EFT (Monthly) mar'!S58+'[5]Table 2A-2 EFT (Monthly)apr'!S58+'[5]Table 2A-2 EFT (Monthly)'!AV58+'[5]Table 2A-2 EFT (Monthly) mar'!AV58)*-1</f>
        <v>0</v>
      </c>
      <c r="AI59" s="1741">
        <f>('[5]Table 2A-2 EFT (Monthly)'!T58+'[5]Table 2A-2 EFT (Monthly)Aug'!T58+'[5]Table 2A-2 EFT (Monthly) sep'!T58+'[5]Table 2A-2 EFT (Monthly)oct'!T58+'[5]Table 2A-2 EFT (Monthly)oct'!T58+'[5]Table 2A-2 EFT (Monthly)dec'!T58+'[5]Table 2A-2 EFT (Monthly)jan'!T58+'[5]Table 2A-2 EFT (Monthly)feb'!T58+'[5]Table 2A-2 EFT (Monthly) mar'!T58+'[5]Table 2A-2 EFT (Monthly)apr'!T58+'[5]Table 2A-2 EFT (Monthly)'!AW58+'[5]Table 2A-2 EFT (Monthly) mar'!AW58)*-1</f>
        <v>0</v>
      </c>
      <c r="AJ59" s="1741">
        <f>('[5]Table 2A-2 EFT (Monthly)'!U58+'[5]Table 2A-2 EFT (Monthly)Aug'!U58+'[5]Table 2A-2 EFT (Monthly) sep'!U58+'[5]Table 2A-2 EFT (Monthly)oct'!U58+'[5]Table 2A-2 EFT (Monthly)oct'!U58+'[5]Table 2A-2 EFT (Monthly)dec'!U58+'[5]Table 2A-2 EFT (Monthly)jan'!U58+'[5]Table 2A-2 EFT (Monthly)feb'!U58+'[5]Table 2A-2 EFT (Monthly) mar'!U58+'[5]Table 2A-2 EFT (Monthly)apr'!U58+'[5]Table 2A-2 EFT (Monthly)'!AX58+'[5]Table 2A-2 EFT (Monthly) mar'!AX58)*-1</f>
        <v>0</v>
      </c>
      <c r="AK59" s="1741">
        <f>('[5]Table 2A-2 EFT (Monthly)'!V58+'[5]Table 2A-2 EFT (Monthly)Aug'!V58+'[5]Table 2A-2 EFT (Monthly) sep'!V58+'[5]Table 2A-2 EFT (Monthly)oct'!V58+'[5]Table 2A-2 EFT (Monthly)oct'!V58+'[5]Table 2A-2 EFT (Monthly)dec'!V58+'[5]Table 2A-2 EFT (Monthly)jan'!V58+'[5]Table 2A-2 EFT (Monthly)feb'!V58+'[5]Table 2A-2 EFT (Monthly) mar'!V58+'[5]Table 2A-2 EFT (Monthly)apr'!V58+'[5]Table 2A-2 EFT (Monthly)'!AY58+'[5]Table 2A-2 EFT (Monthly) mar'!AY58)*-1</f>
        <v>0</v>
      </c>
      <c r="AL59" s="1741">
        <f>('[5]Table 2A-2 EFT (Monthly)'!W58+'[5]Table 2A-2 EFT (Monthly)Aug'!W58+'[5]Table 2A-2 EFT (Monthly) sep'!W58+'[5]Table 2A-2 EFT (Monthly)oct'!W58+'[5]Table 2A-2 EFT (Monthly)oct'!W58+'[5]Table 2A-2 EFT (Monthly)dec'!W58+'[5]Table 2A-2 EFT (Monthly)jan'!W58+'[5]Table 2A-2 EFT (Monthly)feb'!W58+'[5]Table 2A-2 EFT (Monthly) mar'!W58+'[5]Table 2A-2 EFT (Monthly)apr'!W58+'[5]Table 2A-2 EFT (Monthly)'!AZ58+'[5]Table 2A-2 EFT (Monthly) mar'!AZ58)*-1</f>
        <v>0</v>
      </c>
      <c r="AM59" s="1741">
        <f>('[5]Table 2A-2 EFT (Monthly)'!X58+'[5]Table 2A-2 EFT (Monthly)Aug'!X58+'[5]Table 2A-2 EFT (Monthly) sep'!X58+'[5]Table 2A-2 EFT (Monthly)oct'!X58+'[5]Table 2A-2 EFT (Monthly)oct'!X58+'[5]Table 2A-2 EFT (Monthly)dec'!X58+'[5]Table 2A-2 EFT (Monthly)jan'!X58+'[5]Table 2A-2 EFT (Monthly)feb'!X58+'[5]Table 2A-2 EFT (Monthly) mar'!X58+'[5]Table 2A-2 EFT (Monthly)apr'!X58+'[5]Table 2A-2 EFT (Monthly)'!BA58+'[5]Table 2A-2 EFT (Monthly) mar'!BA58)*-1</f>
        <v>636</v>
      </c>
      <c r="AN59" s="1741">
        <f>('[5]Table 2A-2 EFT (Monthly) sep'!AD58+'[5]Table 2A-2 EFT (Monthly)dec'!AD58+'[5]Table 2A-2 EFT (Monthly)feb'!AD58)*-1</f>
        <v>50102.743996273064</v>
      </c>
      <c r="AO59" s="1741">
        <f t="shared" si="30"/>
        <v>79610.743996273057</v>
      </c>
      <c r="AP59" s="560">
        <f t="shared" si="31"/>
        <v>18190224.043996271</v>
      </c>
      <c r="AQ59" s="309">
        <f t="shared" si="32"/>
        <v>9095112</v>
      </c>
      <c r="AR59" s="309">
        <f>'Table 4A Stipends'!G56</f>
        <v>8000</v>
      </c>
      <c r="AS59" s="309">
        <f t="shared" si="34"/>
        <v>104897142</v>
      </c>
      <c r="AU59" s="1339">
        <f>('Table 8 2.1.12 MFP Funded'!G56*'Table 3 Levels 1&amp;2'!AP60)+'Table 2_State with Midyear Adjs'!F59</f>
        <v>103920483.34204119</v>
      </c>
      <c r="AV59" s="753">
        <f t="shared" si="35"/>
        <v>968658.65795880556</v>
      </c>
      <c r="AW59" s="280">
        <f t="shared" si="36"/>
        <v>9.3211523542532752E-3</v>
      </c>
    </row>
    <row r="60" spans="1:49">
      <c r="A60" s="101">
        <v>54</v>
      </c>
      <c r="B60" s="299" t="s">
        <v>154</v>
      </c>
      <c r="C60" s="309">
        <f>'Table 3 Levels 1&amp;2'!AO61</f>
        <v>4866405.2198999999</v>
      </c>
      <c r="D60" s="354">
        <f>'[2]Adjusted Amounts'!$C60</f>
        <v>16419.523124590396</v>
      </c>
      <c r="E60" s="354">
        <f>'[2]Adjusted Amounts'!$H60</f>
        <v>-22169.459923411196</v>
      </c>
      <c r="F60" s="354">
        <f t="shared" si="22"/>
        <v>-5749.9367988207996</v>
      </c>
      <c r="G60" s="309">
        <f t="shared" si="19"/>
        <v>0</v>
      </c>
      <c r="H60" s="354">
        <f t="shared" si="23"/>
        <v>-5749.9367988207996</v>
      </c>
      <c r="I60" s="354">
        <f>'[1]Midyear Adjustment Summary'!C58+'[1]Oct midyear Madison Prep'!K60+'[1]Oct midyear DArbonne'!K60+'[1]Oct midyear Intl_VIBE '!K60+'[1]Oct midyear NOMMA'!K60+'[1]Oct midyear LFNO'!K60+'[1]Oct midyear Lake Charles Chtr'!K60+'[1]Oct midyear LA Virtual Admy'!K57+'[1]Oct midyear LA Connections'!K57</f>
        <v>-106522.04764158798</v>
      </c>
      <c r="J60" s="354">
        <f>'[1]Midyear Adjustment Summary'!D58+'[1]Feb midyear Madison Prep'!K60+'[1]Feb midyear DArbonne'!K60+'[1]Feb midyear Intl_VIBE '!K60+'[1]Feb midyear NOMMA'!K60+'[1]Feb midyear LFNO '!K60+'[1]Feb midyear Lake Charles Ch'!K60+'[1]Feb midyear LA Virtual Admy'!K57+'[1]Feb midyear LA Connections'!K57</f>
        <v>-6962.2253360515024</v>
      </c>
      <c r="K60" s="354">
        <f t="shared" si="24"/>
        <v>-113484.27297763948</v>
      </c>
      <c r="L60" s="354"/>
      <c r="M60" s="354">
        <f>-'Table 5C1A-Madison Prep'!L60</f>
        <v>0</v>
      </c>
      <c r="N60" s="354">
        <f>-'Table 5C1B-DArbonne'!L60</f>
        <v>0</v>
      </c>
      <c r="O60" s="354">
        <f>-'Table 5C1C-Intl_VIBE'!L60</f>
        <v>0</v>
      </c>
      <c r="P60" s="354">
        <f>-'Table 5C1D-NOMMA'!L60</f>
        <v>0</v>
      </c>
      <c r="Q60" s="354">
        <f>-'Table 5C1E-LFNO'!L60</f>
        <v>0</v>
      </c>
      <c r="R60" s="354">
        <f>-'Table 5C1F-Lake Charles Charter'!L60</f>
        <v>0</v>
      </c>
      <c r="S60" s="314">
        <f>-'Table 5C2 - LA Virtual Admy'!M58-'Table 5C2 - LA Virtual Admy'!I58</f>
        <v>0</v>
      </c>
      <c r="T60" s="314">
        <f>-'Table 5C3 - LA Connections EBR'!M58-'Table 5C3 - LA Connections EBR'!I58</f>
        <v>-32532.169079442061</v>
      </c>
      <c r="U60" s="1692">
        <f t="shared" si="25"/>
        <v>-32532.169079442061</v>
      </c>
      <c r="V60" s="560">
        <f t="shared" si="26"/>
        <v>4714639</v>
      </c>
      <c r="W60" s="560">
        <f>[3]MFP!DT61</f>
        <v>3956678</v>
      </c>
      <c r="X60" s="560">
        <f t="shared" si="27"/>
        <v>0</v>
      </c>
      <c r="Y60" s="560">
        <f>'[4]Table 4B Rewards'!G57</f>
        <v>0</v>
      </c>
      <c r="Z60" s="560">
        <f t="shared" si="28"/>
        <v>3956678</v>
      </c>
      <c r="AA60" s="1737">
        <f t="shared" si="29"/>
        <v>757961</v>
      </c>
      <c r="AB60" s="1741">
        <f>('[5]Table 2A-2 EFT (Monthly)'!Z59+'[5]Table 2A-2 EFT (Monthly)Aug'!Z59+'[5]Table 2A-2 EFT (Monthly) sep'!Z59+'[5]Table 2A-2 EFT (Monthly)oct'!Z59+'[5]Table 2A-2 EFT (Monthly)oct'!Z59+'[5]Table 2A-2 EFT (Monthly)dec'!Z59+'[5]Table 2A-2 EFT (Monthly)jan'!Z59+'[5]Table 2A-2 EFT (Monthly)feb'!Z59+'[5]Table 2A-2 EFT (Monthly) mar'!Z59+'[5]Table 2A-2 EFT (Monthly)apr'!Z59)*-1</f>
        <v>0</v>
      </c>
      <c r="AC60" s="1741">
        <f>('[5]Table 2A-2 EFT (Monthly)'!AA59+'[5]Table 2A-2 EFT (Monthly)Aug'!AA59+'[5]Table 2A-2 EFT (Monthly) sep'!AA59+'[5]Table 2A-2 EFT (Monthly)oct'!AA59+'[5]Table 2A-2 EFT (Monthly)oct'!AA59+'[5]Table 2A-2 EFT (Monthly)dec'!AA59+'[5]Table 2A-2 EFT (Monthly)jan'!AA59+'[5]Table 2A-2 EFT (Monthly)feb'!AA59+'[5]Table 2A-2 EFT (Monthly) mar'!AA59+'[5]Table 2A-2 EFT (Monthly)apr'!AA59)*-1</f>
        <v>0</v>
      </c>
      <c r="AD60" s="1741">
        <f>('[5]Table 2A-2 EFT (Monthly)'!AB59+'[5]Table 2A-2 EFT (Monthly)Aug'!AB59+'[5]Table 2A-2 EFT (Monthly) sep'!AB59+'[5]Table 2A-2 EFT (Monthly)oct'!AB59+'[5]Table 2A-2 EFT (Monthly)oct'!AB59+'[5]Table 2A-2 EFT (Monthly)dec'!AB59+'[5]Table 2A-2 EFT (Monthly)jan'!AB59+'[5]Table 2A-2 EFT (Monthly)feb'!AB59+'[5]Table 2A-2 EFT (Monthly) mar'!AB59+'[5]Table 2A-2 EFT (Monthly)apr'!AB59)*-1</f>
        <v>0</v>
      </c>
      <c r="AE60" s="1741">
        <f>('[5]Table 2A-2 EFT (Monthly)'!AC59+'[5]Table 2A-2 EFT (Monthly)Aug'!AC59+'[5]Table 2A-2 EFT (Monthly) sep'!AC59+'[5]Table 2A-2 EFT (Monthly)oct'!AC59+'[5]Table 2A-2 EFT (Monthly)oct'!AC59+'[5]Table 2A-2 EFT (Monthly)dec'!AC59+'[5]Table 2A-2 EFT (Monthly)jan'!AC59+'[5]Table 2A-2 EFT (Monthly)feb'!AC59+'[5]Table 2A-2 EFT (Monthly) mar'!AC59+'[5]Table 2A-2 EFT (Monthly)apr'!AC59)*-1</f>
        <v>0</v>
      </c>
      <c r="AF60" s="1741">
        <f>('[5]Table 2A-2 EFT (Monthly)'!Q59+'[5]Table 2A-2 EFT (Monthly)Aug'!Q59+'[5]Table 2A-2 EFT (Monthly) sep'!Q59+'[5]Table 2A-2 EFT (Monthly)oct'!Q59+'[5]Table 2A-2 EFT (Monthly)oct'!Q59+'[5]Table 2A-2 EFT (Monthly)dec'!Q59+'[5]Table 2A-2 EFT (Monthly)jan'!Q59+'[5]Table 2A-2 EFT (Monthly)feb'!Q59+'[5]Table 2A-2 EFT (Monthly) mar'!Q59+'[5]Table 2A-2 EFT (Monthly)apr'!Q59+'[5]Table 2A-2 EFT (Monthly)'!AT59+'[5]Table 2A-2 EFT (Monthly) mar'!AT59)*-1</f>
        <v>0</v>
      </c>
      <c r="AG60" s="1741">
        <f>('[5]Table 2A-2 EFT (Monthly)'!R59+'[5]Table 2A-2 EFT (Monthly)Aug'!R59+'[5]Table 2A-2 EFT (Monthly) sep'!R59+'[5]Table 2A-2 EFT (Monthly)oct'!R59+'[5]Table 2A-2 EFT (Monthly)oct'!R59+'[5]Table 2A-2 EFT (Monthly)dec'!R59+'[5]Table 2A-2 EFT (Monthly)jan'!R59+'[5]Table 2A-2 EFT (Monthly)feb'!R59+'[5]Table 2A-2 EFT (Monthly) mar'!R59+'[5]Table 2A-2 EFT (Monthly)apr'!R59+'[5]Table 2A-2 EFT (Monthly)'!AU59+'[5]Table 2A-2 EFT (Monthly) mar'!AU59)*-1</f>
        <v>0</v>
      </c>
      <c r="AH60" s="1741">
        <f>('[5]Table 2A-2 EFT (Monthly)'!S59+'[5]Table 2A-2 EFT (Monthly)Aug'!S59+'[5]Table 2A-2 EFT (Monthly) sep'!S59+'[5]Table 2A-2 EFT (Monthly)oct'!S59+'[5]Table 2A-2 EFT (Monthly)oct'!S59+'[5]Table 2A-2 EFT (Monthly)dec'!S59+'[5]Table 2A-2 EFT (Monthly)jan'!S59+'[5]Table 2A-2 EFT (Monthly)feb'!S59+'[5]Table 2A-2 EFT (Monthly) mar'!S59+'[5]Table 2A-2 EFT (Monthly)apr'!S59+'[5]Table 2A-2 EFT (Monthly)'!AV59+'[5]Table 2A-2 EFT (Monthly) mar'!AV59)*-1</f>
        <v>0</v>
      </c>
      <c r="AI60" s="1741">
        <f>('[5]Table 2A-2 EFT (Monthly)'!T59+'[5]Table 2A-2 EFT (Monthly)Aug'!T59+'[5]Table 2A-2 EFT (Monthly) sep'!T59+'[5]Table 2A-2 EFT (Monthly)oct'!T59+'[5]Table 2A-2 EFT (Monthly)oct'!T59+'[5]Table 2A-2 EFT (Monthly)dec'!T59+'[5]Table 2A-2 EFT (Monthly)jan'!T59+'[5]Table 2A-2 EFT (Monthly)feb'!T59+'[5]Table 2A-2 EFT (Monthly) mar'!T59+'[5]Table 2A-2 EFT (Monthly)apr'!T59+'[5]Table 2A-2 EFT (Monthly)'!AW59+'[5]Table 2A-2 EFT (Monthly) mar'!AW59)*-1</f>
        <v>0</v>
      </c>
      <c r="AJ60" s="1741">
        <f>('[5]Table 2A-2 EFT (Monthly)'!U59+'[5]Table 2A-2 EFT (Monthly)Aug'!U59+'[5]Table 2A-2 EFT (Monthly) sep'!U59+'[5]Table 2A-2 EFT (Monthly)oct'!U59+'[5]Table 2A-2 EFT (Monthly)oct'!U59+'[5]Table 2A-2 EFT (Monthly)dec'!U59+'[5]Table 2A-2 EFT (Monthly)jan'!U59+'[5]Table 2A-2 EFT (Monthly)feb'!U59+'[5]Table 2A-2 EFT (Monthly) mar'!U59+'[5]Table 2A-2 EFT (Monthly)apr'!U59+'[5]Table 2A-2 EFT (Monthly)'!AX59+'[5]Table 2A-2 EFT (Monthly) mar'!AX59)*-1</f>
        <v>7257.3649999999998</v>
      </c>
      <c r="AK60" s="1741">
        <f>('[5]Table 2A-2 EFT (Monthly)'!V59+'[5]Table 2A-2 EFT (Monthly)Aug'!V59+'[5]Table 2A-2 EFT (Monthly) sep'!V59+'[5]Table 2A-2 EFT (Monthly)oct'!V59+'[5]Table 2A-2 EFT (Monthly)oct'!V59+'[5]Table 2A-2 EFT (Monthly)dec'!V59+'[5]Table 2A-2 EFT (Monthly)jan'!V59+'[5]Table 2A-2 EFT (Monthly)feb'!V59+'[5]Table 2A-2 EFT (Monthly) mar'!V59+'[5]Table 2A-2 EFT (Monthly)apr'!V59+'[5]Table 2A-2 EFT (Monthly)'!AY59+'[5]Table 2A-2 EFT (Monthly) mar'!AY59)*-1</f>
        <v>0</v>
      </c>
      <c r="AL60" s="1741">
        <f>('[5]Table 2A-2 EFT (Monthly)'!W59+'[5]Table 2A-2 EFT (Monthly)Aug'!W59+'[5]Table 2A-2 EFT (Monthly) sep'!W59+'[5]Table 2A-2 EFT (Monthly)oct'!W59+'[5]Table 2A-2 EFT (Monthly)oct'!W59+'[5]Table 2A-2 EFT (Monthly)dec'!W59+'[5]Table 2A-2 EFT (Monthly)jan'!W59+'[5]Table 2A-2 EFT (Monthly)feb'!W59+'[5]Table 2A-2 EFT (Monthly) mar'!W59+'[5]Table 2A-2 EFT (Monthly)apr'!W59+'[5]Table 2A-2 EFT (Monthly)'!AZ59+'[5]Table 2A-2 EFT (Monthly) mar'!AZ59)*-1</f>
        <v>0</v>
      </c>
      <c r="AM60" s="1741">
        <f>('[5]Table 2A-2 EFT (Monthly)'!X59+'[5]Table 2A-2 EFT (Monthly)Aug'!X59+'[5]Table 2A-2 EFT (Monthly) sep'!X59+'[5]Table 2A-2 EFT (Monthly)oct'!X59+'[5]Table 2A-2 EFT (Monthly)oct'!X59+'[5]Table 2A-2 EFT (Monthly)dec'!X59+'[5]Table 2A-2 EFT (Monthly)jan'!X59+'[5]Table 2A-2 EFT (Monthly)feb'!X59+'[5]Table 2A-2 EFT (Monthly) mar'!X59+'[5]Table 2A-2 EFT (Monthly)apr'!X59+'[5]Table 2A-2 EFT (Monthly)'!BA59+'[5]Table 2A-2 EFT (Monthly) mar'!BA59)*-1</f>
        <v>0</v>
      </c>
      <c r="AN60" s="1741">
        <f>('[5]Table 2A-2 EFT (Monthly) sep'!AD59+'[5]Table 2A-2 EFT (Monthly)dec'!AD59+'[5]Table 2A-2 EFT (Monthly)feb'!AD59)*-1</f>
        <v>0</v>
      </c>
      <c r="AO60" s="1741">
        <f t="shared" si="30"/>
        <v>7257.3649999999998</v>
      </c>
      <c r="AP60" s="560">
        <f t="shared" si="31"/>
        <v>765218.36499999999</v>
      </c>
      <c r="AQ60" s="309">
        <f t="shared" si="32"/>
        <v>382609</v>
      </c>
      <c r="AR60" s="309">
        <f>'Table 4A Stipends'!G57</f>
        <v>0</v>
      </c>
      <c r="AS60" s="309">
        <f t="shared" si="34"/>
        <v>4714639</v>
      </c>
      <c r="AU60" s="1339">
        <f>('Table 8 2.1.12 MFP Funded'!G57*'Table 3 Levels 1&amp;2'!AP61)+'Table 2_State with Midyear Adjs'!F60</f>
        <v>4846731.3768925946</v>
      </c>
      <c r="AV60" s="753">
        <f t="shared" si="35"/>
        <v>-132092.37689259462</v>
      </c>
      <c r="AW60" s="280">
        <f t="shared" si="36"/>
        <v>-2.7253909206184139E-2</v>
      </c>
    </row>
    <row r="61" spans="1:49">
      <c r="A61" s="102">
        <v>55</v>
      </c>
      <c r="B61" s="300" t="s">
        <v>155</v>
      </c>
      <c r="C61" s="318">
        <f>'Table 3 Levels 1&amp;2'!AO62</f>
        <v>86643564.274800003</v>
      </c>
      <c r="D61" s="355">
        <f>'[2]Adjusted Amounts'!$C61</f>
        <v>14398.240720168455</v>
      </c>
      <c r="E61" s="355">
        <f>'[2]Adjusted Amounts'!$H61</f>
        <v>-608.5327960288414</v>
      </c>
      <c r="F61" s="355">
        <f t="shared" si="22"/>
        <v>13789.707924139613</v>
      </c>
      <c r="G61" s="318">
        <f t="shared" si="19"/>
        <v>13789.707924139613</v>
      </c>
      <c r="H61" s="355">
        <f t="shared" si="23"/>
        <v>0</v>
      </c>
      <c r="I61" s="355">
        <f>'[1]Midyear Adjustment Summary'!C59+'[1]Oct midyear Madison Prep'!K61+'[1]Oct midyear DArbonne'!K61+'[1]Oct midyear Intl_VIBE '!K61+'[1]Oct midyear NOMMA'!K61+'[1]Oct midyear LFNO'!K61+'[1]Oct midyear Lake Charles Chtr'!K61+'[1]Oct midyear LA Virtual Admy'!K58+'[1]Oct midyear LA Connections'!K58</f>
        <v>684374.28830270597</v>
      </c>
      <c r="J61" s="355">
        <f>'[1]Midyear Adjustment Summary'!D59+'[1]Feb midyear Madison Prep'!K61+'[1]Feb midyear DArbonne'!K61+'[1]Feb midyear Intl_VIBE '!K61+'[1]Feb midyear NOMMA'!K61+'[1]Feb midyear LFNO '!K61+'[1]Feb midyear Lake Charles Ch'!K61+'[1]Feb midyear LA Virtual Admy'!K58+'[1]Feb midyear LA Connections'!K58</f>
        <v>-178564.37228800025</v>
      </c>
      <c r="K61" s="355">
        <f t="shared" si="24"/>
        <v>505809.91601470573</v>
      </c>
      <c r="L61" s="355"/>
      <c r="M61" s="355">
        <f>-'Table 5C1A-Madison Prep'!L61</f>
        <v>0</v>
      </c>
      <c r="N61" s="355">
        <f>-'Table 5C1B-DArbonne'!L61</f>
        <v>0</v>
      </c>
      <c r="O61" s="355">
        <f>-'Table 5C1C-Intl_VIBE'!L61</f>
        <v>0</v>
      </c>
      <c r="P61" s="355">
        <f>-'Table 5C1D-NOMMA'!L61</f>
        <v>0</v>
      </c>
      <c r="Q61" s="355">
        <f>-'Table 5C1E-LFNO'!L61</f>
        <v>0</v>
      </c>
      <c r="R61" s="355">
        <f>-'Table 5C1F-Lake Charles Charter'!L61</f>
        <v>0</v>
      </c>
      <c r="S61" s="321">
        <f>-'Table 5C2 - LA Virtual Admy'!M59-'Table 5C2 - LA Virtual Admy'!I59</f>
        <v>-107257.29408840617</v>
      </c>
      <c r="T61" s="321">
        <f>-'Table 5C3 - LA Connections EBR'!M59-'Table 5C3 - LA Connections EBR'!I59</f>
        <v>-130991.27912926216</v>
      </c>
      <c r="U61" s="321">
        <f t="shared" si="25"/>
        <v>-238248.57321766834</v>
      </c>
      <c r="V61" s="561">
        <f t="shared" si="26"/>
        <v>86924915</v>
      </c>
      <c r="W61" s="561">
        <f>[3]MFP!DT62</f>
        <v>72010604</v>
      </c>
      <c r="X61" s="561">
        <f t="shared" si="27"/>
        <v>0</v>
      </c>
      <c r="Y61" s="561">
        <f>'[4]Table 4B Rewards'!G58</f>
        <v>84538.500000000015</v>
      </c>
      <c r="Z61" s="561">
        <f t="shared" si="28"/>
        <v>72095142.5</v>
      </c>
      <c r="AA61" s="561">
        <f t="shared" si="29"/>
        <v>14829772.5</v>
      </c>
      <c r="AB61" s="1742">
        <f>('[5]Table 2A-2 EFT (Monthly)'!Z60+'[5]Table 2A-2 EFT (Monthly)Aug'!Z60+'[5]Table 2A-2 EFT (Monthly) sep'!Z60+'[5]Table 2A-2 EFT (Monthly)oct'!Z60+'[5]Table 2A-2 EFT (Monthly)oct'!Z60+'[5]Table 2A-2 EFT (Monthly)dec'!Z60+'[5]Table 2A-2 EFT (Monthly)jan'!Z60+'[5]Table 2A-2 EFT (Monthly)feb'!Z60+'[5]Table 2A-2 EFT (Monthly) mar'!Z60+'[5]Table 2A-2 EFT (Monthly)apr'!Z60)*-1</f>
        <v>15802</v>
      </c>
      <c r="AC61" s="1742">
        <f>('[5]Table 2A-2 EFT (Monthly)'!AA60+'[5]Table 2A-2 EFT (Monthly)Aug'!AA60+'[5]Table 2A-2 EFT (Monthly) sep'!AA60+'[5]Table 2A-2 EFT (Monthly)oct'!AA60+'[5]Table 2A-2 EFT (Monthly)oct'!AA60+'[5]Table 2A-2 EFT (Monthly)dec'!AA60+'[5]Table 2A-2 EFT (Monthly)jan'!AA60+'[5]Table 2A-2 EFT (Monthly)feb'!AA60+'[5]Table 2A-2 EFT (Monthly) mar'!AA60+'[5]Table 2A-2 EFT (Monthly)apr'!AA60)*-1</f>
        <v>870</v>
      </c>
      <c r="AD61" s="1742">
        <f>('[5]Table 2A-2 EFT (Monthly)'!AB60+'[5]Table 2A-2 EFT (Monthly)Aug'!AB60+'[5]Table 2A-2 EFT (Monthly) sep'!AB60+'[5]Table 2A-2 EFT (Monthly)oct'!AB60+'[5]Table 2A-2 EFT (Monthly)oct'!AB60+'[5]Table 2A-2 EFT (Monthly)dec'!AB60+'[5]Table 2A-2 EFT (Monthly)jan'!AB60+'[5]Table 2A-2 EFT (Monthly)feb'!AB60+'[5]Table 2A-2 EFT (Monthly) mar'!AB60+'[5]Table 2A-2 EFT (Monthly)apr'!AB60)*-1</f>
        <v>12386</v>
      </c>
      <c r="AE61" s="1742">
        <f>('[5]Table 2A-2 EFT (Monthly)'!AC60+'[5]Table 2A-2 EFT (Monthly)Aug'!AC60+'[5]Table 2A-2 EFT (Monthly) sep'!AC60+'[5]Table 2A-2 EFT (Monthly)oct'!AC60+'[5]Table 2A-2 EFT (Monthly)oct'!AC60+'[5]Table 2A-2 EFT (Monthly)dec'!AC60+'[5]Table 2A-2 EFT (Monthly)jan'!AC60+'[5]Table 2A-2 EFT (Monthly)feb'!AC60+'[5]Table 2A-2 EFT (Monthly) mar'!AC60+'[5]Table 2A-2 EFT (Monthly)apr'!AC60)*-1</f>
        <v>14664</v>
      </c>
      <c r="AF61" s="1742">
        <f>('[5]Table 2A-2 EFT (Monthly)'!Q60+'[5]Table 2A-2 EFT (Monthly)Aug'!Q60+'[5]Table 2A-2 EFT (Monthly) sep'!Q60+'[5]Table 2A-2 EFT (Monthly)oct'!Q60+'[5]Table 2A-2 EFT (Monthly)oct'!Q60+'[5]Table 2A-2 EFT (Monthly)dec'!Q60+'[5]Table 2A-2 EFT (Monthly)jan'!Q60+'[5]Table 2A-2 EFT (Monthly)feb'!Q60+'[5]Table 2A-2 EFT (Monthly) mar'!Q60+'[5]Table 2A-2 EFT (Monthly)apr'!Q60+'[5]Table 2A-2 EFT (Monthly)'!AT60+'[5]Table 2A-2 EFT (Monthly) mar'!AT60)*-1</f>
        <v>0</v>
      </c>
      <c r="AG61" s="1742">
        <f>('[5]Table 2A-2 EFT (Monthly)'!R60+'[5]Table 2A-2 EFT (Monthly)Aug'!R60+'[5]Table 2A-2 EFT (Monthly) sep'!R60+'[5]Table 2A-2 EFT (Monthly)oct'!R60+'[5]Table 2A-2 EFT (Monthly)oct'!R60+'[5]Table 2A-2 EFT (Monthly)dec'!R60+'[5]Table 2A-2 EFT (Monthly)jan'!R60+'[5]Table 2A-2 EFT (Monthly)feb'!R60+'[5]Table 2A-2 EFT (Monthly) mar'!R60+'[5]Table 2A-2 EFT (Monthly)apr'!R60+'[5]Table 2A-2 EFT (Monthly)'!AU60+'[5]Table 2A-2 EFT (Monthly) mar'!AU60)*-1</f>
        <v>0</v>
      </c>
      <c r="AH61" s="1742">
        <f>('[5]Table 2A-2 EFT (Monthly)'!S60+'[5]Table 2A-2 EFT (Monthly)Aug'!S60+'[5]Table 2A-2 EFT (Monthly) sep'!S60+'[5]Table 2A-2 EFT (Monthly)oct'!S60+'[5]Table 2A-2 EFT (Monthly)oct'!S60+'[5]Table 2A-2 EFT (Monthly)dec'!S60+'[5]Table 2A-2 EFT (Monthly)jan'!S60+'[5]Table 2A-2 EFT (Monthly)feb'!S60+'[5]Table 2A-2 EFT (Monthly) mar'!S60+'[5]Table 2A-2 EFT (Monthly)apr'!S60+'[5]Table 2A-2 EFT (Monthly)'!AV60+'[5]Table 2A-2 EFT (Monthly) mar'!AV60)*-1</f>
        <v>0</v>
      </c>
      <c r="AI61" s="1742">
        <f>('[5]Table 2A-2 EFT (Monthly)'!T60+'[5]Table 2A-2 EFT (Monthly)Aug'!T60+'[5]Table 2A-2 EFT (Monthly) sep'!T60+'[5]Table 2A-2 EFT (Monthly)oct'!T60+'[5]Table 2A-2 EFT (Monthly)oct'!T60+'[5]Table 2A-2 EFT (Monthly)dec'!T60+'[5]Table 2A-2 EFT (Monthly)jan'!T60+'[5]Table 2A-2 EFT (Monthly)feb'!T60+'[5]Table 2A-2 EFT (Monthly) mar'!T60+'[5]Table 2A-2 EFT (Monthly)apr'!T60+'[5]Table 2A-2 EFT (Monthly)'!AW60+'[5]Table 2A-2 EFT (Monthly) mar'!AW60)*-1</f>
        <v>0</v>
      </c>
      <c r="AJ61" s="1742">
        <f>('[5]Table 2A-2 EFT (Monthly)'!U60+'[5]Table 2A-2 EFT (Monthly)Aug'!U60+'[5]Table 2A-2 EFT (Monthly) sep'!U60+'[5]Table 2A-2 EFT (Monthly)oct'!U60+'[5]Table 2A-2 EFT (Monthly)oct'!U60+'[5]Table 2A-2 EFT (Monthly)dec'!U60+'[5]Table 2A-2 EFT (Monthly)jan'!U60+'[5]Table 2A-2 EFT (Monthly)feb'!U60+'[5]Table 2A-2 EFT (Monthly) mar'!U60+'[5]Table 2A-2 EFT (Monthly)apr'!U60+'[5]Table 2A-2 EFT (Monthly)'!AX60+'[5]Table 2A-2 EFT (Monthly) mar'!AX60)*-1</f>
        <v>0</v>
      </c>
      <c r="AK61" s="1742">
        <f>('[5]Table 2A-2 EFT (Monthly)'!V60+'[5]Table 2A-2 EFT (Monthly)Aug'!V60+'[5]Table 2A-2 EFT (Monthly) sep'!V60+'[5]Table 2A-2 EFT (Monthly)oct'!V60+'[5]Table 2A-2 EFT (Monthly)oct'!V60+'[5]Table 2A-2 EFT (Monthly)dec'!V60+'[5]Table 2A-2 EFT (Monthly)jan'!V60+'[5]Table 2A-2 EFT (Monthly)feb'!V60+'[5]Table 2A-2 EFT (Monthly) mar'!V60+'[5]Table 2A-2 EFT (Monthly)apr'!V60+'[5]Table 2A-2 EFT (Monthly)'!AY60+'[5]Table 2A-2 EFT (Monthly) mar'!AY60)*-1</f>
        <v>0</v>
      </c>
      <c r="AL61" s="1742">
        <f>('[5]Table 2A-2 EFT (Monthly)'!W60+'[5]Table 2A-2 EFT (Monthly)Aug'!W60+'[5]Table 2A-2 EFT (Monthly) sep'!W60+'[5]Table 2A-2 EFT (Monthly)oct'!W60+'[5]Table 2A-2 EFT (Monthly)oct'!W60+'[5]Table 2A-2 EFT (Monthly)dec'!W60+'[5]Table 2A-2 EFT (Monthly)jan'!W60+'[5]Table 2A-2 EFT (Monthly)feb'!W60+'[5]Table 2A-2 EFT (Monthly) mar'!W60+'[5]Table 2A-2 EFT (Monthly)apr'!W60+'[5]Table 2A-2 EFT (Monthly)'!AZ60+'[5]Table 2A-2 EFT (Monthly) mar'!AZ60)*-1</f>
        <v>110376.33500000001</v>
      </c>
      <c r="AM61" s="1742">
        <f>('[5]Table 2A-2 EFT (Monthly)'!X60+'[5]Table 2A-2 EFT (Monthly)Aug'!X60+'[5]Table 2A-2 EFT (Monthly) sep'!X60+'[5]Table 2A-2 EFT (Monthly)oct'!X60+'[5]Table 2A-2 EFT (Monthly)oct'!X60+'[5]Table 2A-2 EFT (Monthly)dec'!X60+'[5]Table 2A-2 EFT (Monthly)jan'!X60+'[5]Table 2A-2 EFT (Monthly)feb'!X60+'[5]Table 2A-2 EFT (Monthly) mar'!X60+'[5]Table 2A-2 EFT (Monthly)apr'!X60+'[5]Table 2A-2 EFT (Monthly)'!BA60+'[5]Table 2A-2 EFT (Monthly) mar'!BA60)*-1</f>
        <v>0</v>
      </c>
      <c r="AN61" s="1742">
        <f>('[5]Table 2A-2 EFT (Monthly) sep'!AD60+'[5]Table 2A-2 EFT (Monthly)dec'!AD60+'[5]Table 2A-2 EFT (Monthly)feb'!AD60)*-1</f>
        <v>28423.321201835719</v>
      </c>
      <c r="AO61" s="1742">
        <f t="shared" si="30"/>
        <v>182521.65620183575</v>
      </c>
      <c r="AP61" s="561">
        <f t="shared" si="31"/>
        <v>15012294.156201836</v>
      </c>
      <c r="AQ61" s="318">
        <f t="shared" si="32"/>
        <v>7506147</v>
      </c>
      <c r="AR61" s="318">
        <f>'Table 4A Stipends'!G58</f>
        <v>0</v>
      </c>
      <c r="AS61" s="318">
        <f t="shared" si="34"/>
        <v>86924915</v>
      </c>
      <c r="AU61" s="1339">
        <f>('Table 8 2.1.12 MFP Funded'!G58*'Table 3 Levels 1&amp;2'!AP62)+'Table 2_State with Midyear Adjs'!F61</f>
        <v>86471202.829761952</v>
      </c>
      <c r="AV61" s="753">
        <f t="shared" si="35"/>
        <v>453712.17023804784</v>
      </c>
      <c r="AW61" s="280">
        <f t="shared" si="36"/>
        <v>5.2469741993907788E-3</v>
      </c>
    </row>
    <row r="62" spans="1:49">
      <c r="A62" s="101">
        <v>56</v>
      </c>
      <c r="B62" s="299" t="s">
        <v>156</v>
      </c>
      <c r="C62" s="309">
        <f>'Table 3 Levels 1&amp;2'!AO63</f>
        <v>16121891.421847999</v>
      </c>
      <c r="D62" s="354">
        <f>'[2]Adjusted Amounts'!$C62</f>
        <v>-2932.953315095976</v>
      </c>
      <c r="E62" s="354">
        <f>'[2]Adjusted Amounts'!$H62</f>
        <v>-8497.5233734089088</v>
      </c>
      <c r="F62" s="354">
        <f t="shared" si="22"/>
        <v>-11430.476688504885</v>
      </c>
      <c r="G62" s="309">
        <f t="shared" si="19"/>
        <v>0</v>
      </c>
      <c r="H62" s="354">
        <f t="shared" si="23"/>
        <v>-11430.476688504885</v>
      </c>
      <c r="I62" s="354">
        <f>'[1]Midyear Adjustment Summary'!C60+'[1]Oct midyear Madison Prep'!K62+'[1]Oct midyear DArbonne'!K62+'[1]Oct midyear Intl_VIBE '!K62+'[1]Oct midyear NOMMA'!K62+'[1]Oct midyear LFNO'!K62+'[1]Oct midyear Lake Charles Chtr'!K62+'[1]Oct midyear LA Virtual Admy'!K59+'[1]Oct midyear LA Connections'!K59</f>
        <v>129183.44589599344</v>
      </c>
      <c r="J62" s="354">
        <f>'[1]Midyear Adjustment Summary'!D60+'[1]Feb midyear Madison Prep'!K62+'[1]Feb midyear DArbonne'!K62+'[1]Feb midyear Intl_VIBE '!K62+'[1]Feb midyear NOMMA'!K62+'[1]Feb midyear LFNO '!K62+'[1]Feb midyear Lake Charles Ch'!K62+'[1]Feb midyear LA Virtual Admy'!K59+'[1]Feb midyear LA Connections'!K59</f>
        <v>10812.711330501659</v>
      </c>
      <c r="K62" s="354">
        <f t="shared" si="24"/>
        <v>139996.1572264951</v>
      </c>
      <c r="L62" s="354"/>
      <c r="M62" s="49">
        <f>-'Table 5C1A-Madison Prep'!L62</f>
        <v>0</v>
      </c>
      <c r="N62" s="354">
        <f>-'Table 5C1B-DArbonne'!L62-'Table 5C1B-DArbonne'!L76</f>
        <v>-3024713.7221903331</v>
      </c>
      <c r="O62" s="354">
        <f>-'Table 5C1C-Intl_VIBE'!L62</f>
        <v>0</v>
      </c>
      <c r="P62" s="354">
        <f>-'Table 5C1D-NOMMA'!L62</f>
        <v>0</v>
      </c>
      <c r="Q62" s="354">
        <f>-'Table 5C1E-LFNO'!L62</f>
        <v>0</v>
      </c>
      <c r="R62" s="354">
        <f>-'Table 5C1F-Lake Charles Charter'!L62</f>
        <v>0</v>
      </c>
      <c r="S62" s="314">
        <f>-'Table 5C2 - LA Virtual Admy'!M60-'Table 5C2 - LA Virtual Admy'!I60</f>
        <v>-43004.981322006643</v>
      </c>
      <c r="T62" s="314">
        <f>-'Table 5C3 - LA Connections EBR'!M60-'Table 5C3 - LA Connections EBR'!I60</f>
        <v>-16888.304100792095</v>
      </c>
      <c r="U62" s="1692">
        <f t="shared" si="25"/>
        <v>-3084607.0076131318</v>
      </c>
      <c r="V62" s="560">
        <f t="shared" si="26"/>
        <v>13165850</v>
      </c>
      <c r="W62" s="560">
        <f>[3]MFP!DT63</f>
        <v>11200255</v>
      </c>
      <c r="X62" s="560">
        <f t="shared" si="27"/>
        <v>0</v>
      </c>
      <c r="Y62" s="560">
        <f>'[4]Table 4B Rewards'!G59</f>
        <v>16907.7</v>
      </c>
      <c r="Z62" s="560">
        <f t="shared" si="28"/>
        <v>11217162.699999999</v>
      </c>
      <c r="AA62" s="1737">
        <f t="shared" si="29"/>
        <v>1948687.3000000007</v>
      </c>
      <c r="AB62" s="1741">
        <f>('[5]Table 2A-2 EFT (Monthly)'!Z61+'[5]Table 2A-2 EFT (Monthly)Aug'!Z61+'[5]Table 2A-2 EFT (Monthly) sep'!Z61+'[5]Table 2A-2 EFT (Monthly)oct'!Z61+'[5]Table 2A-2 EFT (Monthly)oct'!Z61+'[5]Table 2A-2 EFT (Monthly)dec'!Z61+'[5]Table 2A-2 EFT (Monthly)jan'!Z61+'[5]Table 2A-2 EFT (Monthly)feb'!Z61+'[5]Table 2A-2 EFT (Monthly) mar'!Z61+'[5]Table 2A-2 EFT (Monthly)apr'!Z61)*-1</f>
        <v>4260</v>
      </c>
      <c r="AC62" s="1741">
        <f>('[5]Table 2A-2 EFT (Monthly)'!AA61+'[5]Table 2A-2 EFT (Monthly)Aug'!AA61+'[5]Table 2A-2 EFT (Monthly) sep'!AA61+'[5]Table 2A-2 EFT (Monthly)oct'!AA61+'[5]Table 2A-2 EFT (Monthly)oct'!AA61+'[5]Table 2A-2 EFT (Monthly)dec'!AA61+'[5]Table 2A-2 EFT (Monthly)jan'!AA61+'[5]Table 2A-2 EFT (Monthly)feb'!AA61+'[5]Table 2A-2 EFT (Monthly) mar'!AA61+'[5]Table 2A-2 EFT (Monthly)apr'!AA61)*-1</f>
        <v>0</v>
      </c>
      <c r="AD62" s="1741">
        <f>('[5]Table 2A-2 EFT (Monthly)'!AB61+'[5]Table 2A-2 EFT (Monthly)Aug'!AB61+'[5]Table 2A-2 EFT (Monthly) sep'!AB61+'[5]Table 2A-2 EFT (Monthly)oct'!AB61+'[5]Table 2A-2 EFT (Monthly)oct'!AB61+'[5]Table 2A-2 EFT (Monthly)dec'!AB61+'[5]Table 2A-2 EFT (Monthly)jan'!AB61+'[5]Table 2A-2 EFT (Monthly)feb'!AB61+'[5]Table 2A-2 EFT (Monthly) mar'!AB61+'[5]Table 2A-2 EFT (Monthly)apr'!AB61)*-1</f>
        <v>0</v>
      </c>
      <c r="AE62" s="1741">
        <f>('[5]Table 2A-2 EFT (Monthly)'!AC61+'[5]Table 2A-2 EFT (Monthly)Aug'!AC61+'[5]Table 2A-2 EFT (Monthly) sep'!AC61+'[5]Table 2A-2 EFT (Monthly)oct'!AC61+'[5]Table 2A-2 EFT (Monthly)oct'!AC61+'[5]Table 2A-2 EFT (Monthly)dec'!AC61+'[5]Table 2A-2 EFT (Monthly)jan'!AC61+'[5]Table 2A-2 EFT (Monthly)feb'!AC61+'[5]Table 2A-2 EFT (Monthly) mar'!AC61+'[5]Table 2A-2 EFT (Monthly)apr'!AC61)*-1</f>
        <v>754</v>
      </c>
      <c r="AF62" s="1741">
        <f>('[5]Table 2A-2 EFT (Monthly)'!Q61+'[5]Table 2A-2 EFT (Monthly)Aug'!Q61+'[5]Table 2A-2 EFT (Monthly) sep'!Q61+'[5]Table 2A-2 EFT (Monthly)oct'!Q61+'[5]Table 2A-2 EFT (Monthly)oct'!Q61+'[5]Table 2A-2 EFT (Monthly)dec'!Q61+'[5]Table 2A-2 EFT (Monthly)jan'!Q61+'[5]Table 2A-2 EFT (Monthly)feb'!Q61+'[5]Table 2A-2 EFT (Monthly) mar'!Q61+'[5]Table 2A-2 EFT (Monthly)apr'!Q61+'[5]Table 2A-2 EFT (Monthly)'!AT61+'[5]Table 2A-2 EFT (Monthly) mar'!AT61)*-1</f>
        <v>0</v>
      </c>
      <c r="AG62" s="1741">
        <f>('[5]Table 2A-2 EFT (Monthly)'!R61+'[5]Table 2A-2 EFT (Monthly)Aug'!R61+'[5]Table 2A-2 EFT (Monthly) sep'!R61+'[5]Table 2A-2 EFT (Monthly)oct'!R61+'[5]Table 2A-2 EFT (Monthly)oct'!R61+'[5]Table 2A-2 EFT (Monthly)dec'!R61+'[5]Table 2A-2 EFT (Monthly)jan'!R61+'[5]Table 2A-2 EFT (Monthly)feb'!R61+'[5]Table 2A-2 EFT (Monthly) mar'!R61+'[5]Table 2A-2 EFT (Monthly)apr'!R61+'[5]Table 2A-2 EFT (Monthly)'!AU61+'[5]Table 2A-2 EFT (Monthly) mar'!AU61)*-1</f>
        <v>0</v>
      </c>
      <c r="AH62" s="1741">
        <f>('[5]Table 2A-2 EFT (Monthly)'!S61+'[5]Table 2A-2 EFT (Monthly)Aug'!S61+'[5]Table 2A-2 EFT (Monthly) sep'!S61+'[5]Table 2A-2 EFT (Monthly)oct'!S61+'[5]Table 2A-2 EFT (Monthly)oct'!S61+'[5]Table 2A-2 EFT (Monthly)dec'!S61+'[5]Table 2A-2 EFT (Monthly)jan'!S61+'[5]Table 2A-2 EFT (Monthly)feb'!S61+'[5]Table 2A-2 EFT (Monthly) mar'!S61+'[5]Table 2A-2 EFT (Monthly)apr'!S61+'[5]Table 2A-2 EFT (Monthly)'!AV61+'[5]Table 2A-2 EFT (Monthly) mar'!AV61)*-1</f>
        <v>0</v>
      </c>
      <c r="AI62" s="1741">
        <f>('[5]Table 2A-2 EFT (Monthly)'!T61+'[5]Table 2A-2 EFT (Monthly)Aug'!T61+'[5]Table 2A-2 EFT (Monthly) sep'!T61+'[5]Table 2A-2 EFT (Monthly)oct'!T61+'[5]Table 2A-2 EFT (Monthly)oct'!T61+'[5]Table 2A-2 EFT (Monthly)dec'!T61+'[5]Table 2A-2 EFT (Monthly)jan'!T61+'[5]Table 2A-2 EFT (Monthly)feb'!T61+'[5]Table 2A-2 EFT (Monthly) mar'!T61+'[5]Table 2A-2 EFT (Monthly)apr'!T61+'[5]Table 2A-2 EFT (Monthly)'!AW61+'[5]Table 2A-2 EFT (Monthly) mar'!AW61)*-1</f>
        <v>0</v>
      </c>
      <c r="AJ62" s="1741">
        <f>('[5]Table 2A-2 EFT (Monthly)'!U61+'[5]Table 2A-2 EFT (Monthly)Aug'!U61+'[5]Table 2A-2 EFT (Monthly) sep'!U61+'[5]Table 2A-2 EFT (Monthly)oct'!U61+'[5]Table 2A-2 EFT (Monthly)oct'!U61+'[5]Table 2A-2 EFT (Monthly)dec'!U61+'[5]Table 2A-2 EFT (Monthly)jan'!U61+'[5]Table 2A-2 EFT (Monthly)feb'!U61+'[5]Table 2A-2 EFT (Monthly) mar'!U61+'[5]Table 2A-2 EFT (Monthly)apr'!U61+'[5]Table 2A-2 EFT (Monthly)'!AX61+'[5]Table 2A-2 EFT (Monthly) mar'!AX61)*-1</f>
        <v>0</v>
      </c>
      <c r="AK62" s="1741">
        <f>('[5]Table 2A-2 EFT (Monthly)'!V61+'[5]Table 2A-2 EFT (Monthly)Aug'!V61+'[5]Table 2A-2 EFT (Monthly) sep'!V61+'[5]Table 2A-2 EFT (Monthly)oct'!V61+'[5]Table 2A-2 EFT (Monthly)oct'!V61+'[5]Table 2A-2 EFT (Monthly)dec'!V61+'[5]Table 2A-2 EFT (Monthly)jan'!V61+'[5]Table 2A-2 EFT (Monthly)feb'!V61+'[5]Table 2A-2 EFT (Monthly) mar'!V61+'[5]Table 2A-2 EFT (Monthly)apr'!V61+'[5]Table 2A-2 EFT (Monthly)'!AY61+'[5]Table 2A-2 EFT (Monthly) mar'!AY61)*-1</f>
        <v>0</v>
      </c>
      <c r="AL62" s="1741">
        <f>('[5]Table 2A-2 EFT (Monthly)'!W61+'[5]Table 2A-2 EFT (Monthly)Aug'!W61+'[5]Table 2A-2 EFT (Monthly) sep'!W61+'[5]Table 2A-2 EFT (Monthly)oct'!W61+'[5]Table 2A-2 EFT (Monthly)oct'!W61+'[5]Table 2A-2 EFT (Monthly)dec'!W61+'[5]Table 2A-2 EFT (Monthly)jan'!W61+'[5]Table 2A-2 EFT (Monthly)feb'!W61+'[5]Table 2A-2 EFT (Monthly) mar'!W61+'[5]Table 2A-2 EFT (Monthly)apr'!W61+'[5]Table 2A-2 EFT (Monthly)'!AZ61+'[5]Table 2A-2 EFT (Monthly) mar'!AZ61)*-1</f>
        <v>0</v>
      </c>
      <c r="AM62" s="1741">
        <f>('[5]Table 2A-2 EFT (Monthly)'!X61+'[5]Table 2A-2 EFT (Monthly)Aug'!X61+'[5]Table 2A-2 EFT (Monthly) sep'!X61+'[5]Table 2A-2 EFT (Monthly)oct'!X61+'[5]Table 2A-2 EFT (Monthly)oct'!X61+'[5]Table 2A-2 EFT (Monthly)dec'!X61+'[5]Table 2A-2 EFT (Monthly)jan'!X61+'[5]Table 2A-2 EFT (Monthly)feb'!X61+'[5]Table 2A-2 EFT (Monthly) mar'!X61+'[5]Table 2A-2 EFT (Monthly)apr'!X61+'[5]Table 2A-2 EFT (Monthly)'!BA61+'[5]Table 2A-2 EFT (Monthly) mar'!BA61)*-1</f>
        <v>0</v>
      </c>
      <c r="AN62" s="1741">
        <f>('[5]Table 2A-2 EFT (Monthly) sep'!AD61+'[5]Table 2A-2 EFT (Monthly)dec'!AD61+'[5]Table 2A-2 EFT (Monthly)feb'!AD61)*-1</f>
        <v>21314.453749432709</v>
      </c>
      <c r="AO62" s="1741">
        <f t="shared" si="30"/>
        <v>26328.453749432709</v>
      </c>
      <c r="AP62" s="560">
        <f t="shared" si="31"/>
        <v>1975015.7537494334</v>
      </c>
      <c r="AQ62" s="309">
        <f t="shared" si="32"/>
        <v>987508</v>
      </c>
      <c r="AR62" s="309">
        <f>'Table 4A Stipends'!G59</f>
        <v>0</v>
      </c>
      <c r="AS62" s="309">
        <f t="shared" si="34"/>
        <v>13165850</v>
      </c>
      <c r="AU62" s="1339">
        <f>('Table 8 2.1.12 MFP Funded'!G59*'Table 3 Levels 1&amp;2'!AP63)+'Table 2_State with Midyear Adjs'!F62</f>
        <v>14061791.368080329</v>
      </c>
      <c r="AV62" s="753">
        <f t="shared" si="35"/>
        <v>-895941.36808032915</v>
      </c>
      <c r="AW62" s="280">
        <f t="shared" si="36"/>
        <v>-6.3714596855282468E-2</v>
      </c>
    </row>
    <row r="63" spans="1:49">
      <c r="A63" s="101">
        <v>57</v>
      </c>
      <c r="B63" s="299" t="s">
        <v>157</v>
      </c>
      <c r="C63" s="309">
        <f>'Table 3 Levels 1&amp;2'!AO64</f>
        <v>45883265.086000003</v>
      </c>
      <c r="D63" s="354">
        <f>'[2]Adjusted Amounts'!$C63</f>
        <v>-4708.5899474065081</v>
      </c>
      <c r="E63" s="354">
        <f>'[2]Adjusted Amounts'!$H63</f>
        <v>1554.3358524687792</v>
      </c>
      <c r="F63" s="354">
        <f t="shared" si="22"/>
        <v>-3154.254094937729</v>
      </c>
      <c r="G63" s="309">
        <f t="shared" si="19"/>
        <v>0</v>
      </c>
      <c r="H63" s="354">
        <f t="shared" si="23"/>
        <v>-3154.254094937729</v>
      </c>
      <c r="I63" s="354">
        <f>'[1]Midyear Adjustment Summary'!C61+'[1]Oct midyear Madison Prep'!K63+'[1]Oct midyear DArbonne'!K63+'[1]Oct midyear Intl_VIBE '!K63+'[1]Oct midyear NOMMA'!K63+'[1]Oct midyear LFNO'!K63+'[1]Oct midyear Lake Charles Chtr'!K63+'[1]Oct midyear LA Virtual Admy'!K60+'[1]Oct midyear LA Connections'!K60</f>
        <v>1246832.9778759726</v>
      </c>
      <c r="J63" s="354">
        <f>'[1]Midyear Adjustment Summary'!D61+'[1]Feb midyear Madison Prep'!K63+'[1]Feb midyear DArbonne'!K63+'[1]Feb midyear Intl_VIBE '!K63+'[1]Feb midyear NOMMA'!K63+'[1]Feb midyear LFNO '!K63+'[1]Feb midyear Lake Charles Ch'!K63+'[1]Feb midyear LA Virtual Admy'!K60+'[1]Feb midyear LA Connections'!K60</f>
        <v>-162967.79586345699</v>
      </c>
      <c r="K63" s="354">
        <f t="shared" si="24"/>
        <v>1083865.1820125156</v>
      </c>
      <c r="L63" s="354"/>
      <c r="M63" s="354">
        <f>-'Table 5C1A-Madison Prep'!L63</f>
        <v>0</v>
      </c>
      <c r="N63" s="354">
        <f>-'Table 5C1B-DArbonne'!L63</f>
        <v>0</v>
      </c>
      <c r="O63" s="354">
        <f>-'Table 5C1C-Intl_VIBE'!L63</f>
        <v>0</v>
      </c>
      <c r="P63" s="354">
        <f>-'Table 5C1D-NOMMA'!L63</f>
        <v>0</v>
      </c>
      <c r="Q63" s="354">
        <f>-'Table 5C1E-LFNO'!L63</f>
        <v>0</v>
      </c>
      <c r="R63" s="354">
        <f>-'Table 5C1F-Lake Charles Charter'!L63</f>
        <v>0</v>
      </c>
      <c r="S63" s="314">
        <f>-'Table 5C2 - LA Virtual Admy'!M61-'Table 5C2 - LA Virtual Admy'!I61</f>
        <v>-50530.391128515061</v>
      </c>
      <c r="T63" s="314">
        <f>-'Table 5C3 - LA Connections EBR'!M61-'Table 5C3 - LA Connections EBR'!I61</f>
        <v>-31023.686008478977</v>
      </c>
      <c r="U63" s="1692">
        <f t="shared" si="25"/>
        <v>-81554.077136994034</v>
      </c>
      <c r="V63" s="560">
        <f t="shared" si="26"/>
        <v>46882422</v>
      </c>
      <c r="W63" s="560">
        <f>[3]MFP!DT64</f>
        <v>38545362</v>
      </c>
      <c r="X63" s="560">
        <f t="shared" si="27"/>
        <v>0</v>
      </c>
      <c r="Y63" s="560">
        <f>'[4]Table 4B Rewards'!G60</f>
        <v>42269.25</v>
      </c>
      <c r="Z63" s="560">
        <f t="shared" si="28"/>
        <v>38587631.25</v>
      </c>
      <c r="AA63" s="1737">
        <f t="shared" si="29"/>
        <v>8294790.75</v>
      </c>
      <c r="AB63" s="1741">
        <f>('[5]Table 2A-2 EFT (Monthly)'!Z62+'[5]Table 2A-2 EFT (Monthly)Aug'!Z62+'[5]Table 2A-2 EFT (Monthly) sep'!Z62+'[5]Table 2A-2 EFT (Monthly)oct'!Z62+'[5]Table 2A-2 EFT (Monthly)oct'!Z62+'[5]Table 2A-2 EFT (Monthly)dec'!Z62+'[5]Table 2A-2 EFT (Monthly)jan'!Z62+'[5]Table 2A-2 EFT (Monthly)feb'!Z62+'[5]Table 2A-2 EFT (Monthly) mar'!Z62+'[5]Table 2A-2 EFT (Monthly)apr'!Z62)*-1</f>
        <v>5050</v>
      </c>
      <c r="AC63" s="1741">
        <f>('[5]Table 2A-2 EFT (Monthly)'!AA62+'[5]Table 2A-2 EFT (Monthly)Aug'!AA62+'[5]Table 2A-2 EFT (Monthly) sep'!AA62+'[5]Table 2A-2 EFT (Monthly)oct'!AA62+'[5]Table 2A-2 EFT (Monthly)oct'!AA62+'[5]Table 2A-2 EFT (Monthly)dec'!AA62+'[5]Table 2A-2 EFT (Monthly)jan'!AA62+'[5]Table 2A-2 EFT (Monthly)feb'!AA62+'[5]Table 2A-2 EFT (Monthly) mar'!AA62+'[5]Table 2A-2 EFT (Monthly)apr'!AA62)*-1</f>
        <v>0</v>
      </c>
      <c r="AD63" s="1741">
        <f>('[5]Table 2A-2 EFT (Monthly)'!AB62+'[5]Table 2A-2 EFT (Monthly)Aug'!AB62+'[5]Table 2A-2 EFT (Monthly) sep'!AB62+'[5]Table 2A-2 EFT (Monthly)oct'!AB62+'[5]Table 2A-2 EFT (Monthly)oct'!AB62+'[5]Table 2A-2 EFT (Monthly)dec'!AB62+'[5]Table 2A-2 EFT (Monthly)jan'!AB62+'[5]Table 2A-2 EFT (Monthly)feb'!AB62+'[5]Table 2A-2 EFT (Monthly) mar'!AB62+'[5]Table 2A-2 EFT (Monthly)apr'!AB62)*-1</f>
        <v>0</v>
      </c>
      <c r="AE63" s="1741">
        <f>('[5]Table 2A-2 EFT (Monthly)'!AC62+'[5]Table 2A-2 EFT (Monthly)Aug'!AC62+'[5]Table 2A-2 EFT (Monthly) sep'!AC62+'[5]Table 2A-2 EFT (Monthly)oct'!AC62+'[5]Table 2A-2 EFT (Monthly)oct'!AC62+'[5]Table 2A-2 EFT (Monthly)dec'!AC62+'[5]Table 2A-2 EFT (Monthly)jan'!AC62+'[5]Table 2A-2 EFT (Monthly)feb'!AC62+'[5]Table 2A-2 EFT (Monthly) mar'!AC62+'[5]Table 2A-2 EFT (Monthly)apr'!AC62)*-1</f>
        <v>6944</v>
      </c>
      <c r="AF63" s="1741">
        <f>('[5]Table 2A-2 EFT (Monthly)'!Q62+'[5]Table 2A-2 EFT (Monthly)Aug'!Q62+'[5]Table 2A-2 EFT (Monthly) sep'!Q62+'[5]Table 2A-2 EFT (Monthly)oct'!Q62+'[5]Table 2A-2 EFT (Monthly)oct'!Q62+'[5]Table 2A-2 EFT (Monthly)dec'!Q62+'[5]Table 2A-2 EFT (Monthly)jan'!Q62+'[5]Table 2A-2 EFT (Monthly)feb'!Q62+'[5]Table 2A-2 EFT (Monthly) mar'!Q62+'[5]Table 2A-2 EFT (Monthly)apr'!Q62+'[5]Table 2A-2 EFT (Monthly)'!AT62+'[5]Table 2A-2 EFT (Monthly) mar'!AT62)*-1</f>
        <v>0</v>
      </c>
      <c r="AG63" s="1741">
        <f>('[5]Table 2A-2 EFT (Monthly)'!R62+'[5]Table 2A-2 EFT (Monthly)Aug'!R62+'[5]Table 2A-2 EFT (Monthly) sep'!R62+'[5]Table 2A-2 EFT (Monthly)oct'!R62+'[5]Table 2A-2 EFT (Monthly)oct'!R62+'[5]Table 2A-2 EFT (Monthly)dec'!R62+'[5]Table 2A-2 EFT (Monthly)jan'!R62+'[5]Table 2A-2 EFT (Monthly)feb'!R62+'[5]Table 2A-2 EFT (Monthly) mar'!R62+'[5]Table 2A-2 EFT (Monthly)apr'!R62+'[5]Table 2A-2 EFT (Monthly)'!AU62+'[5]Table 2A-2 EFT (Monthly) mar'!AU62)*-1</f>
        <v>2032.9999999999998</v>
      </c>
      <c r="AH63" s="1741">
        <f>('[5]Table 2A-2 EFT (Monthly)'!S62+'[5]Table 2A-2 EFT (Monthly)Aug'!S62+'[5]Table 2A-2 EFT (Monthly) sep'!S62+'[5]Table 2A-2 EFT (Monthly)oct'!S62+'[5]Table 2A-2 EFT (Monthly)oct'!S62+'[5]Table 2A-2 EFT (Monthly)dec'!S62+'[5]Table 2A-2 EFT (Monthly)jan'!S62+'[5]Table 2A-2 EFT (Monthly)feb'!S62+'[5]Table 2A-2 EFT (Monthly) mar'!S62+'[5]Table 2A-2 EFT (Monthly)apr'!S62+'[5]Table 2A-2 EFT (Monthly)'!AV62+'[5]Table 2A-2 EFT (Monthly) mar'!AV62)*-1</f>
        <v>0</v>
      </c>
      <c r="AI63" s="1741">
        <f>('[5]Table 2A-2 EFT (Monthly)'!T62+'[5]Table 2A-2 EFT (Monthly)Aug'!T62+'[5]Table 2A-2 EFT (Monthly) sep'!T62+'[5]Table 2A-2 EFT (Monthly)oct'!T62+'[5]Table 2A-2 EFT (Monthly)oct'!T62+'[5]Table 2A-2 EFT (Monthly)dec'!T62+'[5]Table 2A-2 EFT (Monthly)jan'!T62+'[5]Table 2A-2 EFT (Monthly)feb'!T62+'[5]Table 2A-2 EFT (Monthly) mar'!T62+'[5]Table 2A-2 EFT (Monthly)apr'!T62+'[5]Table 2A-2 EFT (Monthly)'!AW62+'[5]Table 2A-2 EFT (Monthly) mar'!AW62)*-1</f>
        <v>0</v>
      </c>
      <c r="AJ63" s="1741">
        <f>('[5]Table 2A-2 EFT (Monthly)'!U62+'[5]Table 2A-2 EFT (Monthly)Aug'!U62+'[5]Table 2A-2 EFT (Monthly) sep'!U62+'[5]Table 2A-2 EFT (Monthly)oct'!U62+'[5]Table 2A-2 EFT (Monthly)oct'!U62+'[5]Table 2A-2 EFT (Monthly)dec'!U62+'[5]Table 2A-2 EFT (Monthly)jan'!U62+'[5]Table 2A-2 EFT (Monthly)feb'!U62+'[5]Table 2A-2 EFT (Monthly) mar'!U62+'[5]Table 2A-2 EFT (Monthly)apr'!U62+'[5]Table 2A-2 EFT (Monthly)'!AX62+'[5]Table 2A-2 EFT (Monthly) mar'!AX62)*-1</f>
        <v>0</v>
      </c>
      <c r="AK63" s="1741">
        <f>('[5]Table 2A-2 EFT (Monthly)'!V62+'[5]Table 2A-2 EFT (Monthly)Aug'!V62+'[5]Table 2A-2 EFT (Monthly) sep'!V62+'[5]Table 2A-2 EFT (Monthly)oct'!V62+'[5]Table 2A-2 EFT (Monthly)oct'!V62+'[5]Table 2A-2 EFT (Monthly)dec'!V62+'[5]Table 2A-2 EFT (Monthly)jan'!V62+'[5]Table 2A-2 EFT (Monthly)feb'!V62+'[5]Table 2A-2 EFT (Monthly) mar'!V62+'[5]Table 2A-2 EFT (Monthly)apr'!V62+'[5]Table 2A-2 EFT (Monthly)'!AY62+'[5]Table 2A-2 EFT (Monthly) mar'!AY62)*-1</f>
        <v>0</v>
      </c>
      <c r="AL63" s="1741">
        <f>('[5]Table 2A-2 EFT (Monthly)'!W62+'[5]Table 2A-2 EFT (Monthly)Aug'!W62+'[5]Table 2A-2 EFT (Monthly) sep'!W62+'[5]Table 2A-2 EFT (Monthly)oct'!W62+'[5]Table 2A-2 EFT (Monthly)oct'!W62+'[5]Table 2A-2 EFT (Monthly)dec'!W62+'[5]Table 2A-2 EFT (Monthly)jan'!W62+'[5]Table 2A-2 EFT (Monthly)feb'!W62+'[5]Table 2A-2 EFT (Monthly) mar'!W62+'[5]Table 2A-2 EFT (Monthly)apr'!W62+'[5]Table 2A-2 EFT (Monthly)'!AZ62+'[5]Table 2A-2 EFT (Monthly) mar'!AZ62)*-1</f>
        <v>0</v>
      </c>
      <c r="AM63" s="1741">
        <f>('[5]Table 2A-2 EFT (Monthly)'!X62+'[5]Table 2A-2 EFT (Monthly)Aug'!X62+'[5]Table 2A-2 EFT (Monthly) sep'!X62+'[5]Table 2A-2 EFT (Monthly)oct'!X62+'[5]Table 2A-2 EFT (Monthly)oct'!X62+'[5]Table 2A-2 EFT (Monthly)dec'!X62+'[5]Table 2A-2 EFT (Monthly)jan'!X62+'[5]Table 2A-2 EFT (Monthly)feb'!X62+'[5]Table 2A-2 EFT (Monthly) mar'!X62+'[5]Table 2A-2 EFT (Monthly)apr'!X62+'[5]Table 2A-2 EFT (Monthly)'!BA62+'[5]Table 2A-2 EFT (Monthly) mar'!BA62)*-1</f>
        <v>0</v>
      </c>
      <c r="AN63" s="1741">
        <f>('[5]Table 2A-2 EFT (Monthly) sep'!AD62+'[5]Table 2A-2 EFT (Monthly)dec'!AD62+'[5]Table 2A-2 EFT (Monthly)feb'!AD62)*-1</f>
        <v>11830.445486810189</v>
      </c>
      <c r="AO63" s="1741">
        <f t="shared" si="30"/>
        <v>25857.445486810189</v>
      </c>
      <c r="AP63" s="560">
        <f t="shared" si="31"/>
        <v>8320648.1954868101</v>
      </c>
      <c r="AQ63" s="309">
        <f t="shared" si="32"/>
        <v>4160324</v>
      </c>
      <c r="AR63" s="309">
        <f>'Table 4A Stipends'!G60</f>
        <v>0</v>
      </c>
      <c r="AS63" s="309">
        <f t="shared" si="34"/>
        <v>46882422</v>
      </c>
      <c r="AU63" s="1339">
        <f>('Table 8 2.1.12 MFP Funded'!G60*'Table 3 Levels 1&amp;2'!AP64)+'Table 2_State with Midyear Adjs'!F63</f>
        <v>45797335.745494425</v>
      </c>
      <c r="AV63" s="753">
        <f t="shared" si="35"/>
        <v>1085086.2545055747</v>
      </c>
      <c r="AW63" s="280">
        <f t="shared" si="36"/>
        <v>2.3693217887949439E-2</v>
      </c>
    </row>
    <row r="64" spans="1:49">
      <c r="A64" s="101">
        <v>58</v>
      </c>
      <c r="B64" s="299" t="s">
        <v>158</v>
      </c>
      <c r="C64" s="309">
        <f>'Table 3 Levels 1&amp;2'!AO65</f>
        <v>57319563.873916</v>
      </c>
      <c r="D64" s="354">
        <f>'[2]Adjusted Amounts'!$C64</f>
        <v>39172.745744864194</v>
      </c>
      <c r="E64" s="354">
        <f>'[2]Adjusted Amounts'!$H64</f>
        <v>-168507.46004203026</v>
      </c>
      <c r="F64" s="354">
        <f t="shared" si="22"/>
        <v>-129334.71429716607</v>
      </c>
      <c r="G64" s="309">
        <f t="shared" si="19"/>
        <v>0</v>
      </c>
      <c r="H64" s="354">
        <f t="shared" si="23"/>
        <v>-129334.71429716607</v>
      </c>
      <c r="I64" s="354">
        <f>'[1]Midyear Adjustment Summary'!C62+'[1]Oct midyear Madison Prep'!K64+'[1]Oct midyear DArbonne'!K64+'[1]Oct midyear Intl_VIBE '!K64+'[1]Oct midyear NOMMA'!K64+'[1]Oct midyear LFNO'!K64+'[1]Oct midyear Lake Charles Chtr'!K64+'[1]Oct midyear LA Virtual Admy'!K61+'[1]Oct midyear LA Connections'!K61</f>
        <v>-1504792.0236388778</v>
      </c>
      <c r="J64" s="354">
        <f>'[1]Midyear Adjustment Summary'!D62+'[1]Feb midyear Madison Prep'!K64+'[1]Feb midyear DArbonne'!K64+'[1]Feb midyear Intl_VIBE '!K64+'[1]Feb midyear NOMMA'!K64+'[1]Feb midyear LFNO '!K64+'[1]Feb midyear Lake Charles Ch'!K64+'[1]Feb midyear LA Virtual Admy'!K61+'[1]Feb midyear LA Connections'!K61</f>
        <v>-465265.75209219725</v>
      </c>
      <c r="K64" s="354">
        <f t="shared" si="24"/>
        <v>-1970057.7757310751</v>
      </c>
      <c r="L64" s="354"/>
      <c r="M64" s="354">
        <f>-'Table 5C1A-Madison Prep'!L64</f>
        <v>0</v>
      </c>
      <c r="N64" s="354">
        <f>-'Table 5C1B-DArbonne'!L64</f>
        <v>0</v>
      </c>
      <c r="O64" s="354">
        <f>-'Table 5C1C-Intl_VIBE'!L64</f>
        <v>0</v>
      </c>
      <c r="P64" s="354">
        <f>-'Table 5C1D-NOMMA'!L64</f>
        <v>0</v>
      </c>
      <c r="Q64" s="354">
        <f>-'Table 5C1E-LFNO'!L64</f>
        <v>0</v>
      </c>
      <c r="R64" s="354">
        <f>-'Table 5C1F-Lake Charles Charter'!L64</f>
        <v>0</v>
      </c>
      <c r="S64" s="314">
        <f>-'Table 5C2 - LA Virtual Admy'!M62-'Table 5C2 - LA Virtual Admy'!I62</f>
        <v>-218615.35748453779</v>
      </c>
      <c r="T64" s="314">
        <f>-'Table 5C3 - LA Connections EBR'!M62-'Table 5C3 - LA Connections EBR'!I62</f>
        <v>-150427.75822854694</v>
      </c>
      <c r="U64" s="1692">
        <f t="shared" si="25"/>
        <v>-369043.1157130847</v>
      </c>
      <c r="V64" s="560">
        <f t="shared" si="26"/>
        <v>54851128</v>
      </c>
      <c r="W64" s="560">
        <f>[3]MFP!DT65</f>
        <v>46256539</v>
      </c>
      <c r="X64" s="560">
        <f t="shared" si="27"/>
        <v>0</v>
      </c>
      <c r="Y64" s="560">
        <f>'[4]Table 4B Rewards'!G61</f>
        <v>92992.35000000002</v>
      </c>
      <c r="Z64" s="560">
        <f t="shared" si="28"/>
        <v>46349531.350000001</v>
      </c>
      <c r="AA64" s="1737">
        <f t="shared" si="29"/>
        <v>8501596.6499999985</v>
      </c>
      <c r="AB64" s="1741">
        <f>('[5]Table 2A-2 EFT (Monthly)'!Z63+'[5]Table 2A-2 EFT (Monthly)Aug'!Z63+'[5]Table 2A-2 EFT (Monthly) sep'!Z63+'[5]Table 2A-2 EFT (Monthly)oct'!Z63+'[5]Table 2A-2 EFT (Monthly)oct'!Z63+'[5]Table 2A-2 EFT (Monthly)dec'!Z63+'[5]Table 2A-2 EFT (Monthly)jan'!Z63+'[5]Table 2A-2 EFT (Monthly)feb'!Z63+'[5]Table 2A-2 EFT (Monthly) mar'!Z63+'[5]Table 2A-2 EFT (Monthly)apr'!Z63)*-1</f>
        <v>8112</v>
      </c>
      <c r="AC64" s="1741">
        <f>('[5]Table 2A-2 EFT (Monthly)'!AA63+'[5]Table 2A-2 EFT (Monthly)Aug'!AA63+'[5]Table 2A-2 EFT (Monthly) sep'!AA63+'[5]Table 2A-2 EFT (Monthly)oct'!AA63+'[5]Table 2A-2 EFT (Monthly)oct'!AA63+'[5]Table 2A-2 EFT (Monthly)dec'!AA63+'[5]Table 2A-2 EFT (Monthly)jan'!AA63+'[5]Table 2A-2 EFT (Monthly)feb'!AA63+'[5]Table 2A-2 EFT (Monthly) mar'!AA63+'[5]Table 2A-2 EFT (Monthly)apr'!AA63)*-1</f>
        <v>0</v>
      </c>
      <c r="AD64" s="1741">
        <f>('[5]Table 2A-2 EFT (Monthly)'!AB63+'[5]Table 2A-2 EFT (Monthly)Aug'!AB63+'[5]Table 2A-2 EFT (Monthly) sep'!AB63+'[5]Table 2A-2 EFT (Monthly)oct'!AB63+'[5]Table 2A-2 EFT (Monthly)oct'!AB63+'[5]Table 2A-2 EFT (Monthly)dec'!AB63+'[5]Table 2A-2 EFT (Monthly)jan'!AB63+'[5]Table 2A-2 EFT (Monthly)feb'!AB63+'[5]Table 2A-2 EFT (Monthly) mar'!AB63+'[5]Table 2A-2 EFT (Monthly)apr'!AB63)*-1</f>
        <v>916</v>
      </c>
      <c r="AE64" s="1741">
        <f>('[5]Table 2A-2 EFT (Monthly)'!AC63+'[5]Table 2A-2 EFT (Monthly)Aug'!AC63+'[5]Table 2A-2 EFT (Monthly) sep'!AC63+'[5]Table 2A-2 EFT (Monthly)oct'!AC63+'[5]Table 2A-2 EFT (Monthly)oct'!AC63+'[5]Table 2A-2 EFT (Monthly)dec'!AC63+'[5]Table 2A-2 EFT (Monthly)jan'!AC63+'[5]Table 2A-2 EFT (Monthly)feb'!AC63+'[5]Table 2A-2 EFT (Monthly) mar'!AC63+'[5]Table 2A-2 EFT (Monthly)apr'!AC63)*-1</f>
        <v>3050</v>
      </c>
      <c r="AF64" s="1741">
        <f>('[5]Table 2A-2 EFT (Monthly)'!Q63+'[5]Table 2A-2 EFT (Monthly)Aug'!Q63+'[5]Table 2A-2 EFT (Monthly) sep'!Q63+'[5]Table 2A-2 EFT (Monthly)oct'!Q63+'[5]Table 2A-2 EFT (Monthly)oct'!Q63+'[5]Table 2A-2 EFT (Monthly)dec'!Q63+'[5]Table 2A-2 EFT (Monthly)jan'!Q63+'[5]Table 2A-2 EFT (Monthly)feb'!Q63+'[5]Table 2A-2 EFT (Monthly) mar'!Q63+'[5]Table 2A-2 EFT (Monthly)apr'!Q63+'[5]Table 2A-2 EFT (Monthly)'!AT63+'[5]Table 2A-2 EFT (Monthly) mar'!AT63)*-1</f>
        <v>0</v>
      </c>
      <c r="AG64" s="1741">
        <f>('[5]Table 2A-2 EFT (Monthly)'!R63+'[5]Table 2A-2 EFT (Monthly)Aug'!R63+'[5]Table 2A-2 EFT (Monthly) sep'!R63+'[5]Table 2A-2 EFT (Monthly)oct'!R63+'[5]Table 2A-2 EFT (Monthly)oct'!R63+'[5]Table 2A-2 EFT (Monthly)dec'!R63+'[5]Table 2A-2 EFT (Monthly)jan'!R63+'[5]Table 2A-2 EFT (Monthly)feb'!R63+'[5]Table 2A-2 EFT (Monthly) mar'!R63+'[5]Table 2A-2 EFT (Monthly)apr'!R63+'[5]Table 2A-2 EFT (Monthly)'!AU63+'[5]Table 2A-2 EFT (Monthly) mar'!AU63)*-1</f>
        <v>0</v>
      </c>
      <c r="AH64" s="1741">
        <f>('[5]Table 2A-2 EFT (Monthly)'!S63+'[5]Table 2A-2 EFT (Monthly)Aug'!S63+'[5]Table 2A-2 EFT (Monthly) sep'!S63+'[5]Table 2A-2 EFT (Monthly)oct'!S63+'[5]Table 2A-2 EFT (Monthly)oct'!S63+'[5]Table 2A-2 EFT (Monthly)dec'!S63+'[5]Table 2A-2 EFT (Monthly)jan'!S63+'[5]Table 2A-2 EFT (Monthly)feb'!S63+'[5]Table 2A-2 EFT (Monthly) mar'!S63+'[5]Table 2A-2 EFT (Monthly)apr'!S63+'[5]Table 2A-2 EFT (Monthly)'!AV63+'[5]Table 2A-2 EFT (Monthly) mar'!AV63)*-1</f>
        <v>0</v>
      </c>
      <c r="AI64" s="1741">
        <f>('[5]Table 2A-2 EFT (Monthly)'!T63+'[5]Table 2A-2 EFT (Monthly)Aug'!T63+'[5]Table 2A-2 EFT (Monthly) sep'!T63+'[5]Table 2A-2 EFT (Monthly)oct'!T63+'[5]Table 2A-2 EFT (Monthly)oct'!T63+'[5]Table 2A-2 EFT (Monthly)dec'!T63+'[5]Table 2A-2 EFT (Monthly)jan'!T63+'[5]Table 2A-2 EFT (Monthly)feb'!T63+'[5]Table 2A-2 EFT (Monthly) mar'!T63+'[5]Table 2A-2 EFT (Monthly)apr'!T63+'[5]Table 2A-2 EFT (Monthly)'!AW63+'[5]Table 2A-2 EFT (Monthly) mar'!AW63)*-1</f>
        <v>0</v>
      </c>
      <c r="AJ64" s="1741">
        <f>('[5]Table 2A-2 EFT (Monthly)'!U63+'[5]Table 2A-2 EFT (Monthly)Aug'!U63+'[5]Table 2A-2 EFT (Monthly) sep'!U63+'[5]Table 2A-2 EFT (Monthly)oct'!U63+'[5]Table 2A-2 EFT (Monthly)oct'!U63+'[5]Table 2A-2 EFT (Monthly)dec'!U63+'[5]Table 2A-2 EFT (Monthly)jan'!U63+'[5]Table 2A-2 EFT (Monthly)feb'!U63+'[5]Table 2A-2 EFT (Monthly) mar'!U63+'[5]Table 2A-2 EFT (Monthly)apr'!U63+'[5]Table 2A-2 EFT (Monthly)'!AX63+'[5]Table 2A-2 EFT (Monthly) mar'!AX63)*-1</f>
        <v>0</v>
      </c>
      <c r="AK64" s="1741">
        <f>('[5]Table 2A-2 EFT (Monthly)'!V63+'[5]Table 2A-2 EFT (Monthly)Aug'!V63+'[5]Table 2A-2 EFT (Monthly) sep'!V63+'[5]Table 2A-2 EFT (Monthly)oct'!V63+'[5]Table 2A-2 EFT (Monthly)oct'!V63+'[5]Table 2A-2 EFT (Monthly)dec'!V63+'[5]Table 2A-2 EFT (Monthly)jan'!V63+'[5]Table 2A-2 EFT (Monthly)feb'!V63+'[5]Table 2A-2 EFT (Monthly) mar'!V63+'[5]Table 2A-2 EFT (Monthly)apr'!V63+'[5]Table 2A-2 EFT (Monthly)'!AY63+'[5]Table 2A-2 EFT (Monthly) mar'!AY63)*-1</f>
        <v>0</v>
      </c>
      <c r="AL64" s="1741">
        <f>('[5]Table 2A-2 EFT (Monthly)'!W63+'[5]Table 2A-2 EFT (Monthly)Aug'!W63+'[5]Table 2A-2 EFT (Monthly) sep'!W63+'[5]Table 2A-2 EFT (Monthly)oct'!W63+'[5]Table 2A-2 EFT (Monthly)oct'!W63+'[5]Table 2A-2 EFT (Monthly)dec'!W63+'[5]Table 2A-2 EFT (Monthly)jan'!W63+'[5]Table 2A-2 EFT (Monthly)feb'!W63+'[5]Table 2A-2 EFT (Monthly) mar'!W63+'[5]Table 2A-2 EFT (Monthly)apr'!W63+'[5]Table 2A-2 EFT (Monthly)'!AZ63+'[5]Table 2A-2 EFT (Monthly) mar'!AZ63)*-1</f>
        <v>0</v>
      </c>
      <c r="AM64" s="1741">
        <f>('[5]Table 2A-2 EFT (Monthly)'!X63+'[5]Table 2A-2 EFT (Monthly)Aug'!X63+'[5]Table 2A-2 EFT (Monthly) sep'!X63+'[5]Table 2A-2 EFT (Monthly)oct'!X63+'[5]Table 2A-2 EFT (Monthly)oct'!X63+'[5]Table 2A-2 EFT (Monthly)dec'!X63+'[5]Table 2A-2 EFT (Monthly)jan'!X63+'[5]Table 2A-2 EFT (Monthly)feb'!X63+'[5]Table 2A-2 EFT (Monthly) mar'!X63+'[5]Table 2A-2 EFT (Monthly)apr'!X63+'[5]Table 2A-2 EFT (Monthly)'!BA63+'[5]Table 2A-2 EFT (Monthly) mar'!BA63)*-1</f>
        <v>0</v>
      </c>
      <c r="AN64" s="1741">
        <f>('[5]Table 2A-2 EFT (Monthly) sep'!AD63+'[5]Table 2A-2 EFT (Monthly)dec'!AD63+'[5]Table 2A-2 EFT (Monthly)feb'!AD63)*-1</f>
        <v>0</v>
      </c>
      <c r="AO64" s="1741">
        <f t="shared" si="30"/>
        <v>12078</v>
      </c>
      <c r="AP64" s="560">
        <f t="shared" si="31"/>
        <v>8513674.6499999985</v>
      </c>
      <c r="AQ64" s="309">
        <f t="shared" si="32"/>
        <v>4256837</v>
      </c>
      <c r="AR64" s="309">
        <f>'Table 4A Stipends'!G61</f>
        <v>0</v>
      </c>
      <c r="AS64" s="309">
        <f t="shared" si="34"/>
        <v>54851128</v>
      </c>
      <c r="AU64" s="1339">
        <f>('Table 8 2.1.12 MFP Funded'!G61*'Table 3 Levels 1&amp;2'!AP65)+'Table 2_State with Midyear Adjs'!F64</f>
        <v>56858134.351542838</v>
      </c>
      <c r="AV64" s="753">
        <f t="shared" si="35"/>
        <v>-2007006.3515428379</v>
      </c>
      <c r="AW64" s="280">
        <f t="shared" si="36"/>
        <v>-3.5298491138205594E-2</v>
      </c>
    </row>
    <row r="65" spans="1:49">
      <c r="A65" s="101">
        <v>59</v>
      </c>
      <c r="B65" s="299" t="s">
        <v>159</v>
      </c>
      <c r="C65" s="309">
        <f>'Table 3 Levels 1&amp;2'!AO66</f>
        <v>36401884.423579998</v>
      </c>
      <c r="D65" s="354">
        <f>'[2]Adjusted Amounts'!$C65</f>
        <v>48562.380948314538</v>
      </c>
      <c r="E65" s="354">
        <f>'[2]Adjusted Amounts'!$H65</f>
        <v>-33714.628874737813</v>
      </c>
      <c r="F65" s="354">
        <f t="shared" si="22"/>
        <v>14847.752073576725</v>
      </c>
      <c r="G65" s="309">
        <f t="shared" si="19"/>
        <v>14847.752073576725</v>
      </c>
      <c r="H65" s="354">
        <f t="shared" si="23"/>
        <v>0</v>
      </c>
      <c r="I65" s="354">
        <f>'[1]Midyear Adjustment Summary'!C63+'[1]Oct midyear Madison Prep'!K65+'[1]Oct midyear DArbonne'!K65+'[1]Oct midyear Intl_VIBE '!K65+'[1]Oct midyear NOMMA'!K65+'[1]Oct midyear LFNO'!K65+'[1]Oct midyear Lake Charles Chtr'!K65+'[1]Oct midyear LA Virtual Admy'!K62+'[1]Oct midyear LA Connections'!K62</f>
        <v>296737.29743864713</v>
      </c>
      <c r="J65" s="354">
        <f>'[1]Midyear Adjustment Summary'!D63+'[1]Feb midyear Madison Prep'!K65+'[1]Feb midyear DArbonne'!K65+'[1]Feb midyear Intl_VIBE '!K65+'[1]Feb midyear NOMMA'!K65+'[1]Feb midyear LFNO '!K65+'[1]Feb midyear Lake Charles Ch'!K65+'[1]Feb midyear LA Virtual Admy'!K62+'[1]Feb midyear LA Connections'!K62</f>
        <v>94224.639471039598</v>
      </c>
      <c r="K65" s="354">
        <f t="shared" si="24"/>
        <v>390961.93690968672</v>
      </c>
      <c r="L65" s="354"/>
      <c r="M65" s="354">
        <f>-'Table 5C1A-Madison Prep'!L65</f>
        <v>0</v>
      </c>
      <c r="N65" s="354">
        <f>-'Table 5C1B-DArbonne'!L65</f>
        <v>0</v>
      </c>
      <c r="O65" s="354">
        <f>-'Table 5C1C-Intl_VIBE'!L65</f>
        <v>0</v>
      </c>
      <c r="P65" s="354">
        <f>-'Table 5C1D-NOMMA'!L65</f>
        <v>0</v>
      </c>
      <c r="Q65" s="354">
        <f>-'Table 5C1E-LFNO'!L65</f>
        <v>0</v>
      </c>
      <c r="R65" s="354">
        <f>-'Table 5C1F-Lake Charles Charter'!L65</f>
        <v>0</v>
      </c>
      <c r="S65" s="314">
        <f>-'Table 5C2 - LA Virtual Admy'!M63-'Table 5C2 - LA Virtual Admy'!I63</f>
        <v>-103800.02126454761</v>
      </c>
      <c r="T65" s="314">
        <f>-'Table 5C3 - LA Connections EBR'!M63-'Table 5C3 - LA Connections EBR'!I63</f>
        <v>-71523.20150583252</v>
      </c>
      <c r="U65" s="1692">
        <f t="shared" si="25"/>
        <v>-175323.22277038015</v>
      </c>
      <c r="V65" s="560">
        <f t="shared" si="26"/>
        <v>36632371</v>
      </c>
      <c r="W65" s="560">
        <f>[3]MFP!DT66</f>
        <v>30349580</v>
      </c>
      <c r="X65" s="560">
        <f t="shared" si="27"/>
        <v>0</v>
      </c>
      <c r="Y65" s="560">
        <f>'[4]Table 4B Rewards'!G62</f>
        <v>25361.550000000003</v>
      </c>
      <c r="Z65" s="560">
        <f t="shared" si="28"/>
        <v>30374941.550000001</v>
      </c>
      <c r="AA65" s="1737">
        <f t="shared" si="29"/>
        <v>6257429.4499999993</v>
      </c>
      <c r="AB65" s="1741">
        <f>('[5]Table 2A-2 EFT (Monthly)'!Z64+'[5]Table 2A-2 EFT (Monthly)Aug'!Z64+'[5]Table 2A-2 EFT (Monthly) sep'!Z64+'[5]Table 2A-2 EFT (Monthly)oct'!Z64+'[5]Table 2A-2 EFT (Monthly)oct'!Z64+'[5]Table 2A-2 EFT (Monthly)dec'!Z64+'[5]Table 2A-2 EFT (Monthly)jan'!Z64+'[5]Table 2A-2 EFT (Monthly)feb'!Z64+'[5]Table 2A-2 EFT (Monthly) mar'!Z64+'[5]Table 2A-2 EFT (Monthly)apr'!Z64)*-1</f>
        <v>0</v>
      </c>
      <c r="AC65" s="1741">
        <f>('[5]Table 2A-2 EFT (Monthly)'!AA64+'[5]Table 2A-2 EFT (Monthly)Aug'!AA64+'[5]Table 2A-2 EFT (Monthly) sep'!AA64+'[5]Table 2A-2 EFT (Monthly)oct'!AA64+'[5]Table 2A-2 EFT (Monthly)oct'!AA64+'[5]Table 2A-2 EFT (Monthly)dec'!AA64+'[5]Table 2A-2 EFT (Monthly)jan'!AA64+'[5]Table 2A-2 EFT (Monthly)feb'!AA64+'[5]Table 2A-2 EFT (Monthly) mar'!AA64+'[5]Table 2A-2 EFT (Monthly)apr'!AA64)*-1</f>
        <v>266</v>
      </c>
      <c r="AD65" s="1741">
        <f>('[5]Table 2A-2 EFT (Monthly)'!AB64+'[5]Table 2A-2 EFT (Monthly)Aug'!AB64+'[5]Table 2A-2 EFT (Monthly) sep'!AB64+'[5]Table 2A-2 EFT (Monthly)oct'!AB64+'[5]Table 2A-2 EFT (Monthly)oct'!AB64+'[5]Table 2A-2 EFT (Monthly)dec'!AB64+'[5]Table 2A-2 EFT (Monthly)jan'!AB64+'[5]Table 2A-2 EFT (Monthly)feb'!AB64+'[5]Table 2A-2 EFT (Monthly) mar'!AB64+'[5]Table 2A-2 EFT (Monthly)apr'!AB64)*-1</f>
        <v>1830</v>
      </c>
      <c r="AE65" s="1741">
        <f>('[5]Table 2A-2 EFT (Monthly)'!AC64+'[5]Table 2A-2 EFT (Monthly)Aug'!AC64+'[5]Table 2A-2 EFT (Monthly) sep'!AC64+'[5]Table 2A-2 EFT (Monthly)oct'!AC64+'[5]Table 2A-2 EFT (Monthly)oct'!AC64+'[5]Table 2A-2 EFT (Monthly)dec'!AC64+'[5]Table 2A-2 EFT (Monthly)jan'!AC64+'[5]Table 2A-2 EFT (Monthly)feb'!AC64+'[5]Table 2A-2 EFT (Monthly) mar'!AC64+'[5]Table 2A-2 EFT (Monthly)apr'!AC64)*-1</f>
        <v>5628</v>
      </c>
      <c r="AF65" s="1741">
        <f>('[5]Table 2A-2 EFT (Monthly)'!Q64+'[5]Table 2A-2 EFT (Monthly)Aug'!Q64+'[5]Table 2A-2 EFT (Monthly) sep'!Q64+'[5]Table 2A-2 EFT (Monthly)oct'!Q64+'[5]Table 2A-2 EFT (Monthly)oct'!Q64+'[5]Table 2A-2 EFT (Monthly)dec'!Q64+'[5]Table 2A-2 EFT (Monthly)jan'!Q64+'[5]Table 2A-2 EFT (Monthly)feb'!Q64+'[5]Table 2A-2 EFT (Monthly) mar'!Q64+'[5]Table 2A-2 EFT (Monthly)apr'!Q64+'[5]Table 2A-2 EFT (Monthly)'!AT64+'[5]Table 2A-2 EFT (Monthly) mar'!AT64)*-1</f>
        <v>0</v>
      </c>
      <c r="AG65" s="1741">
        <f>('[5]Table 2A-2 EFT (Monthly)'!R64+'[5]Table 2A-2 EFT (Monthly)Aug'!R64+'[5]Table 2A-2 EFT (Monthly) sep'!R64+'[5]Table 2A-2 EFT (Monthly)oct'!R64+'[5]Table 2A-2 EFT (Monthly)oct'!R64+'[5]Table 2A-2 EFT (Monthly)dec'!R64+'[5]Table 2A-2 EFT (Monthly)jan'!R64+'[5]Table 2A-2 EFT (Monthly)feb'!R64+'[5]Table 2A-2 EFT (Monthly) mar'!R64+'[5]Table 2A-2 EFT (Monthly)apr'!R64+'[5]Table 2A-2 EFT (Monthly)'!AU64+'[5]Table 2A-2 EFT (Monthly) mar'!AU64)*-1</f>
        <v>0</v>
      </c>
      <c r="AH65" s="1741">
        <f>('[5]Table 2A-2 EFT (Monthly)'!S64+'[5]Table 2A-2 EFT (Monthly)Aug'!S64+'[5]Table 2A-2 EFT (Monthly) sep'!S64+'[5]Table 2A-2 EFT (Monthly)oct'!S64+'[5]Table 2A-2 EFT (Monthly)oct'!S64+'[5]Table 2A-2 EFT (Monthly)dec'!S64+'[5]Table 2A-2 EFT (Monthly)jan'!S64+'[5]Table 2A-2 EFT (Monthly)feb'!S64+'[5]Table 2A-2 EFT (Monthly) mar'!S64+'[5]Table 2A-2 EFT (Monthly)apr'!S64+'[5]Table 2A-2 EFT (Monthly)'!AV64+'[5]Table 2A-2 EFT (Monthly) mar'!AV64)*-1</f>
        <v>0</v>
      </c>
      <c r="AI65" s="1741">
        <f>('[5]Table 2A-2 EFT (Monthly)'!T64+'[5]Table 2A-2 EFT (Monthly)Aug'!T64+'[5]Table 2A-2 EFT (Monthly) sep'!T64+'[5]Table 2A-2 EFT (Monthly)oct'!T64+'[5]Table 2A-2 EFT (Monthly)oct'!T64+'[5]Table 2A-2 EFT (Monthly)dec'!T64+'[5]Table 2A-2 EFT (Monthly)jan'!T64+'[5]Table 2A-2 EFT (Monthly)feb'!T64+'[5]Table 2A-2 EFT (Monthly) mar'!T64+'[5]Table 2A-2 EFT (Monthly)apr'!T64+'[5]Table 2A-2 EFT (Monthly)'!AW64+'[5]Table 2A-2 EFT (Monthly) mar'!AW64)*-1</f>
        <v>0</v>
      </c>
      <c r="AJ65" s="1741">
        <f>('[5]Table 2A-2 EFT (Monthly)'!U64+'[5]Table 2A-2 EFT (Monthly)Aug'!U64+'[5]Table 2A-2 EFT (Monthly) sep'!U64+'[5]Table 2A-2 EFT (Monthly)oct'!U64+'[5]Table 2A-2 EFT (Monthly)oct'!U64+'[5]Table 2A-2 EFT (Monthly)dec'!U64+'[5]Table 2A-2 EFT (Monthly)jan'!U64+'[5]Table 2A-2 EFT (Monthly)feb'!U64+'[5]Table 2A-2 EFT (Monthly) mar'!U64+'[5]Table 2A-2 EFT (Monthly)apr'!U64+'[5]Table 2A-2 EFT (Monthly)'!AX64+'[5]Table 2A-2 EFT (Monthly) mar'!AX64)*-1</f>
        <v>0</v>
      </c>
      <c r="AK65" s="1741">
        <f>('[5]Table 2A-2 EFT (Monthly)'!V64+'[5]Table 2A-2 EFT (Monthly)Aug'!V64+'[5]Table 2A-2 EFT (Monthly) sep'!V64+'[5]Table 2A-2 EFT (Monthly)oct'!V64+'[5]Table 2A-2 EFT (Monthly)oct'!V64+'[5]Table 2A-2 EFT (Monthly)dec'!V64+'[5]Table 2A-2 EFT (Monthly)jan'!V64+'[5]Table 2A-2 EFT (Monthly)feb'!V64+'[5]Table 2A-2 EFT (Monthly) mar'!V64+'[5]Table 2A-2 EFT (Monthly)apr'!V64+'[5]Table 2A-2 EFT (Monthly)'!AY64+'[5]Table 2A-2 EFT (Monthly) mar'!AY64)*-1</f>
        <v>0</v>
      </c>
      <c r="AL65" s="1741">
        <f>('[5]Table 2A-2 EFT (Monthly)'!W64+'[5]Table 2A-2 EFT (Monthly)Aug'!W64+'[5]Table 2A-2 EFT (Monthly) sep'!W64+'[5]Table 2A-2 EFT (Monthly)oct'!W64+'[5]Table 2A-2 EFT (Monthly)oct'!W64+'[5]Table 2A-2 EFT (Monthly)dec'!W64+'[5]Table 2A-2 EFT (Monthly)jan'!W64+'[5]Table 2A-2 EFT (Monthly)feb'!W64+'[5]Table 2A-2 EFT (Monthly) mar'!W64+'[5]Table 2A-2 EFT (Monthly)apr'!W64+'[5]Table 2A-2 EFT (Monthly)'!AZ64+'[5]Table 2A-2 EFT (Monthly) mar'!AZ64)*-1</f>
        <v>0</v>
      </c>
      <c r="AM65" s="1741">
        <f>('[5]Table 2A-2 EFT (Monthly)'!X64+'[5]Table 2A-2 EFT (Monthly)Aug'!X64+'[5]Table 2A-2 EFT (Monthly) sep'!X64+'[5]Table 2A-2 EFT (Monthly)oct'!X64+'[5]Table 2A-2 EFT (Monthly)oct'!X64+'[5]Table 2A-2 EFT (Monthly)dec'!X64+'[5]Table 2A-2 EFT (Monthly)jan'!X64+'[5]Table 2A-2 EFT (Monthly)feb'!X64+'[5]Table 2A-2 EFT (Monthly) mar'!X64+'[5]Table 2A-2 EFT (Monthly)apr'!X64+'[5]Table 2A-2 EFT (Monthly)'!BA64+'[5]Table 2A-2 EFT (Monthly) mar'!BA64)*-1</f>
        <v>0</v>
      </c>
      <c r="AN65" s="1741">
        <f>('[5]Table 2A-2 EFT (Monthly) sep'!AD64+'[5]Table 2A-2 EFT (Monthly)dec'!AD64+'[5]Table 2A-2 EFT (Monthly)feb'!AD64)*-1</f>
        <v>1866.653145446674</v>
      </c>
      <c r="AO65" s="1741">
        <f t="shared" si="30"/>
        <v>9590.6531454466749</v>
      </c>
      <c r="AP65" s="560">
        <f t="shared" si="31"/>
        <v>6267020.1031454457</v>
      </c>
      <c r="AQ65" s="309">
        <f t="shared" si="32"/>
        <v>3133510</v>
      </c>
      <c r="AR65" s="309">
        <f>'Table 4A Stipends'!G62</f>
        <v>0</v>
      </c>
      <c r="AS65" s="309">
        <f t="shared" si="34"/>
        <v>36632371</v>
      </c>
      <c r="AU65" s="1339">
        <f>('Table 8 2.1.12 MFP Funded'!G62*'Table 3 Levels 1&amp;2'!AP66)+'Table 2_State with Midyear Adjs'!F65</f>
        <v>36297197.303101741</v>
      </c>
      <c r="AV65" s="753">
        <f t="shared" si="35"/>
        <v>335173.69689825922</v>
      </c>
      <c r="AW65" s="280">
        <f t="shared" si="36"/>
        <v>9.2341481381984641E-3</v>
      </c>
    </row>
    <row r="66" spans="1:49">
      <c r="A66" s="102">
        <v>60</v>
      </c>
      <c r="B66" s="300" t="s">
        <v>160</v>
      </c>
      <c r="C66" s="318">
        <f>'Table 3 Levels 1&amp;2'!AO67</f>
        <v>35124603.001702398</v>
      </c>
      <c r="D66" s="355">
        <f>'[2]Adjusted Amounts'!$C66</f>
        <v>5520.7425693265977</v>
      </c>
      <c r="E66" s="355">
        <f>'[2]Adjusted Amounts'!$H66</f>
        <v>-2361.9967755083526</v>
      </c>
      <c r="F66" s="355">
        <f t="shared" si="22"/>
        <v>3158.7457938182451</v>
      </c>
      <c r="G66" s="318">
        <f t="shared" si="19"/>
        <v>3158.7457938182451</v>
      </c>
      <c r="H66" s="355">
        <f t="shared" si="23"/>
        <v>0</v>
      </c>
      <c r="I66" s="355">
        <f>'[1]Midyear Adjustment Summary'!C64+'[1]Oct midyear Madison Prep'!K66+'[1]Oct midyear DArbonne'!K66+'[1]Oct midyear Intl_VIBE '!K66+'[1]Oct midyear NOMMA'!K66+'[1]Oct midyear LFNO'!K66+'[1]Oct midyear Lake Charles Chtr'!K66+'[1]Oct midyear LA Virtual Admy'!K63+'[1]Oct midyear LA Connections'!K63</f>
        <v>175958.66605008623</v>
      </c>
      <c r="J66" s="355">
        <f>'[1]Midyear Adjustment Summary'!D64+'[1]Feb midyear Madison Prep'!K66+'[1]Feb midyear DArbonne'!K66+'[1]Feb midyear Intl_VIBE '!K66+'[1]Feb midyear NOMMA'!K66+'[1]Feb midyear LFNO '!K66+'[1]Feb midyear Lake Charles Ch'!K66+'[1]Feb midyear LA Virtual Admy'!K63+'[1]Feb midyear LA Connections'!K63</f>
        <v>-22809.456710196362</v>
      </c>
      <c r="K66" s="355">
        <f t="shared" si="24"/>
        <v>153149.20933988987</v>
      </c>
      <c r="L66" s="355"/>
      <c r="M66" s="355">
        <f>-'Table 5C1A-Madison Prep'!L66</f>
        <v>0</v>
      </c>
      <c r="N66" s="355">
        <f>-'Table 5C1B-DArbonne'!L66</f>
        <v>0</v>
      </c>
      <c r="O66" s="355">
        <f>-'Table 5C1C-Intl_VIBE'!L66</f>
        <v>0</v>
      </c>
      <c r="P66" s="355">
        <f>-'Table 5C1D-NOMMA'!L66</f>
        <v>0</v>
      </c>
      <c r="Q66" s="355">
        <f>-'Table 5C1E-LFNO'!L66</f>
        <v>0</v>
      </c>
      <c r="R66" s="355">
        <f>-'Table 5C1F-Lake Charles Charter'!L66</f>
        <v>0</v>
      </c>
      <c r="S66" s="321">
        <f>-'Table 5C2 - LA Virtual Admy'!M64-'Table 5C2 - LA Virtual Admy'!I64</f>
        <v>-115752.82706410045</v>
      </c>
      <c r="T66" s="321">
        <f>-'Table 5C3 - LA Connections EBR'!M64-'Table 5C3 - LA Connections EBR'!I64</f>
        <v>-76167.222972568663</v>
      </c>
      <c r="U66" s="321">
        <f t="shared" si="25"/>
        <v>-191920.05003666913</v>
      </c>
      <c r="V66" s="561">
        <f t="shared" si="26"/>
        <v>35088991</v>
      </c>
      <c r="W66" s="561">
        <f>[3]MFP!DT67</f>
        <v>29130620</v>
      </c>
      <c r="X66" s="561">
        <f t="shared" si="27"/>
        <v>0</v>
      </c>
      <c r="Y66" s="561">
        <f>'[4]Table 4B Rewards'!G63</f>
        <v>42269.25</v>
      </c>
      <c r="Z66" s="561">
        <f t="shared" si="28"/>
        <v>29172889.25</v>
      </c>
      <c r="AA66" s="561">
        <f t="shared" si="29"/>
        <v>5916101.75</v>
      </c>
      <c r="AB66" s="1742">
        <f>('[5]Table 2A-2 EFT (Monthly)'!Z65+'[5]Table 2A-2 EFT (Monthly)Aug'!Z65+'[5]Table 2A-2 EFT (Monthly) sep'!Z65+'[5]Table 2A-2 EFT (Monthly)oct'!Z65+'[5]Table 2A-2 EFT (Monthly)oct'!Z65+'[5]Table 2A-2 EFT (Monthly)dec'!Z65+'[5]Table 2A-2 EFT (Monthly)jan'!Z65+'[5]Table 2A-2 EFT (Monthly)feb'!Z65+'[5]Table 2A-2 EFT (Monthly) mar'!Z65+'[5]Table 2A-2 EFT (Monthly)apr'!Z65)*-1</f>
        <v>5238</v>
      </c>
      <c r="AC66" s="1742">
        <f>('[5]Table 2A-2 EFT (Monthly)'!AA65+'[5]Table 2A-2 EFT (Monthly)Aug'!AA65+'[5]Table 2A-2 EFT (Monthly) sep'!AA65+'[5]Table 2A-2 EFT (Monthly)oct'!AA65+'[5]Table 2A-2 EFT (Monthly)oct'!AA65+'[5]Table 2A-2 EFT (Monthly)dec'!AA65+'[5]Table 2A-2 EFT (Monthly)jan'!AA65+'[5]Table 2A-2 EFT (Monthly)feb'!AA65+'[5]Table 2A-2 EFT (Monthly) mar'!AA65+'[5]Table 2A-2 EFT (Monthly)apr'!AA65)*-1</f>
        <v>0</v>
      </c>
      <c r="AD66" s="1742">
        <f>('[5]Table 2A-2 EFT (Monthly)'!AB65+'[5]Table 2A-2 EFT (Monthly)Aug'!AB65+'[5]Table 2A-2 EFT (Monthly) sep'!AB65+'[5]Table 2A-2 EFT (Monthly)oct'!AB65+'[5]Table 2A-2 EFT (Monthly)oct'!AB65+'[5]Table 2A-2 EFT (Monthly)dec'!AB65+'[5]Table 2A-2 EFT (Monthly)jan'!AB65+'[5]Table 2A-2 EFT (Monthly)feb'!AB65+'[5]Table 2A-2 EFT (Monthly) mar'!AB65+'[5]Table 2A-2 EFT (Monthly)apr'!AB65)*-1</f>
        <v>8408</v>
      </c>
      <c r="AE66" s="1742">
        <f>('[5]Table 2A-2 EFT (Monthly)'!AC65+'[5]Table 2A-2 EFT (Monthly)Aug'!AC65+'[5]Table 2A-2 EFT (Monthly) sep'!AC65+'[5]Table 2A-2 EFT (Monthly)oct'!AC65+'[5]Table 2A-2 EFT (Monthly)oct'!AC65+'[5]Table 2A-2 EFT (Monthly)dec'!AC65+'[5]Table 2A-2 EFT (Monthly)jan'!AC65+'[5]Table 2A-2 EFT (Monthly)feb'!AC65+'[5]Table 2A-2 EFT (Monthly) mar'!AC65+'[5]Table 2A-2 EFT (Monthly)apr'!AC65)*-1</f>
        <v>17656</v>
      </c>
      <c r="AF66" s="1742">
        <f>('[5]Table 2A-2 EFT (Monthly)'!Q65+'[5]Table 2A-2 EFT (Monthly)Aug'!Q65+'[5]Table 2A-2 EFT (Monthly) sep'!Q65+'[5]Table 2A-2 EFT (Monthly)oct'!Q65+'[5]Table 2A-2 EFT (Monthly)oct'!Q65+'[5]Table 2A-2 EFT (Monthly)dec'!Q65+'[5]Table 2A-2 EFT (Monthly)jan'!Q65+'[5]Table 2A-2 EFT (Monthly)feb'!Q65+'[5]Table 2A-2 EFT (Monthly) mar'!Q65+'[5]Table 2A-2 EFT (Monthly)apr'!Q65+'[5]Table 2A-2 EFT (Monthly)'!AT65+'[5]Table 2A-2 EFT (Monthly) mar'!AT65)*-1</f>
        <v>0</v>
      </c>
      <c r="AG66" s="1742">
        <f>('[5]Table 2A-2 EFT (Monthly)'!R65+'[5]Table 2A-2 EFT (Monthly)Aug'!R65+'[5]Table 2A-2 EFT (Monthly) sep'!R65+'[5]Table 2A-2 EFT (Monthly)oct'!R65+'[5]Table 2A-2 EFT (Monthly)oct'!R65+'[5]Table 2A-2 EFT (Monthly)dec'!R65+'[5]Table 2A-2 EFT (Monthly)jan'!R65+'[5]Table 2A-2 EFT (Monthly)feb'!R65+'[5]Table 2A-2 EFT (Monthly) mar'!R65+'[5]Table 2A-2 EFT (Monthly)apr'!R65+'[5]Table 2A-2 EFT (Monthly)'!AU65+'[5]Table 2A-2 EFT (Monthly) mar'!AU65)*-1</f>
        <v>0</v>
      </c>
      <c r="AH66" s="1742">
        <f>('[5]Table 2A-2 EFT (Monthly)'!S65+'[5]Table 2A-2 EFT (Monthly)Aug'!S65+'[5]Table 2A-2 EFT (Monthly) sep'!S65+'[5]Table 2A-2 EFT (Monthly)oct'!S65+'[5]Table 2A-2 EFT (Monthly)oct'!S65+'[5]Table 2A-2 EFT (Monthly)dec'!S65+'[5]Table 2A-2 EFT (Monthly)jan'!S65+'[5]Table 2A-2 EFT (Monthly)feb'!S65+'[5]Table 2A-2 EFT (Monthly) mar'!S65+'[5]Table 2A-2 EFT (Monthly)apr'!S65+'[5]Table 2A-2 EFT (Monthly)'!AV65+'[5]Table 2A-2 EFT (Monthly) mar'!AV65)*-1</f>
        <v>0</v>
      </c>
      <c r="AI66" s="1742">
        <f>('[5]Table 2A-2 EFT (Monthly)'!T65+'[5]Table 2A-2 EFT (Monthly)Aug'!T65+'[5]Table 2A-2 EFT (Monthly) sep'!T65+'[5]Table 2A-2 EFT (Monthly)oct'!T65+'[5]Table 2A-2 EFT (Monthly)oct'!T65+'[5]Table 2A-2 EFT (Monthly)dec'!T65+'[5]Table 2A-2 EFT (Monthly)jan'!T65+'[5]Table 2A-2 EFT (Monthly)feb'!T65+'[5]Table 2A-2 EFT (Monthly) mar'!T65+'[5]Table 2A-2 EFT (Monthly)apr'!T65+'[5]Table 2A-2 EFT (Monthly)'!AW65+'[5]Table 2A-2 EFT (Monthly) mar'!AW65)*-1</f>
        <v>0</v>
      </c>
      <c r="AJ66" s="1742">
        <f>('[5]Table 2A-2 EFT (Monthly)'!U65+'[5]Table 2A-2 EFT (Monthly)Aug'!U65+'[5]Table 2A-2 EFT (Monthly) sep'!U65+'[5]Table 2A-2 EFT (Monthly)oct'!U65+'[5]Table 2A-2 EFT (Monthly)oct'!U65+'[5]Table 2A-2 EFT (Monthly)dec'!U65+'[5]Table 2A-2 EFT (Monthly)jan'!U65+'[5]Table 2A-2 EFT (Monthly)feb'!U65+'[5]Table 2A-2 EFT (Monthly) mar'!U65+'[5]Table 2A-2 EFT (Monthly)apr'!U65+'[5]Table 2A-2 EFT (Monthly)'!AX65+'[5]Table 2A-2 EFT (Monthly) mar'!AX65)*-1</f>
        <v>0</v>
      </c>
      <c r="AK66" s="1742">
        <f>('[5]Table 2A-2 EFT (Monthly)'!V65+'[5]Table 2A-2 EFT (Monthly)Aug'!V65+'[5]Table 2A-2 EFT (Monthly) sep'!V65+'[5]Table 2A-2 EFT (Monthly)oct'!V65+'[5]Table 2A-2 EFT (Monthly)oct'!V65+'[5]Table 2A-2 EFT (Monthly)dec'!V65+'[5]Table 2A-2 EFT (Monthly)jan'!V65+'[5]Table 2A-2 EFT (Monthly)feb'!V65+'[5]Table 2A-2 EFT (Monthly) mar'!V65+'[5]Table 2A-2 EFT (Monthly)apr'!V65+'[5]Table 2A-2 EFT (Monthly)'!AY65+'[5]Table 2A-2 EFT (Monthly) mar'!AY65)*-1</f>
        <v>0</v>
      </c>
      <c r="AL66" s="1742">
        <f>('[5]Table 2A-2 EFT (Monthly)'!W65+'[5]Table 2A-2 EFT (Monthly)Aug'!W65+'[5]Table 2A-2 EFT (Monthly) sep'!W65+'[5]Table 2A-2 EFT (Monthly)oct'!W65+'[5]Table 2A-2 EFT (Monthly)oct'!W65+'[5]Table 2A-2 EFT (Monthly)dec'!W65+'[5]Table 2A-2 EFT (Monthly)jan'!W65+'[5]Table 2A-2 EFT (Monthly)feb'!W65+'[5]Table 2A-2 EFT (Monthly) mar'!W65+'[5]Table 2A-2 EFT (Monthly)apr'!W65+'[5]Table 2A-2 EFT (Monthly)'!AZ65+'[5]Table 2A-2 EFT (Monthly) mar'!AZ65)*-1</f>
        <v>0</v>
      </c>
      <c r="AM66" s="1742">
        <f>('[5]Table 2A-2 EFT (Monthly)'!X65+'[5]Table 2A-2 EFT (Monthly)Aug'!X65+'[5]Table 2A-2 EFT (Monthly) sep'!X65+'[5]Table 2A-2 EFT (Monthly)oct'!X65+'[5]Table 2A-2 EFT (Monthly)oct'!X65+'[5]Table 2A-2 EFT (Monthly)dec'!X65+'[5]Table 2A-2 EFT (Monthly)jan'!X65+'[5]Table 2A-2 EFT (Monthly)feb'!X65+'[5]Table 2A-2 EFT (Monthly) mar'!X65+'[5]Table 2A-2 EFT (Monthly)apr'!X65+'[5]Table 2A-2 EFT (Monthly)'!BA65+'[5]Table 2A-2 EFT (Monthly) mar'!BA65)*-1</f>
        <v>0</v>
      </c>
      <c r="AN66" s="1742">
        <f>('[5]Table 2A-2 EFT (Monthly) sep'!AD65+'[5]Table 2A-2 EFT (Monthly)dec'!AD65+'[5]Table 2A-2 EFT (Monthly)feb'!AD65)*-1</f>
        <v>0</v>
      </c>
      <c r="AO66" s="1742">
        <f t="shared" si="30"/>
        <v>31302</v>
      </c>
      <c r="AP66" s="561">
        <f t="shared" si="31"/>
        <v>5947403.75</v>
      </c>
      <c r="AQ66" s="318">
        <f t="shared" si="32"/>
        <v>2973702</v>
      </c>
      <c r="AR66" s="318">
        <f>'Table 4A Stipends'!G63</f>
        <v>0</v>
      </c>
      <c r="AS66" s="318">
        <f t="shared" si="34"/>
        <v>35088991</v>
      </c>
      <c r="AU66" s="1339">
        <f>('Table 8 2.1.12 MFP Funded'!G63*'Table 3 Levels 1&amp;2'!AP67)+'Table 2_State with Midyear Adjs'!F66</f>
        <v>34948554.589324266</v>
      </c>
      <c r="AV66" s="753">
        <f t="shared" si="35"/>
        <v>140436.41067573428</v>
      </c>
      <c r="AW66" s="280">
        <f t="shared" si="36"/>
        <v>4.0183753613270571E-3</v>
      </c>
    </row>
    <row r="67" spans="1:49">
      <c r="A67" s="101">
        <v>61</v>
      </c>
      <c r="B67" s="299" t="s">
        <v>161</v>
      </c>
      <c r="C67" s="309">
        <f>'Table 3 Levels 1&amp;2'!AO68</f>
        <v>13800872.749416001</v>
      </c>
      <c r="D67" s="354">
        <f>'[2]Adjusted Amounts'!$C67</f>
        <v>10825.019541124777</v>
      </c>
      <c r="E67" s="354">
        <f>'[2]Adjusted Amounts'!$H67</f>
        <v>-39717.822879361614</v>
      </c>
      <c r="F67" s="354">
        <f t="shared" si="22"/>
        <v>-28892.803338236838</v>
      </c>
      <c r="G67" s="309">
        <f t="shared" si="19"/>
        <v>0</v>
      </c>
      <c r="H67" s="354">
        <f t="shared" si="23"/>
        <v>-28892.803338236838</v>
      </c>
      <c r="I67" s="354">
        <f>'[1]Midyear Adjustment Summary'!C65+'[1]Oct midyear Madison Prep'!K67+'[1]Oct midyear DArbonne'!K67+'[1]Oct midyear Intl_VIBE '!K67+'[1]Oct midyear NOMMA'!K67+'[1]Oct midyear LFNO'!K67+'[1]Oct midyear Lake Charles Chtr'!K67+'[1]Oct midyear LA Virtual Admy'!K64+'[1]Oct midyear LA Connections'!K64</f>
        <v>225549.20735568134</v>
      </c>
      <c r="J67" s="354">
        <f>'[1]Midyear Adjustment Summary'!D65+'[1]Feb midyear Madison Prep'!K67+'[1]Feb midyear DArbonne'!K67+'[1]Feb midyear Intl_VIBE '!K67+'[1]Feb midyear NOMMA'!K67+'[1]Feb midyear LFNO '!K67+'[1]Feb midyear Lake Charles Ch'!K67+'[1]Feb midyear LA Virtual Admy'!K64+'[1]Feb midyear LA Connections'!K64</f>
        <v>49363.278080438904</v>
      </c>
      <c r="K67" s="354">
        <f t="shared" si="24"/>
        <v>274912.48543612025</v>
      </c>
      <c r="L67" s="354"/>
      <c r="M67" s="354">
        <f>-'Table 5C1A-Madison Prep'!L67</f>
        <v>-3902.2354213785698</v>
      </c>
      <c r="N67" s="354">
        <f>-'Table 5C1B-DArbonne'!L67</f>
        <v>0</v>
      </c>
      <c r="O67" s="354">
        <f>-'Table 5C1C-Intl_VIBE'!L67</f>
        <v>0</v>
      </c>
      <c r="P67" s="354">
        <f>-'Table 5C1D-NOMMA'!L67</f>
        <v>0</v>
      </c>
      <c r="Q67" s="354">
        <f>-'Table 5C1E-LFNO'!L67</f>
        <v>0</v>
      </c>
      <c r="R67" s="354">
        <f>-'Table 5C1F-Lake Charles Charter'!L67</f>
        <v>0</v>
      </c>
      <c r="S67" s="314">
        <f>-'Table 5C2 - LA Virtual Admy'!M65-'Table 5C2 - LA Virtual Admy'!I65</f>
        <v>-25981.711949649987</v>
      </c>
      <c r="T67" s="314">
        <f>-'Table 5C3 - LA Connections EBR'!M65-'Table 5C3 - LA Connections EBR'!I65</f>
        <v>-36876.124732027485</v>
      </c>
      <c r="U67" s="1692">
        <f t="shared" si="25"/>
        <v>-66760.072103056038</v>
      </c>
      <c r="V67" s="560">
        <f t="shared" si="26"/>
        <v>13980132</v>
      </c>
      <c r="W67" s="560">
        <f>[3]MFP!DT68</f>
        <v>11528768</v>
      </c>
      <c r="X67" s="560">
        <f t="shared" si="27"/>
        <v>0</v>
      </c>
      <c r="Y67" s="560">
        <f>'[4]Table 4B Rewards'!G64</f>
        <v>42269.25</v>
      </c>
      <c r="Z67" s="560">
        <f t="shared" si="28"/>
        <v>11571037.25</v>
      </c>
      <c r="AA67" s="1737">
        <f t="shared" si="29"/>
        <v>2409094.75</v>
      </c>
      <c r="AB67" s="1741">
        <f>('[5]Table 2A-2 EFT (Monthly)'!Z66+'[5]Table 2A-2 EFT (Monthly)Aug'!Z66+'[5]Table 2A-2 EFT (Monthly) sep'!Z66+'[5]Table 2A-2 EFT (Monthly)oct'!Z66+'[5]Table 2A-2 EFT (Monthly)oct'!Z66+'[5]Table 2A-2 EFT (Monthly)dec'!Z66+'[5]Table 2A-2 EFT (Monthly)jan'!Z66+'[5]Table 2A-2 EFT (Monthly)feb'!Z66+'[5]Table 2A-2 EFT (Monthly) mar'!Z66+'[5]Table 2A-2 EFT (Monthly)apr'!Z66)*-1</f>
        <v>864</v>
      </c>
      <c r="AC67" s="1741">
        <f>('[5]Table 2A-2 EFT (Monthly)'!AA66+'[5]Table 2A-2 EFT (Monthly)Aug'!AA66+'[5]Table 2A-2 EFT (Monthly) sep'!AA66+'[5]Table 2A-2 EFT (Monthly)oct'!AA66+'[5]Table 2A-2 EFT (Monthly)oct'!AA66+'[5]Table 2A-2 EFT (Monthly)dec'!AA66+'[5]Table 2A-2 EFT (Monthly)jan'!AA66+'[5]Table 2A-2 EFT (Monthly)feb'!AA66+'[5]Table 2A-2 EFT (Monthly) mar'!AA66+'[5]Table 2A-2 EFT (Monthly)apr'!AA66)*-1</f>
        <v>0</v>
      </c>
      <c r="AD67" s="1741">
        <f>('[5]Table 2A-2 EFT (Monthly)'!AB66+'[5]Table 2A-2 EFT (Monthly)Aug'!AB66+'[5]Table 2A-2 EFT (Monthly) sep'!AB66+'[5]Table 2A-2 EFT (Monthly)oct'!AB66+'[5]Table 2A-2 EFT (Monthly)oct'!AB66+'[5]Table 2A-2 EFT (Monthly)dec'!AB66+'[5]Table 2A-2 EFT (Monthly)jan'!AB66+'[5]Table 2A-2 EFT (Monthly)feb'!AB66+'[5]Table 2A-2 EFT (Monthly) mar'!AB66+'[5]Table 2A-2 EFT (Monthly)apr'!AB66)*-1</f>
        <v>25580</v>
      </c>
      <c r="AE67" s="1741">
        <f>('[5]Table 2A-2 EFT (Monthly)'!AC66+'[5]Table 2A-2 EFT (Monthly)Aug'!AC66+'[5]Table 2A-2 EFT (Monthly) sep'!AC66+'[5]Table 2A-2 EFT (Monthly)oct'!AC66+'[5]Table 2A-2 EFT (Monthly)oct'!AC66+'[5]Table 2A-2 EFT (Monthly)dec'!AC66+'[5]Table 2A-2 EFT (Monthly)jan'!AC66+'[5]Table 2A-2 EFT (Monthly)feb'!AC66+'[5]Table 2A-2 EFT (Monthly) mar'!AC66+'[5]Table 2A-2 EFT (Monthly)apr'!AC66)*-1</f>
        <v>4796</v>
      </c>
      <c r="AF67" s="1741">
        <f>('[5]Table 2A-2 EFT (Monthly)'!Q66+'[5]Table 2A-2 EFT (Monthly)Aug'!Q66+'[5]Table 2A-2 EFT (Monthly) sep'!Q66+'[5]Table 2A-2 EFT (Monthly)oct'!Q66+'[5]Table 2A-2 EFT (Monthly)oct'!Q66+'[5]Table 2A-2 EFT (Monthly)dec'!Q66+'[5]Table 2A-2 EFT (Monthly)jan'!Q66+'[5]Table 2A-2 EFT (Monthly)feb'!Q66+'[5]Table 2A-2 EFT (Monthly) mar'!Q66+'[5]Table 2A-2 EFT (Monthly)apr'!Q66+'[5]Table 2A-2 EFT (Monthly)'!AT66+'[5]Table 2A-2 EFT (Monthly) mar'!AT66)*-1</f>
        <v>0</v>
      </c>
      <c r="AG67" s="1741">
        <f>('[5]Table 2A-2 EFT (Monthly)'!R66+'[5]Table 2A-2 EFT (Monthly)Aug'!R66+'[5]Table 2A-2 EFT (Monthly) sep'!R66+'[5]Table 2A-2 EFT (Monthly)oct'!R66+'[5]Table 2A-2 EFT (Monthly)oct'!R66+'[5]Table 2A-2 EFT (Monthly)dec'!R66+'[5]Table 2A-2 EFT (Monthly)jan'!R66+'[5]Table 2A-2 EFT (Monthly)feb'!R66+'[5]Table 2A-2 EFT (Monthly) mar'!R66+'[5]Table 2A-2 EFT (Monthly)apr'!R66+'[5]Table 2A-2 EFT (Monthly)'!AU66+'[5]Table 2A-2 EFT (Monthly) mar'!AU66)*-1</f>
        <v>0</v>
      </c>
      <c r="AH67" s="1741">
        <f>('[5]Table 2A-2 EFT (Monthly)'!S66+'[5]Table 2A-2 EFT (Monthly)Aug'!S66+'[5]Table 2A-2 EFT (Monthly) sep'!S66+'[5]Table 2A-2 EFT (Monthly)oct'!S66+'[5]Table 2A-2 EFT (Monthly)oct'!S66+'[5]Table 2A-2 EFT (Monthly)dec'!S66+'[5]Table 2A-2 EFT (Monthly)jan'!S66+'[5]Table 2A-2 EFT (Monthly)feb'!S66+'[5]Table 2A-2 EFT (Monthly) mar'!S66+'[5]Table 2A-2 EFT (Monthly)apr'!S66+'[5]Table 2A-2 EFT (Monthly)'!AV66+'[5]Table 2A-2 EFT (Monthly) mar'!AV66)*-1</f>
        <v>0</v>
      </c>
      <c r="AI67" s="1741">
        <f>('[5]Table 2A-2 EFT (Monthly)'!T66+'[5]Table 2A-2 EFT (Monthly)Aug'!T66+'[5]Table 2A-2 EFT (Monthly) sep'!T66+'[5]Table 2A-2 EFT (Monthly)oct'!T66+'[5]Table 2A-2 EFT (Monthly)oct'!T66+'[5]Table 2A-2 EFT (Monthly)dec'!T66+'[5]Table 2A-2 EFT (Monthly)jan'!T66+'[5]Table 2A-2 EFT (Monthly)feb'!T66+'[5]Table 2A-2 EFT (Monthly) mar'!T66+'[5]Table 2A-2 EFT (Monthly)apr'!T66+'[5]Table 2A-2 EFT (Monthly)'!AW66+'[5]Table 2A-2 EFT (Monthly) mar'!AW66)*-1</f>
        <v>0</v>
      </c>
      <c r="AJ67" s="1741">
        <f>('[5]Table 2A-2 EFT (Monthly)'!U66+'[5]Table 2A-2 EFT (Monthly)Aug'!U66+'[5]Table 2A-2 EFT (Monthly) sep'!U66+'[5]Table 2A-2 EFT (Monthly)oct'!U66+'[5]Table 2A-2 EFT (Monthly)oct'!U66+'[5]Table 2A-2 EFT (Monthly)dec'!U66+'[5]Table 2A-2 EFT (Monthly)jan'!U66+'[5]Table 2A-2 EFT (Monthly)feb'!U66+'[5]Table 2A-2 EFT (Monthly) mar'!U66+'[5]Table 2A-2 EFT (Monthly)apr'!U66+'[5]Table 2A-2 EFT (Monthly)'!AX66+'[5]Table 2A-2 EFT (Monthly) mar'!AX66)*-1</f>
        <v>0</v>
      </c>
      <c r="AK67" s="1741">
        <f>('[5]Table 2A-2 EFT (Monthly)'!V66+'[5]Table 2A-2 EFT (Monthly)Aug'!V66+'[5]Table 2A-2 EFT (Monthly) sep'!V66+'[5]Table 2A-2 EFT (Monthly)oct'!V66+'[5]Table 2A-2 EFT (Monthly)oct'!V66+'[5]Table 2A-2 EFT (Monthly)dec'!V66+'[5]Table 2A-2 EFT (Monthly)jan'!V66+'[5]Table 2A-2 EFT (Monthly)feb'!V66+'[5]Table 2A-2 EFT (Monthly) mar'!V66+'[5]Table 2A-2 EFT (Monthly)apr'!V66+'[5]Table 2A-2 EFT (Monthly)'!AY66+'[5]Table 2A-2 EFT (Monthly) mar'!AY66)*-1</f>
        <v>0</v>
      </c>
      <c r="AL67" s="1741">
        <f>('[5]Table 2A-2 EFT (Monthly)'!W66+'[5]Table 2A-2 EFT (Monthly)Aug'!W66+'[5]Table 2A-2 EFT (Monthly) sep'!W66+'[5]Table 2A-2 EFT (Monthly)oct'!W66+'[5]Table 2A-2 EFT (Monthly)oct'!W66+'[5]Table 2A-2 EFT (Monthly)dec'!W66+'[5]Table 2A-2 EFT (Monthly)jan'!W66+'[5]Table 2A-2 EFT (Monthly)feb'!W66+'[5]Table 2A-2 EFT (Monthly) mar'!W66+'[5]Table 2A-2 EFT (Monthly)apr'!W66+'[5]Table 2A-2 EFT (Monthly)'!AZ66+'[5]Table 2A-2 EFT (Monthly) mar'!AZ66)*-1</f>
        <v>0</v>
      </c>
      <c r="AM67" s="1741">
        <f>('[5]Table 2A-2 EFT (Monthly)'!X66+'[5]Table 2A-2 EFT (Monthly)Aug'!X66+'[5]Table 2A-2 EFT (Monthly) sep'!X66+'[5]Table 2A-2 EFT (Monthly)oct'!X66+'[5]Table 2A-2 EFT (Monthly)oct'!X66+'[5]Table 2A-2 EFT (Monthly)dec'!X66+'[5]Table 2A-2 EFT (Monthly)jan'!X66+'[5]Table 2A-2 EFT (Monthly)feb'!X66+'[5]Table 2A-2 EFT (Monthly) mar'!X66+'[5]Table 2A-2 EFT (Monthly)apr'!X66+'[5]Table 2A-2 EFT (Monthly)'!BA66+'[5]Table 2A-2 EFT (Monthly) mar'!BA66)*-1</f>
        <v>0</v>
      </c>
      <c r="AN67" s="1741">
        <f>('[5]Table 2A-2 EFT (Monthly) sep'!AD66+'[5]Table 2A-2 EFT (Monthly)dec'!AD66+'[5]Table 2A-2 EFT (Monthly)feb'!AD66)*-1</f>
        <v>26517.913244984386</v>
      </c>
      <c r="AO67" s="1741">
        <f t="shared" si="30"/>
        <v>57757.913244984389</v>
      </c>
      <c r="AP67" s="560">
        <f t="shared" si="31"/>
        <v>2466852.6632449846</v>
      </c>
      <c r="AQ67" s="309">
        <f t="shared" si="32"/>
        <v>1233426</v>
      </c>
      <c r="AR67" s="309">
        <f>'Table 4A Stipends'!G64</f>
        <v>0</v>
      </c>
      <c r="AS67" s="309">
        <f t="shared" si="34"/>
        <v>13980132</v>
      </c>
      <c r="AU67" s="1339">
        <f>('Table 8 2.1.12 MFP Funded'!G64*'Table 3 Levels 1&amp;2'!AP68)+'Table 2_State with Midyear Adjs'!F67</f>
        <v>13709550.213538704</v>
      </c>
      <c r="AV67" s="753">
        <f t="shared" si="35"/>
        <v>270581.78646129556</v>
      </c>
      <c r="AW67" s="280">
        <f t="shared" si="36"/>
        <v>1.9736736964140932E-2</v>
      </c>
    </row>
    <row r="68" spans="1:49">
      <c r="A68" s="101">
        <v>62</v>
      </c>
      <c r="B68" s="299" t="s">
        <v>162</v>
      </c>
      <c r="C68" s="309">
        <f>'Table 3 Levels 1&amp;2'!AO69</f>
        <v>12795372.422247998</v>
      </c>
      <c r="D68" s="354">
        <f>'[2]Adjusted Amounts'!$C68</f>
        <v>3028.0577891186276</v>
      </c>
      <c r="E68" s="354">
        <f>'[2]Adjusted Amounts'!$H68</f>
        <v>-2210.5149423134189</v>
      </c>
      <c r="F68" s="354">
        <f t="shared" si="22"/>
        <v>817.54284680520868</v>
      </c>
      <c r="G68" s="309">
        <f t="shared" si="19"/>
        <v>817.54284680520868</v>
      </c>
      <c r="H68" s="354">
        <f t="shared" si="23"/>
        <v>0</v>
      </c>
      <c r="I68" s="354">
        <f>'[1]Midyear Adjustment Summary'!C66+'[1]Oct midyear Madison Prep'!K68+'[1]Oct midyear DArbonne'!K68+'[1]Oct midyear Intl_VIBE '!K68+'[1]Oct midyear NOMMA'!K68+'[1]Oct midyear LFNO'!K68+'[1]Oct midyear Lake Charles Chtr'!K68+'[1]Oct midyear LA Virtual Admy'!K65+'[1]Oct midyear LA Connections'!K65</f>
        <v>47526.244057492571</v>
      </c>
      <c r="J68" s="354">
        <f>'[1]Midyear Adjustment Summary'!D66+'[1]Feb midyear Madison Prep'!K68+'[1]Feb midyear DArbonne'!K68+'[1]Feb midyear Intl_VIBE '!K68+'[1]Feb midyear NOMMA'!K68+'[1]Feb midyear LFNO '!K68+'[1]Feb midyear Lake Charles Ch'!K68+'[1]Feb midyear LA Virtual Admy'!K65+'[1]Feb midyear LA Connections'!K65</f>
        <v>-8225.6960868737133</v>
      </c>
      <c r="K68" s="354">
        <f t="shared" si="24"/>
        <v>39300.547970618856</v>
      </c>
      <c r="L68" s="354"/>
      <c r="M68" s="354">
        <f>-'Table 5C1A-Madison Prep'!L68</f>
        <v>0</v>
      </c>
      <c r="N68" s="354">
        <f>-'Table 5C1B-DArbonne'!L68</f>
        <v>0</v>
      </c>
      <c r="O68" s="354">
        <f>-'Table 5C1C-Intl_VIBE'!L68</f>
        <v>0</v>
      </c>
      <c r="P68" s="354">
        <f>-'Table 5C1D-NOMMA'!L68</f>
        <v>0</v>
      </c>
      <c r="Q68" s="354">
        <f>-'Table 5C1E-LFNO'!L68</f>
        <v>0</v>
      </c>
      <c r="R68" s="354">
        <f>-'Table 5C1F-Lake Charles Charter'!L68</f>
        <v>0</v>
      </c>
      <c r="S68" s="314">
        <f>-'Table 5C2 - LA Virtual Admy'!M66-'Table 5C2 - LA Virtual Admy'!I66</f>
        <v>-14267.196299372759</v>
      </c>
      <c r="T68" s="314">
        <f>-'Table 5C3 - LA Connections EBR'!M66-'Table 5C3 - LA Connections EBR'!I66</f>
        <v>-6599.2030337489514</v>
      </c>
      <c r="U68" s="1692">
        <f t="shared" si="25"/>
        <v>-20866.39933312171</v>
      </c>
      <c r="V68" s="560">
        <f t="shared" si="26"/>
        <v>12814624</v>
      </c>
      <c r="W68" s="560">
        <f>[3]MFP!DT69</f>
        <v>10644862</v>
      </c>
      <c r="X68" s="560">
        <f t="shared" si="27"/>
        <v>0</v>
      </c>
      <c r="Y68" s="560">
        <f>'[4]Table 4B Rewards'!G65</f>
        <v>16907.7</v>
      </c>
      <c r="Z68" s="560">
        <f t="shared" si="28"/>
        <v>10661769.699999999</v>
      </c>
      <c r="AA68" s="1737">
        <f t="shared" si="29"/>
        <v>2152854.3000000007</v>
      </c>
      <c r="AB68" s="1741">
        <f>('[5]Table 2A-2 EFT (Monthly)'!Z67+'[5]Table 2A-2 EFT (Monthly)Aug'!Z67+'[5]Table 2A-2 EFT (Monthly) sep'!Z67+'[5]Table 2A-2 EFT (Monthly)oct'!Z67+'[5]Table 2A-2 EFT (Monthly)oct'!Z67+'[5]Table 2A-2 EFT (Monthly)dec'!Z67+'[5]Table 2A-2 EFT (Monthly)jan'!Z67+'[5]Table 2A-2 EFT (Monthly)feb'!Z67+'[5]Table 2A-2 EFT (Monthly) mar'!Z67+'[5]Table 2A-2 EFT (Monthly)apr'!Z67)*-1</f>
        <v>0</v>
      </c>
      <c r="AC68" s="1741">
        <f>('[5]Table 2A-2 EFT (Monthly)'!AA67+'[5]Table 2A-2 EFT (Monthly)Aug'!AA67+'[5]Table 2A-2 EFT (Monthly) sep'!AA67+'[5]Table 2A-2 EFT (Monthly)oct'!AA67+'[5]Table 2A-2 EFT (Monthly)oct'!AA67+'[5]Table 2A-2 EFT (Monthly)dec'!AA67+'[5]Table 2A-2 EFT (Monthly)jan'!AA67+'[5]Table 2A-2 EFT (Monthly)feb'!AA67+'[5]Table 2A-2 EFT (Monthly) mar'!AA67+'[5]Table 2A-2 EFT (Monthly)apr'!AA67)*-1</f>
        <v>0</v>
      </c>
      <c r="AD68" s="1741">
        <f>('[5]Table 2A-2 EFT (Monthly)'!AB67+'[5]Table 2A-2 EFT (Monthly)Aug'!AB67+'[5]Table 2A-2 EFT (Monthly) sep'!AB67+'[5]Table 2A-2 EFT (Monthly)oct'!AB67+'[5]Table 2A-2 EFT (Monthly)oct'!AB67+'[5]Table 2A-2 EFT (Monthly)dec'!AB67+'[5]Table 2A-2 EFT (Monthly)jan'!AB67+'[5]Table 2A-2 EFT (Monthly)feb'!AB67+'[5]Table 2A-2 EFT (Monthly) mar'!AB67+'[5]Table 2A-2 EFT (Monthly)apr'!AB67)*-1</f>
        <v>1270</v>
      </c>
      <c r="AE68" s="1741">
        <f>('[5]Table 2A-2 EFT (Monthly)'!AC67+'[5]Table 2A-2 EFT (Monthly)Aug'!AC67+'[5]Table 2A-2 EFT (Monthly) sep'!AC67+'[5]Table 2A-2 EFT (Monthly)oct'!AC67+'[5]Table 2A-2 EFT (Monthly)oct'!AC67+'[5]Table 2A-2 EFT (Monthly)dec'!AC67+'[5]Table 2A-2 EFT (Monthly)jan'!AC67+'[5]Table 2A-2 EFT (Monthly)feb'!AC67+'[5]Table 2A-2 EFT (Monthly) mar'!AC67+'[5]Table 2A-2 EFT (Monthly)apr'!AC67)*-1</f>
        <v>1552</v>
      </c>
      <c r="AF68" s="1741">
        <f>('[5]Table 2A-2 EFT (Monthly)'!Q67+'[5]Table 2A-2 EFT (Monthly)Aug'!Q67+'[5]Table 2A-2 EFT (Monthly) sep'!Q67+'[5]Table 2A-2 EFT (Monthly)oct'!Q67+'[5]Table 2A-2 EFT (Monthly)oct'!Q67+'[5]Table 2A-2 EFT (Monthly)dec'!Q67+'[5]Table 2A-2 EFT (Monthly)jan'!Q67+'[5]Table 2A-2 EFT (Monthly)feb'!Q67+'[5]Table 2A-2 EFT (Monthly) mar'!Q67+'[5]Table 2A-2 EFT (Monthly)apr'!Q67+'[5]Table 2A-2 EFT (Monthly)'!AT67+'[5]Table 2A-2 EFT (Monthly) mar'!AT67)*-1</f>
        <v>0</v>
      </c>
      <c r="AG68" s="1741">
        <f>('[5]Table 2A-2 EFT (Monthly)'!R67+'[5]Table 2A-2 EFT (Monthly)Aug'!R67+'[5]Table 2A-2 EFT (Monthly) sep'!R67+'[5]Table 2A-2 EFT (Monthly)oct'!R67+'[5]Table 2A-2 EFT (Monthly)oct'!R67+'[5]Table 2A-2 EFT (Monthly)dec'!R67+'[5]Table 2A-2 EFT (Monthly)jan'!R67+'[5]Table 2A-2 EFT (Monthly)feb'!R67+'[5]Table 2A-2 EFT (Monthly) mar'!R67+'[5]Table 2A-2 EFT (Monthly)apr'!R67+'[5]Table 2A-2 EFT (Monthly)'!AU67+'[5]Table 2A-2 EFT (Monthly) mar'!AU67)*-1</f>
        <v>0</v>
      </c>
      <c r="AH68" s="1741">
        <f>('[5]Table 2A-2 EFT (Monthly)'!S67+'[5]Table 2A-2 EFT (Monthly)Aug'!S67+'[5]Table 2A-2 EFT (Monthly) sep'!S67+'[5]Table 2A-2 EFT (Monthly)oct'!S67+'[5]Table 2A-2 EFT (Monthly)oct'!S67+'[5]Table 2A-2 EFT (Monthly)dec'!S67+'[5]Table 2A-2 EFT (Monthly)jan'!S67+'[5]Table 2A-2 EFT (Monthly)feb'!S67+'[5]Table 2A-2 EFT (Monthly) mar'!S67+'[5]Table 2A-2 EFT (Monthly)apr'!S67+'[5]Table 2A-2 EFT (Monthly)'!AV67+'[5]Table 2A-2 EFT (Monthly) mar'!AV67)*-1</f>
        <v>0</v>
      </c>
      <c r="AI68" s="1741">
        <f>('[5]Table 2A-2 EFT (Monthly)'!T67+'[5]Table 2A-2 EFT (Monthly)Aug'!T67+'[5]Table 2A-2 EFT (Monthly) sep'!T67+'[5]Table 2A-2 EFT (Monthly)oct'!T67+'[5]Table 2A-2 EFT (Monthly)oct'!T67+'[5]Table 2A-2 EFT (Monthly)dec'!T67+'[5]Table 2A-2 EFT (Monthly)jan'!T67+'[5]Table 2A-2 EFT (Monthly)feb'!T67+'[5]Table 2A-2 EFT (Monthly) mar'!T67+'[5]Table 2A-2 EFT (Monthly)apr'!T67+'[5]Table 2A-2 EFT (Monthly)'!AW67+'[5]Table 2A-2 EFT (Monthly) mar'!AW67)*-1</f>
        <v>0</v>
      </c>
      <c r="AJ68" s="1741">
        <f>('[5]Table 2A-2 EFT (Monthly)'!U67+'[5]Table 2A-2 EFT (Monthly)Aug'!U67+'[5]Table 2A-2 EFT (Monthly) sep'!U67+'[5]Table 2A-2 EFT (Monthly)oct'!U67+'[5]Table 2A-2 EFT (Monthly)oct'!U67+'[5]Table 2A-2 EFT (Monthly)dec'!U67+'[5]Table 2A-2 EFT (Monthly)jan'!U67+'[5]Table 2A-2 EFT (Monthly)feb'!U67+'[5]Table 2A-2 EFT (Monthly) mar'!U67+'[5]Table 2A-2 EFT (Monthly)apr'!U67+'[5]Table 2A-2 EFT (Monthly)'!AX67+'[5]Table 2A-2 EFT (Monthly) mar'!AX67)*-1</f>
        <v>48947.86</v>
      </c>
      <c r="AK68" s="1741">
        <f>('[5]Table 2A-2 EFT (Monthly)'!V67+'[5]Table 2A-2 EFT (Monthly)Aug'!V67+'[5]Table 2A-2 EFT (Monthly) sep'!V67+'[5]Table 2A-2 EFT (Monthly)oct'!V67+'[5]Table 2A-2 EFT (Monthly)oct'!V67+'[5]Table 2A-2 EFT (Monthly)dec'!V67+'[5]Table 2A-2 EFT (Monthly)jan'!V67+'[5]Table 2A-2 EFT (Monthly)feb'!V67+'[5]Table 2A-2 EFT (Monthly) mar'!V67+'[5]Table 2A-2 EFT (Monthly)apr'!V67+'[5]Table 2A-2 EFT (Monthly)'!AY67+'[5]Table 2A-2 EFT (Monthly) mar'!AY67)*-1</f>
        <v>0</v>
      </c>
      <c r="AL68" s="1741">
        <f>('[5]Table 2A-2 EFT (Monthly)'!W67+'[5]Table 2A-2 EFT (Monthly)Aug'!W67+'[5]Table 2A-2 EFT (Monthly) sep'!W67+'[5]Table 2A-2 EFT (Monthly)oct'!W67+'[5]Table 2A-2 EFT (Monthly)oct'!W67+'[5]Table 2A-2 EFT (Monthly)dec'!W67+'[5]Table 2A-2 EFT (Monthly)jan'!W67+'[5]Table 2A-2 EFT (Monthly)feb'!W67+'[5]Table 2A-2 EFT (Monthly) mar'!W67+'[5]Table 2A-2 EFT (Monthly)apr'!W67+'[5]Table 2A-2 EFT (Monthly)'!AZ67+'[5]Table 2A-2 EFT (Monthly) mar'!AZ67)*-1</f>
        <v>0</v>
      </c>
      <c r="AM68" s="1741">
        <f>('[5]Table 2A-2 EFT (Monthly)'!X67+'[5]Table 2A-2 EFT (Monthly)Aug'!X67+'[5]Table 2A-2 EFT (Monthly) sep'!X67+'[5]Table 2A-2 EFT (Monthly)oct'!X67+'[5]Table 2A-2 EFT (Monthly)oct'!X67+'[5]Table 2A-2 EFT (Monthly)dec'!X67+'[5]Table 2A-2 EFT (Monthly)jan'!X67+'[5]Table 2A-2 EFT (Monthly)feb'!X67+'[5]Table 2A-2 EFT (Monthly) mar'!X67+'[5]Table 2A-2 EFT (Monthly)apr'!X67+'[5]Table 2A-2 EFT (Monthly)'!BA67+'[5]Table 2A-2 EFT (Monthly) mar'!BA67)*-1</f>
        <v>0</v>
      </c>
      <c r="AN68" s="1741">
        <f>('[5]Table 2A-2 EFT (Monthly) sep'!AD67+'[5]Table 2A-2 EFT (Monthly)dec'!AD67+'[5]Table 2A-2 EFT (Monthly)feb'!AD67)*-1</f>
        <v>0</v>
      </c>
      <c r="AO68" s="1741">
        <f t="shared" si="30"/>
        <v>51769.86</v>
      </c>
      <c r="AP68" s="560">
        <f t="shared" si="31"/>
        <v>2204624.1600000006</v>
      </c>
      <c r="AQ68" s="309">
        <f t="shared" si="32"/>
        <v>1102312</v>
      </c>
      <c r="AR68" s="309">
        <f>'Table 4A Stipends'!G65</f>
        <v>0</v>
      </c>
      <c r="AS68" s="309">
        <f t="shared" si="34"/>
        <v>12814624</v>
      </c>
      <c r="AU68" s="1339">
        <f>('Table 8 2.1.12 MFP Funded'!G65*'Table 3 Levels 1&amp;2'!AP69)+'Table 2_State with Midyear Adjs'!F68</f>
        <v>12777910.861634448</v>
      </c>
      <c r="AV68" s="753">
        <f t="shared" si="35"/>
        <v>36713.138365551829</v>
      </c>
      <c r="AW68" s="280">
        <f t="shared" si="36"/>
        <v>2.8731722081254039E-3</v>
      </c>
    </row>
    <row r="69" spans="1:49">
      <c r="A69" s="101">
        <v>63</v>
      </c>
      <c r="B69" s="299" t="s">
        <v>163</v>
      </c>
      <c r="C69" s="309">
        <f>'Table 3 Levels 1&amp;2'!AO70</f>
        <v>10543797.270819999</v>
      </c>
      <c r="D69" s="354">
        <f>'[2]Adjusted Amounts'!$C69</f>
        <v>0</v>
      </c>
      <c r="E69" s="354">
        <f>'[2]Adjusted Amounts'!$H69</f>
        <v>-4463.0998398284391</v>
      </c>
      <c r="F69" s="354">
        <f t="shared" si="22"/>
        <v>-4463.0998398284391</v>
      </c>
      <c r="G69" s="309">
        <f t="shared" si="19"/>
        <v>0</v>
      </c>
      <c r="H69" s="354">
        <f t="shared" si="23"/>
        <v>-4463.0998398284391</v>
      </c>
      <c r="I69" s="354">
        <f>'[1]Midyear Adjustment Summary'!C67+'[1]Oct midyear Madison Prep'!K69+'[1]Oct midyear DArbonne'!K69+'[1]Oct midyear Intl_VIBE '!K69+'[1]Oct midyear NOMMA'!K69+'[1]Oct midyear LFNO'!K69+'[1]Oct midyear Lake Charles Chtr'!K69+'[1]Oct midyear LA Virtual Admy'!K66+'[1]Oct midyear LA Connections'!K66</f>
        <v>-147225.53500141986</v>
      </c>
      <c r="J69" s="354">
        <f>'[1]Midyear Adjustment Summary'!D67+'[1]Feb midyear Madison Prep'!K69+'[1]Feb midyear DArbonne'!K69+'[1]Feb midyear Intl_VIBE '!K69+'[1]Feb midyear NOMMA'!K69+'[1]Feb midyear LFNO '!K69+'[1]Feb midyear Lake Charles Ch'!K69+'[1]Feb midyear LA Virtual Admy'!K66+'[1]Feb midyear LA Connections'!K66</f>
        <v>85276.762351174533</v>
      </c>
      <c r="K69" s="354">
        <f t="shared" si="24"/>
        <v>-61948.77265024533</v>
      </c>
      <c r="L69" s="354"/>
      <c r="M69" s="354">
        <f>-'Table 5C1A-Madison Prep'!L69</f>
        <v>0</v>
      </c>
      <c r="N69" s="354">
        <f>-'Table 5C1B-DArbonne'!L69</f>
        <v>0</v>
      </c>
      <c r="O69" s="354">
        <f>-'Table 5C1C-Intl_VIBE'!L69</f>
        <v>0</v>
      </c>
      <c r="P69" s="354">
        <f>-'Table 5C1D-NOMMA'!L69</f>
        <v>0</v>
      </c>
      <c r="Q69" s="354">
        <f>-'Table 5C1E-LFNO'!L69</f>
        <v>0</v>
      </c>
      <c r="R69" s="354">
        <f>-'Table 5C1F-Lake Charles Charter'!L69</f>
        <v>0</v>
      </c>
      <c r="S69" s="314">
        <f>-'Table 5C2 - LA Virtual Admy'!M67-'Table 5C2 - LA Virtual Admy'!I67</f>
        <v>0</v>
      </c>
      <c r="T69" s="314">
        <f>-'Table 5C3 - LA Connections EBR'!M67-'Table 5C3 - LA Connections EBR'!I67</f>
        <v>-4989.1235968834817</v>
      </c>
      <c r="U69" s="1692">
        <f t="shared" si="25"/>
        <v>-4989.1235968834817</v>
      </c>
      <c r="V69" s="560">
        <f t="shared" si="26"/>
        <v>10472396</v>
      </c>
      <c r="W69" s="560">
        <f>[3]MFP!DT70</f>
        <v>8716739</v>
      </c>
      <c r="X69" s="560">
        <f t="shared" si="27"/>
        <v>0</v>
      </c>
      <c r="Y69" s="560">
        <f>'[4]Table 4B Rewards'!G66</f>
        <v>33815.4</v>
      </c>
      <c r="Z69" s="560">
        <f t="shared" si="28"/>
        <v>8750554.4000000004</v>
      </c>
      <c r="AA69" s="1737">
        <f t="shared" si="29"/>
        <v>1721841.5999999996</v>
      </c>
      <c r="AB69" s="1741">
        <f>('[5]Table 2A-2 EFT (Monthly)'!Z68+'[5]Table 2A-2 EFT (Monthly)Aug'!Z68+'[5]Table 2A-2 EFT (Monthly) sep'!Z68+'[5]Table 2A-2 EFT (Monthly)oct'!Z68+'[5]Table 2A-2 EFT (Monthly)oct'!Z68+'[5]Table 2A-2 EFT (Monthly)dec'!Z68+'[5]Table 2A-2 EFT (Monthly)jan'!Z68+'[5]Table 2A-2 EFT (Monthly)feb'!Z68+'[5]Table 2A-2 EFT (Monthly) mar'!Z68+'[5]Table 2A-2 EFT (Monthly)apr'!Z68)*-1</f>
        <v>5704</v>
      </c>
      <c r="AC69" s="1741">
        <f>('[5]Table 2A-2 EFT (Monthly)'!AA68+'[5]Table 2A-2 EFT (Monthly)Aug'!AA68+'[5]Table 2A-2 EFT (Monthly) sep'!AA68+'[5]Table 2A-2 EFT (Monthly)oct'!AA68+'[5]Table 2A-2 EFT (Monthly)oct'!AA68+'[5]Table 2A-2 EFT (Monthly)dec'!AA68+'[5]Table 2A-2 EFT (Monthly)jan'!AA68+'[5]Table 2A-2 EFT (Monthly)feb'!AA68+'[5]Table 2A-2 EFT (Monthly) mar'!AA68+'[5]Table 2A-2 EFT (Monthly)apr'!AA68)*-1</f>
        <v>0</v>
      </c>
      <c r="AD69" s="1741">
        <f>('[5]Table 2A-2 EFT (Monthly)'!AB68+'[5]Table 2A-2 EFT (Monthly)Aug'!AB68+'[5]Table 2A-2 EFT (Monthly) sep'!AB68+'[5]Table 2A-2 EFT (Monthly)oct'!AB68+'[5]Table 2A-2 EFT (Monthly)oct'!AB68+'[5]Table 2A-2 EFT (Monthly)dec'!AB68+'[5]Table 2A-2 EFT (Monthly)jan'!AB68+'[5]Table 2A-2 EFT (Monthly)feb'!AB68+'[5]Table 2A-2 EFT (Monthly) mar'!AB68+'[5]Table 2A-2 EFT (Monthly)apr'!AB68)*-1</f>
        <v>4168</v>
      </c>
      <c r="AE69" s="1741">
        <f>('[5]Table 2A-2 EFT (Monthly)'!AC68+'[5]Table 2A-2 EFT (Monthly)Aug'!AC68+'[5]Table 2A-2 EFT (Monthly) sep'!AC68+'[5]Table 2A-2 EFT (Monthly)oct'!AC68+'[5]Table 2A-2 EFT (Monthly)oct'!AC68+'[5]Table 2A-2 EFT (Monthly)dec'!AC68+'[5]Table 2A-2 EFT (Monthly)jan'!AC68+'[5]Table 2A-2 EFT (Monthly)feb'!AC68+'[5]Table 2A-2 EFT (Monthly) mar'!AC68+'[5]Table 2A-2 EFT (Monthly)apr'!AC68)*-1</f>
        <v>2918</v>
      </c>
      <c r="AF69" s="1741">
        <f>('[5]Table 2A-2 EFT (Monthly)'!Q68+'[5]Table 2A-2 EFT (Monthly)Aug'!Q68+'[5]Table 2A-2 EFT (Monthly) sep'!Q68+'[5]Table 2A-2 EFT (Monthly)oct'!Q68+'[5]Table 2A-2 EFT (Monthly)oct'!Q68+'[5]Table 2A-2 EFT (Monthly)dec'!Q68+'[5]Table 2A-2 EFT (Monthly)jan'!Q68+'[5]Table 2A-2 EFT (Monthly)feb'!Q68+'[5]Table 2A-2 EFT (Monthly) mar'!Q68+'[5]Table 2A-2 EFT (Monthly)apr'!Q68+'[5]Table 2A-2 EFT (Monthly)'!AT68+'[5]Table 2A-2 EFT (Monthly) mar'!AT68)*-1</f>
        <v>0</v>
      </c>
      <c r="AG69" s="1741">
        <f>('[5]Table 2A-2 EFT (Monthly)'!R68+'[5]Table 2A-2 EFT (Monthly)Aug'!R68+'[5]Table 2A-2 EFT (Monthly) sep'!R68+'[5]Table 2A-2 EFT (Monthly)oct'!R68+'[5]Table 2A-2 EFT (Monthly)oct'!R68+'[5]Table 2A-2 EFT (Monthly)dec'!R68+'[5]Table 2A-2 EFT (Monthly)jan'!R68+'[5]Table 2A-2 EFT (Monthly)feb'!R68+'[5]Table 2A-2 EFT (Monthly) mar'!R68+'[5]Table 2A-2 EFT (Monthly)apr'!R68+'[5]Table 2A-2 EFT (Monthly)'!AU68+'[5]Table 2A-2 EFT (Monthly) mar'!AU68)*-1</f>
        <v>0</v>
      </c>
      <c r="AH69" s="1741">
        <f>('[5]Table 2A-2 EFT (Monthly)'!S68+'[5]Table 2A-2 EFT (Monthly)Aug'!S68+'[5]Table 2A-2 EFT (Monthly) sep'!S68+'[5]Table 2A-2 EFT (Monthly)oct'!S68+'[5]Table 2A-2 EFT (Monthly)oct'!S68+'[5]Table 2A-2 EFT (Monthly)dec'!S68+'[5]Table 2A-2 EFT (Monthly)jan'!S68+'[5]Table 2A-2 EFT (Monthly)feb'!S68+'[5]Table 2A-2 EFT (Monthly) mar'!S68+'[5]Table 2A-2 EFT (Monthly)apr'!S68+'[5]Table 2A-2 EFT (Monthly)'!AV68+'[5]Table 2A-2 EFT (Monthly) mar'!AV68)*-1</f>
        <v>0</v>
      </c>
      <c r="AI69" s="1741">
        <f>('[5]Table 2A-2 EFT (Monthly)'!T68+'[5]Table 2A-2 EFT (Monthly)Aug'!T68+'[5]Table 2A-2 EFT (Monthly) sep'!T68+'[5]Table 2A-2 EFT (Monthly)oct'!T68+'[5]Table 2A-2 EFT (Monthly)oct'!T68+'[5]Table 2A-2 EFT (Monthly)dec'!T68+'[5]Table 2A-2 EFT (Monthly)jan'!T68+'[5]Table 2A-2 EFT (Monthly)feb'!T68+'[5]Table 2A-2 EFT (Monthly) mar'!T68+'[5]Table 2A-2 EFT (Monthly)apr'!T68+'[5]Table 2A-2 EFT (Monthly)'!AW68+'[5]Table 2A-2 EFT (Monthly) mar'!AW68)*-1</f>
        <v>0</v>
      </c>
      <c r="AJ69" s="1741">
        <f>('[5]Table 2A-2 EFT (Monthly)'!U68+'[5]Table 2A-2 EFT (Monthly)Aug'!U68+'[5]Table 2A-2 EFT (Monthly) sep'!U68+'[5]Table 2A-2 EFT (Monthly)oct'!U68+'[5]Table 2A-2 EFT (Monthly)oct'!U68+'[5]Table 2A-2 EFT (Monthly)dec'!U68+'[5]Table 2A-2 EFT (Monthly)jan'!U68+'[5]Table 2A-2 EFT (Monthly)feb'!U68+'[5]Table 2A-2 EFT (Monthly) mar'!U68+'[5]Table 2A-2 EFT (Monthly)apr'!U68+'[5]Table 2A-2 EFT (Monthly)'!AX68+'[5]Table 2A-2 EFT (Monthly) mar'!AX68)*-1</f>
        <v>0</v>
      </c>
      <c r="AK69" s="1741">
        <f>('[5]Table 2A-2 EFT (Monthly)'!V68+'[5]Table 2A-2 EFT (Monthly)Aug'!V68+'[5]Table 2A-2 EFT (Monthly) sep'!V68+'[5]Table 2A-2 EFT (Monthly)oct'!V68+'[5]Table 2A-2 EFT (Monthly)oct'!V68+'[5]Table 2A-2 EFT (Monthly)dec'!V68+'[5]Table 2A-2 EFT (Monthly)jan'!V68+'[5]Table 2A-2 EFT (Monthly)feb'!V68+'[5]Table 2A-2 EFT (Monthly) mar'!V68+'[5]Table 2A-2 EFT (Monthly)apr'!V68+'[5]Table 2A-2 EFT (Monthly)'!AY68+'[5]Table 2A-2 EFT (Monthly) mar'!AY68)*-1</f>
        <v>0</v>
      </c>
      <c r="AL69" s="1741">
        <f>('[5]Table 2A-2 EFT (Monthly)'!W68+'[5]Table 2A-2 EFT (Monthly)Aug'!W68+'[5]Table 2A-2 EFT (Monthly) sep'!W68+'[5]Table 2A-2 EFT (Monthly)oct'!W68+'[5]Table 2A-2 EFT (Monthly)oct'!W68+'[5]Table 2A-2 EFT (Monthly)dec'!W68+'[5]Table 2A-2 EFT (Monthly)jan'!W68+'[5]Table 2A-2 EFT (Monthly)feb'!W68+'[5]Table 2A-2 EFT (Monthly) mar'!W68+'[5]Table 2A-2 EFT (Monthly)apr'!W68+'[5]Table 2A-2 EFT (Monthly)'!AZ68+'[5]Table 2A-2 EFT (Monthly) mar'!AZ68)*-1</f>
        <v>0</v>
      </c>
      <c r="AM69" s="1741">
        <f>('[5]Table 2A-2 EFT (Monthly)'!X68+'[5]Table 2A-2 EFT (Monthly)Aug'!X68+'[5]Table 2A-2 EFT (Monthly) sep'!X68+'[5]Table 2A-2 EFT (Monthly)oct'!X68+'[5]Table 2A-2 EFT (Monthly)oct'!X68+'[5]Table 2A-2 EFT (Monthly)dec'!X68+'[5]Table 2A-2 EFT (Monthly)jan'!X68+'[5]Table 2A-2 EFT (Monthly)feb'!X68+'[5]Table 2A-2 EFT (Monthly) mar'!X68+'[5]Table 2A-2 EFT (Monthly)apr'!X68+'[5]Table 2A-2 EFT (Monthly)'!BA68+'[5]Table 2A-2 EFT (Monthly) mar'!BA68)*-1</f>
        <v>0</v>
      </c>
      <c r="AN69" s="1741">
        <f>('[5]Table 2A-2 EFT (Monthly) sep'!AD68+'[5]Table 2A-2 EFT (Monthly)dec'!AD68+'[5]Table 2A-2 EFT (Monthly)feb'!AD68)*-1</f>
        <v>0</v>
      </c>
      <c r="AO69" s="1741">
        <f t="shared" si="30"/>
        <v>12790</v>
      </c>
      <c r="AP69" s="560">
        <f t="shared" si="31"/>
        <v>1734631.5999999996</v>
      </c>
      <c r="AQ69" s="309">
        <f t="shared" si="32"/>
        <v>867316</v>
      </c>
      <c r="AR69" s="309">
        <f>'Table 4A Stipends'!G66</f>
        <v>0</v>
      </c>
      <c r="AS69" s="309">
        <f t="shared" si="34"/>
        <v>10472396</v>
      </c>
      <c r="AU69" s="1339">
        <f>('Table 8 2.1.12 MFP Funded'!G66*'Table 3 Levels 1&amp;2'!AP70)+'Table 2_State with Midyear Adjs'!F69</f>
        <v>10508231.524163593</v>
      </c>
      <c r="AV69" s="753">
        <f t="shared" si="35"/>
        <v>-35835.524163592607</v>
      </c>
      <c r="AW69" s="280">
        <f t="shared" si="36"/>
        <v>-3.4102335946052495E-3</v>
      </c>
    </row>
    <row r="70" spans="1:49">
      <c r="A70" s="101">
        <v>64</v>
      </c>
      <c r="B70" s="299" t="s">
        <v>164</v>
      </c>
      <c r="C70" s="309">
        <f>'Table 3 Levels 1&amp;2'!AO71</f>
        <v>15684163.057744</v>
      </c>
      <c r="D70" s="354">
        <f>'[2]Adjusted Amounts'!$C70</f>
        <v>3170.2034215805688</v>
      </c>
      <c r="E70" s="354">
        <f>'[2]Adjusted Amounts'!$H70</f>
        <v>-4457.0456349186497</v>
      </c>
      <c r="F70" s="354">
        <f t="shared" si="22"/>
        <v>-1286.8422133380809</v>
      </c>
      <c r="G70" s="309">
        <f t="shared" si="19"/>
        <v>0</v>
      </c>
      <c r="H70" s="354">
        <f t="shared" si="23"/>
        <v>-1286.8422133380809</v>
      </c>
      <c r="I70" s="354">
        <f>'[1]Midyear Adjustment Summary'!C68+'[1]Oct midyear Madison Prep'!K70+'[1]Oct midyear DArbonne'!K70+'[1]Oct midyear Intl_VIBE '!K70+'[1]Oct midyear NOMMA'!K70+'[1]Oct midyear LFNO'!K70+'[1]Oct midyear Lake Charles Chtr'!K70+'[1]Oct midyear LA Virtual Admy'!K67+'[1]Oct midyear LA Connections'!K67</f>
        <v>-169157.56046897452</v>
      </c>
      <c r="J70" s="354">
        <f>'[1]Midyear Adjustment Summary'!D68+'[1]Feb midyear Madison Prep'!K70+'[1]Feb midyear DArbonne'!K70+'[1]Feb midyear Intl_VIBE '!K70+'[1]Feb midyear NOMMA'!K70+'[1]Feb midyear LFNO '!K70+'[1]Feb midyear Lake Charles Ch'!K70+'[1]Feb midyear LA Virtual Admy'!K67+'[1]Feb midyear LA Connections'!K67</f>
        <v>6157.0759557672718</v>
      </c>
      <c r="K70" s="354">
        <f t="shared" si="24"/>
        <v>-163000.48451320725</v>
      </c>
      <c r="L70" s="354"/>
      <c r="M70" s="354">
        <f>-'Table 5C1A-Madison Prep'!L70</f>
        <v>0</v>
      </c>
      <c r="N70" s="354">
        <f>-'Table 5C1B-DArbonne'!L70</f>
        <v>0</v>
      </c>
      <c r="O70" s="354">
        <f>-'Table 5C1C-Intl_VIBE'!L70</f>
        <v>0</v>
      </c>
      <c r="P70" s="354">
        <f>-'Table 5C1D-NOMMA'!L70</f>
        <v>0</v>
      </c>
      <c r="Q70" s="354">
        <f>-'Table 5C1E-LFNO'!L70</f>
        <v>0</v>
      </c>
      <c r="R70" s="354">
        <f>-'Table 5C1F-Lake Charles Charter'!L70</f>
        <v>0</v>
      </c>
      <c r="S70" s="314">
        <f>-'Table 5C2 - LA Virtual Admy'!M68-'Table 5C2 - LA Virtual Admy'!I68</f>
        <v>-7010.7138435199995</v>
      </c>
      <c r="T70" s="314">
        <f>-'Table 5C3 - LA Connections EBR'!M68-'Table 5C3 - LA Connections EBR'!I68</f>
        <v>-21004.414901309086</v>
      </c>
      <c r="U70" s="1692">
        <f t="shared" si="25"/>
        <v>-28015.128744829086</v>
      </c>
      <c r="V70" s="560">
        <f t="shared" si="26"/>
        <v>15491861</v>
      </c>
      <c r="W70" s="560">
        <f>[3]MFP!DT71</f>
        <v>12932122</v>
      </c>
      <c r="X70" s="560">
        <f t="shared" si="27"/>
        <v>0</v>
      </c>
      <c r="Y70" s="560">
        <f>'[4]Table 4B Rewards'!G67</f>
        <v>16907.7</v>
      </c>
      <c r="Z70" s="560">
        <f t="shared" si="28"/>
        <v>12949029.699999999</v>
      </c>
      <c r="AA70" s="1737">
        <f t="shared" si="29"/>
        <v>2542831.3000000007</v>
      </c>
      <c r="AB70" s="1741">
        <f>('[5]Table 2A-2 EFT (Monthly)'!Z69+'[5]Table 2A-2 EFT (Monthly)Aug'!Z69+'[5]Table 2A-2 EFT (Monthly) sep'!Z69+'[5]Table 2A-2 EFT (Monthly)oct'!Z69+'[5]Table 2A-2 EFT (Monthly)oct'!Z69+'[5]Table 2A-2 EFT (Monthly)dec'!Z69+'[5]Table 2A-2 EFT (Monthly)jan'!Z69+'[5]Table 2A-2 EFT (Monthly)feb'!Z69+'[5]Table 2A-2 EFT (Monthly) mar'!Z69+'[5]Table 2A-2 EFT (Monthly)apr'!Z69)*-1</f>
        <v>1196</v>
      </c>
      <c r="AC70" s="1741">
        <f>('[5]Table 2A-2 EFT (Monthly)'!AA69+'[5]Table 2A-2 EFT (Monthly)Aug'!AA69+'[5]Table 2A-2 EFT (Monthly) sep'!AA69+'[5]Table 2A-2 EFT (Monthly)oct'!AA69+'[5]Table 2A-2 EFT (Monthly)oct'!AA69+'[5]Table 2A-2 EFT (Monthly)dec'!AA69+'[5]Table 2A-2 EFT (Monthly)jan'!AA69+'[5]Table 2A-2 EFT (Monthly)feb'!AA69+'[5]Table 2A-2 EFT (Monthly) mar'!AA69+'[5]Table 2A-2 EFT (Monthly)apr'!AA69)*-1</f>
        <v>0</v>
      </c>
      <c r="AD70" s="1741">
        <f>('[5]Table 2A-2 EFT (Monthly)'!AB69+'[5]Table 2A-2 EFT (Monthly)Aug'!AB69+'[5]Table 2A-2 EFT (Monthly) sep'!AB69+'[5]Table 2A-2 EFT (Monthly)oct'!AB69+'[5]Table 2A-2 EFT (Monthly)oct'!AB69+'[5]Table 2A-2 EFT (Monthly)dec'!AB69+'[5]Table 2A-2 EFT (Monthly)jan'!AB69+'[5]Table 2A-2 EFT (Monthly)feb'!AB69+'[5]Table 2A-2 EFT (Monthly) mar'!AB69+'[5]Table 2A-2 EFT (Monthly)apr'!AB69)*-1</f>
        <v>2292</v>
      </c>
      <c r="AE70" s="1741">
        <f>('[5]Table 2A-2 EFT (Monthly)'!AC69+'[5]Table 2A-2 EFT (Monthly)Aug'!AC69+'[5]Table 2A-2 EFT (Monthly) sep'!AC69+'[5]Table 2A-2 EFT (Monthly)oct'!AC69+'[5]Table 2A-2 EFT (Monthly)oct'!AC69+'[5]Table 2A-2 EFT (Monthly)dec'!AC69+'[5]Table 2A-2 EFT (Monthly)jan'!AC69+'[5]Table 2A-2 EFT (Monthly)feb'!AC69+'[5]Table 2A-2 EFT (Monthly) mar'!AC69+'[5]Table 2A-2 EFT (Monthly)apr'!AC69)*-1</f>
        <v>916</v>
      </c>
      <c r="AF70" s="1741">
        <f>('[5]Table 2A-2 EFT (Monthly)'!Q69+'[5]Table 2A-2 EFT (Monthly)Aug'!Q69+'[5]Table 2A-2 EFT (Monthly) sep'!Q69+'[5]Table 2A-2 EFT (Monthly)oct'!Q69+'[5]Table 2A-2 EFT (Monthly)oct'!Q69+'[5]Table 2A-2 EFT (Monthly)dec'!Q69+'[5]Table 2A-2 EFT (Monthly)jan'!Q69+'[5]Table 2A-2 EFT (Monthly)feb'!Q69+'[5]Table 2A-2 EFT (Monthly) mar'!Q69+'[5]Table 2A-2 EFT (Monthly)apr'!Q69+'[5]Table 2A-2 EFT (Monthly)'!AT69+'[5]Table 2A-2 EFT (Monthly) mar'!AT69)*-1</f>
        <v>0</v>
      </c>
      <c r="AG70" s="1741">
        <f>('[5]Table 2A-2 EFT (Monthly)'!R69+'[5]Table 2A-2 EFT (Monthly)Aug'!R69+'[5]Table 2A-2 EFT (Monthly) sep'!R69+'[5]Table 2A-2 EFT (Monthly)oct'!R69+'[5]Table 2A-2 EFT (Monthly)oct'!R69+'[5]Table 2A-2 EFT (Monthly)dec'!R69+'[5]Table 2A-2 EFT (Monthly)jan'!R69+'[5]Table 2A-2 EFT (Monthly)feb'!R69+'[5]Table 2A-2 EFT (Monthly) mar'!R69+'[5]Table 2A-2 EFT (Monthly)apr'!R69+'[5]Table 2A-2 EFT (Monthly)'!AU69+'[5]Table 2A-2 EFT (Monthly) mar'!AU69)*-1</f>
        <v>0</v>
      </c>
      <c r="AH70" s="1741">
        <f>('[5]Table 2A-2 EFT (Monthly)'!S69+'[5]Table 2A-2 EFT (Monthly)Aug'!S69+'[5]Table 2A-2 EFT (Monthly) sep'!S69+'[5]Table 2A-2 EFT (Monthly)oct'!S69+'[5]Table 2A-2 EFT (Monthly)oct'!S69+'[5]Table 2A-2 EFT (Monthly)dec'!S69+'[5]Table 2A-2 EFT (Monthly)jan'!S69+'[5]Table 2A-2 EFT (Monthly)feb'!S69+'[5]Table 2A-2 EFT (Monthly) mar'!S69+'[5]Table 2A-2 EFT (Monthly)apr'!S69+'[5]Table 2A-2 EFT (Monthly)'!AV69+'[5]Table 2A-2 EFT (Monthly) mar'!AV69)*-1</f>
        <v>0</v>
      </c>
      <c r="AI70" s="1741">
        <f>('[5]Table 2A-2 EFT (Monthly)'!T69+'[5]Table 2A-2 EFT (Monthly)Aug'!T69+'[5]Table 2A-2 EFT (Monthly) sep'!T69+'[5]Table 2A-2 EFT (Monthly)oct'!T69+'[5]Table 2A-2 EFT (Monthly)oct'!T69+'[5]Table 2A-2 EFT (Monthly)dec'!T69+'[5]Table 2A-2 EFT (Monthly)jan'!T69+'[5]Table 2A-2 EFT (Monthly)feb'!T69+'[5]Table 2A-2 EFT (Monthly) mar'!T69+'[5]Table 2A-2 EFT (Monthly)apr'!T69+'[5]Table 2A-2 EFT (Monthly)'!AW69+'[5]Table 2A-2 EFT (Monthly) mar'!AW69)*-1</f>
        <v>0</v>
      </c>
      <c r="AJ70" s="1741">
        <f>('[5]Table 2A-2 EFT (Monthly)'!U69+'[5]Table 2A-2 EFT (Monthly)Aug'!U69+'[5]Table 2A-2 EFT (Monthly) sep'!U69+'[5]Table 2A-2 EFT (Monthly)oct'!U69+'[5]Table 2A-2 EFT (Monthly)oct'!U69+'[5]Table 2A-2 EFT (Monthly)dec'!U69+'[5]Table 2A-2 EFT (Monthly)jan'!U69+'[5]Table 2A-2 EFT (Monthly)feb'!U69+'[5]Table 2A-2 EFT (Monthly) mar'!U69+'[5]Table 2A-2 EFT (Monthly)apr'!U69+'[5]Table 2A-2 EFT (Monthly)'!AX69+'[5]Table 2A-2 EFT (Monthly) mar'!AX69)*-1</f>
        <v>0</v>
      </c>
      <c r="AK70" s="1741">
        <f>('[5]Table 2A-2 EFT (Monthly)'!V69+'[5]Table 2A-2 EFT (Monthly)Aug'!V69+'[5]Table 2A-2 EFT (Monthly) sep'!V69+'[5]Table 2A-2 EFT (Monthly)oct'!V69+'[5]Table 2A-2 EFT (Monthly)oct'!V69+'[5]Table 2A-2 EFT (Monthly)dec'!V69+'[5]Table 2A-2 EFT (Monthly)jan'!V69+'[5]Table 2A-2 EFT (Monthly)feb'!V69+'[5]Table 2A-2 EFT (Monthly) mar'!V69+'[5]Table 2A-2 EFT (Monthly)apr'!V69+'[5]Table 2A-2 EFT (Monthly)'!AY69+'[5]Table 2A-2 EFT (Monthly) mar'!AY69)*-1</f>
        <v>0</v>
      </c>
      <c r="AL70" s="1741">
        <f>('[5]Table 2A-2 EFT (Monthly)'!W69+'[5]Table 2A-2 EFT (Monthly)Aug'!W69+'[5]Table 2A-2 EFT (Monthly) sep'!W69+'[5]Table 2A-2 EFT (Monthly)oct'!W69+'[5]Table 2A-2 EFT (Monthly)oct'!W69+'[5]Table 2A-2 EFT (Monthly)dec'!W69+'[5]Table 2A-2 EFT (Monthly)jan'!W69+'[5]Table 2A-2 EFT (Monthly)feb'!W69+'[5]Table 2A-2 EFT (Monthly) mar'!W69+'[5]Table 2A-2 EFT (Monthly)apr'!W69+'[5]Table 2A-2 EFT (Monthly)'!AZ69+'[5]Table 2A-2 EFT (Monthly) mar'!AZ69)*-1</f>
        <v>0</v>
      </c>
      <c r="AM70" s="1741">
        <f>('[5]Table 2A-2 EFT (Monthly)'!X69+'[5]Table 2A-2 EFT (Monthly)Aug'!X69+'[5]Table 2A-2 EFT (Monthly) sep'!X69+'[5]Table 2A-2 EFT (Monthly)oct'!X69+'[5]Table 2A-2 EFT (Monthly)oct'!X69+'[5]Table 2A-2 EFT (Monthly)dec'!X69+'[5]Table 2A-2 EFT (Monthly)jan'!X69+'[5]Table 2A-2 EFT (Monthly)feb'!X69+'[5]Table 2A-2 EFT (Monthly) mar'!X69+'[5]Table 2A-2 EFT (Monthly)apr'!X69+'[5]Table 2A-2 EFT (Monthly)'!BA69+'[5]Table 2A-2 EFT (Monthly) mar'!BA69)*-1</f>
        <v>0</v>
      </c>
      <c r="AN70" s="1741">
        <f>('[5]Table 2A-2 EFT (Monthly) sep'!AD69+'[5]Table 2A-2 EFT (Monthly)dec'!AD69+'[5]Table 2A-2 EFT (Monthly)feb'!AD69)*-1</f>
        <v>0</v>
      </c>
      <c r="AO70" s="1741">
        <f t="shared" si="30"/>
        <v>4404</v>
      </c>
      <c r="AP70" s="560">
        <f t="shared" si="31"/>
        <v>2547235.3000000007</v>
      </c>
      <c r="AQ70" s="309">
        <f t="shared" si="32"/>
        <v>1273618</v>
      </c>
      <c r="AR70" s="309">
        <f>'Table 4A Stipends'!G67</f>
        <v>0</v>
      </c>
      <c r="AS70" s="309">
        <f t="shared" si="34"/>
        <v>15491861</v>
      </c>
      <c r="AU70" s="1339">
        <f>('Table 8 2.1.12 MFP Funded'!G67*'Table 3 Levels 1&amp;2'!AP71)+'Table 2_State with Midyear Adjs'!F70</f>
        <v>15663433.038186351</v>
      </c>
      <c r="AV70" s="753">
        <f t="shared" si="35"/>
        <v>-171572.03818635084</v>
      </c>
      <c r="AW70" s="280">
        <f t="shared" si="36"/>
        <v>-1.0953667549640634E-2</v>
      </c>
    </row>
    <row r="71" spans="1:49">
      <c r="A71" s="102">
        <v>65</v>
      </c>
      <c r="B71" s="300" t="s">
        <v>165</v>
      </c>
      <c r="C71" s="318">
        <f>'Table 3 Levels 1&amp;2'!AO72</f>
        <v>45496364.589555599</v>
      </c>
      <c r="D71" s="355">
        <f>'[2]Adjusted Amounts'!$C71</f>
        <v>20847.866864983756</v>
      </c>
      <c r="E71" s="355">
        <f>'[2]Adjusted Amounts'!$H71</f>
        <v>-725108.40198985441</v>
      </c>
      <c r="F71" s="355">
        <f t="shared" si="22"/>
        <v>-704260.5351248706</v>
      </c>
      <c r="G71" s="318">
        <f>IF(F71&gt;0,F71,0)</f>
        <v>0</v>
      </c>
      <c r="H71" s="355">
        <f t="shared" si="23"/>
        <v>-704260.5351248706</v>
      </c>
      <c r="I71" s="355">
        <f>'[1]Midyear Adjustment Summary'!C69+'[1]Oct midyear Madison Prep'!K71+'[1]Oct midyear DArbonne'!K71+'[1]Oct midyear Intl_VIBE '!K71+'[1]Oct midyear NOMMA'!K71+'[1]Oct midyear LFNO'!K71+'[1]Oct midyear Lake Charles Chtr'!K71+'[1]Oct midyear LA Virtual Admy'!K68+'[1]Oct midyear LA Connections'!K68</f>
        <v>-808172.97853085678</v>
      </c>
      <c r="J71" s="355">
        <f>'[1]Midyear Adjustment Summary'!D69+'[1]Feb midyear Madison Prep'!K71+'[1]Feb midyear DArbonne'!K71+'[1]Feb midyear Intl_VIBE '!K71+'[1]Feb midyear NOMMA'!K71+'[1]Feb midyear LFNO '!K71+'[1]Feb midyear Lake Charles Ch'!K71+'[1]Feb midyear LA Virtual Admy'!K68+'[1]Feb midyear LA Connections'!K68</f>
        <v>-25441.480235063813</v>
      </c>
      <c r="K71" s="355">
        <f t="shared" si="24"/>
        <v>-833614.4587659206</v>
      </c>
      <c r="L71" s="355"/>
      <c r="M71" s="355">
        <f>-'Table 5C1A-Madison Prep'!L71</f>
        <v>0</v>
      </c>
      <c r="N71" s="355">
        <f>-'Table 5C1B-DArbonne'!L71</f>
        <v>-8119.6213516161097</v>
      </c>
      <c r="O71" s="355">
        <f>-'Table 5C1C-Intl_VIBE'!L71</f>
        <v>0</v>
      </c>
      <c r="P71" s="355">
        <f>-'Table 5C1D-NOMMA'!L71</f>
        <v>0</v>
      </c>
      <c r="Q71" s="355">
        <f>-'Table 5C1E-LFNO'!L71</f>
        <v>0</v>
      </c>
      <c r="R71" s="355">
        <f>-'Table 5C1F-Lake Charles Charter'!L71</f>
        <v>0</v>
      </c>
      <c r="S71" s="321">
        <f>-'Table 5C2 - LA Virtual Admy'!M69-'Table 5C2 - LA Virtual Admy'!I69</f>
        <v>-2291.9804505387037</v>
      </c>
      <c r="T71" s="321">
        <f>-'Table 5C3 - LA Connections EBR'!M69-'Table 5C3 - LA Connections EBR'!I69</f>
        <v>-10660.337802154812</v>
      </c>
      <c r="U71" s="321">
        <f t="shared" si="25"/>
        <v>-21071.939604309628</v>
      </c>
      <c r="V71" s="561">
        <f t="shared" si="26"/>
        <v>43937418</v>
      </c>
      <c r="W71" s="561">
        <f>[3]MFP!DT72</f>
        <v>36957459</v>
      </c>
      <c r="X71" s="561">
        <f t="shared" si="27"/>
        <v>0</v>
      </c>
      <c r="Y71" s="561">
        <f>'[4]Table 4B Rewards'!G68</f>
        <v>16907.7</v>
      </c>
      <c r="Z71" s="561">
        <f t="shared" si="28"/>
        <v>36974366.700000003</v>
      </c>
      <c r="AA71" s="561">
        <f t="shared" si="29"/>
        <v>6963051.299999997</v>
      </c>
      <c r="AB71" s="1742">
        <f>('[5]Table 2A-2 EFT (Monthly)'!Z70+'[5]Table 2A-2 EFT (Monthly)Aug'!Z70+'[5]Table 2A-2 EFT (Monthly) sep'!Z70+'[5]Table 2A-2 EFT (Monthly)oct'!Z70+'[5]Table 2A-2 EFT (Monthly)oct'!Z70+'[5]Table 2A-2 EFT (Monthly)dec'!Z70+'[5]Table 2A-2 EFT (Monthly)jan'!Z70+'[5]Table 2A-2 EFT (Monthly)feb'!Z70+'[5]Table 2A-2 EFT (Monthly) mar'!Z70+'[5]Table 2A-2 EFT (Monthly)apr'!Z70)*-1</f>
        <v>1160</v>
      </c>
      <c r="AC71" s="1742">
        <f>('[5]Table 2A-2 EFT (Monthly)'!AA70+'[5]Table 2A-2 EFT (Monthly)Aug'!AA70+'[5]Table 2A-2 EFT (Monthly) sep'!AA70+'[5]Table 2A-2 EFT (Monthly)oct'!AA70+'[5]Table 2A-2 EFT (Monthly)oct'!AA70+'[5]Table 2A-2 EFT (Monthly)dec'!AA70+'[5]Table 2A-2 EFT (Monthly)jan'!AA70+'[5]Table 2A-2 EFT (Monthly)feb'!AA70+'[5]Table 2A-2 EFT (Monthly) mar'!AA70+'[5]Table 2A-2 EFT (Monthly)apr'!AA70)*-1</f>
        <v>0</v>
      </c>
      <c r="AD71" s="1742">
        <f>('[5]Table 2A-2 EFT (Monthly)'!AB70+'[5]Table 2A-2 EFT (Monthly)Aug'!AB70+'[5]Table 2A-2 EFT (Monthly) sep'!AB70+'[5]Table 2A-2 EFT (Monthly)oct'!AB70+'[5]Table 2A-2 EFT (Monthly)oct'!AB70+'[5]Table 2A-2 EFT (Monthly)dec'!AB70+'[5]Table 2A-2 EFT (Monthly)jan'!AB70+'[5]Table 2A-2 EFT (Monthly)feb'!AB70+'[5]Table 2A-2 EFT (Monthly) mar'!AB70+'[5]Table 2A-2 EFT (Monthly)apr'!AB70)*-1</f>
        <v>6770</v>
      </c>
      <c r="AE71" s="1742">
        <f>('[5]Table 2A-2 EFT (Monthly)'!AC70+'[5]Table 2A-2 EFT (Monthly)Aug'!AC70+'[5]Table 2A-2 EFT (Monthly) sep'!AC70+'[5]Table 2A-2 EFT (Monthly)oct'!AC70+'[5]Table 2A-2 EFT (Monthly)oct'!AC70+'[5]Table 2A-2 EFT (Monthly)dec'!AC70+'[5]Table 2A-2 EFT (Monthly)jan'!AC70+'[5]Table 2A-2 EFT (Monthly)feb'!AC70+'[5]Table 2A-2 EFT (Monthly) mar'!AC70+'[5]Table 2A-2 EFT (Monthly)apr'!AC70)*-1</f>
        <v>7736</v>
      </c>
      <c r="AF71" s="1742">
        <f>('[5]Table 2A-2 EFT (Monthly)'!Q70+'[5]Table 2A-2 EFT (Monthly)Aug'!Q70+'[5]Table 2A-2 EFT (Monthly) sep'!Q70+'[5]Table 2A-2 EFT (Monthly)oct'!Q70+'[5]Table 2A-2 EFT (Monthly)oct'!Q70+'[5]Table 2A-2 EFT (Monthly)dec'!Q70+'[5]Table 2A-2 EFT (Monthly)jan'!Q70+'[5]Table 2A-2 EFT (Monthly)feb'!Q70+'[5]Table 2A-2 EFT (Monthly) mar'!Q70+'[5]Table 2A-2 EFT (Monthly)apr'!Q70+'[5]Table 2A-2 EFT (Monthly)'!AT70+'[5]Table 2A-2 EFT (Monthly) mar'!AT70)*-1</f>
        <v>724357.04500000004</v>
      </c>
      <c r="AG71" s="1742">
        <f>('[5]Table 2A-2 EFT (Monthly)'!R70+'[5]Table 2A-2 EFT (Monthly)Aug'!R70+'[5]Table 2A-2 EFT (Monthly) sep'!R70+'[5]Table 2A-2 EFT (Monthly)oct'!R70+'[5]Table 2A-2 EFT (Monthly)oct'!R70+'[5]Table 2A-2 EFT (Monthly)dec'!R70+'[5]Table 2A-2 EFT (Monthly)jan'!R70+'[5]Table 2A-2 EFT (Monthly)feb'!R70+'[5]Table 2A-2 EFT (Monthly) mar'!R70+'[5]Table 2A-2 EFT (Monthly)apr'!R70+'[5]Table 2A-2 EFT (Monthly)'!AU70+'[5]Table 2A-2 EFT (Monthly) mar'!AU70)*-1</f>
        <v>0</v>
      </c>
      <c r="AH71" s="1742">
        <f>('[5]Table 2A-2 EFT (Monthly)'!S70+'[5]Table 2A-2 EFT (Monthly)Aug'!S70+'[5]Table 2A-2 EFT (Monthly) sep'!S70+'[5]Table 2A-2 EFT (Monthly)oct'!S70+'[5]Table 2A-2 EFT (Monthly)oct'!S70+'[5]Table 2A-2 EFT (Monthly)dec'!S70+'[5]Table 2A-2 EFT (Monthly)jan'!S70+'[5]Table 2A-2 EFT (Monthly)feb'!S70+'[5]Table 2A-2 EFT (Monthly) mar'!S70+'[5]Table 2A-2 EFT (Monthly)apr'!S70+'[5]Table 2A-2 EFT (Monthly)'!AV70+'[5]Table 2A-2 EFT (Monthly) mar'!AV70)*-1</f>
        <v>0</v>
      </c>
      <c r="AI71" s="1742">
        <f>('[5]Table 2A-2 EFT (Monthly)'!T70+'[5]Table 2A-2 EFT (Monthly)Aug'!T70+'[5]Table 2A-2 EFT (Monthly) sep'!T70+'[5]Table 2A-2 EFT (Monthly)oct'!T70+'[5]Table 2A-2 EFT (Monthly)oct'!T70+'[5]Table 2A-2 EFT (Monthly)dec'!T70+'[5]Table 2A-2 EFT (Monthly)jan'!T70+'[5]Table 2A-2 EFT (Monthly)feb'!T70+'[5]Table 2A-2 EFT (Monthly) mar'!T70+'[5]Table 2A-2 EFT (Monthly)apr'!T70+'[5]Table 2A-2 EFT (Monthly)'!AW70+'[5]Table 2A-2 EFT (Monthly) mar'!AW70)*-1</f>
        <v>0</v>
      </c>
      <c r="AJ71" s="1742">
        <f>('[5]Table 2A-2 EFT (Monthly)'!U70+'[5]Table 2A-2 EFT (Monthly)Aug'!U70+'[5]Table 2A-2 EFT (Monthly) sep'!U70+'[5]Table 2A-2 EFT (Monthly)oct'!U70+'[5]Table 2A-2 EFT (Monthly)oct'!U70+'[5]Table 2A-2 EFT (Monthly)dec'!U70+'[5]Table 2A-2 EFT (Monthly)jan'!U70+'[5]Table 2A-2 EFT (Monthly)feb'!U70+'[5]Table 2A-2 EFT (Monthly) mar'!U70+'[5]Table 2A-2 EFT (Monthly)apr'!U70+'[5]Table 2A-2 EFT (Monthly)'!AX70+'[5]Table 2A-2 EFT (Monthly) mar'!AX70)*-1</f>
        <v>0</v>
      </c>
      <c r="AK71" s="1742">
        <f>('[5]Table 2A-2 EFT (Monthly)'!V70+'[5]Table 2A-2 EFT (Monthly)Aug'!V70+'[5]Table 2A-2 EFT (Monthly) sep'!V70+'[5]Table 2A-2 EFT (Monthly)oct'!V70+'[5]Table 2A-2 EFT (Monthly)oct'!V70+'[5]Table 2A-2 EFT (Monthly)dec'!V70+'[5]Table 2A-2 EFT (Monthly)jan'!V70+'[5]Table 2A-2 EFT (Monthly)feb'!V70+'[5]Table 2A-2 EFT (Monthly) mar'!V70+'[5]Table 2A-2 EFT (Monthly)apr'!V70+'[5]Table 2A-2 EFT (Monthly)'!AY70+'[5]Table 2A-2 EFT (Monthly) mar'!AY70)*-1</f>
        <v>0</v>
      </c>
      <c r="AL71" s="1742">
        <f>('[5]Table 2A-2 EFT (Monthly)'!W70+'[5]Table 2A-2 EFT (Monthly)Aug'!W70+'[5]Table 2A-2 EFT (Monthly) sep'!W70+'[5]Table 2A-2 EFT (Monthly)oct'!W70+'[5]Table 2A-2 EFT (Monthly)oct'!W70+'[5]Table 2A-2 EFT (Monthly)dec'!W70+'[5]Table 2A-2 EFT (Monthly)jan'!W70+'[5]Table 2A-2 EFT (Monthly)feb'!W70+'[5]Table 2A-2 EFT (Monthly) mar'!W70+'[5]Table 2A-2 EFT (Monthly)apr'!W70+'[5]Table 2A-2 EFT (Monthly)'!AZ70+'[5]Table 2A-2 EFT (Monthly) mar'!AZ70)*-1</f>
        <v>0</v>
      </c>
      <c r="AM71" s="1742">
        <f>('[5]Table 2A-2 EFT (Monthly)'!X70+'[5]Table 2A-2 EFT (Monthly)Aug'!X70+'[5]Table 2A-2 EFT (Monthly) sep'!X70+'[5]Table 2A-2 EFT (Monthly)oct'!X70+'[5]Table 2A-2 EFT (Monthly)oct'!X70+'[5]Table 2A-2 EFT (Monthly)dec'!X70+'[5]Table 2A-2 EFT (Monthly)jan'!X70+'[5]Table 2A-2 EFT (Monthly)feb'!X70+'[5]Table 2A-2 EFT (Monthly) mar'!X70+'[5]Table 2A-2 EFT (Monthly)apr'!X70+'[5]Table 2A-2 EFT (Monthly)'!BA70+'[5]Table 2A-2 EFT (Monthly) mar'!BA70)*-1</f>
        <v>0</v>
      </c>
      <c r="AN71" s="1742">
        <f>('[5]Table 2A-2 EFT (Monthly) sep'!AD70+'[5]Table 2A-2 EFT (Monthly)dec'!AD70+'[5]Table 2A-2 EFT (Monthly)feb'!AD70)*-1</f>
        <v>70882.392035558252</v>
      </c>
      <c r="AO71" s="1742">
        <f t="shared" si="30"/>
        <v>810905.43703555828</v>
      </c>
      <c r="AP71" s="561">
        <f t="shared" si="31"/>
        <v>7773956.7370355558</v>
      </c>
      <c r="AQ71" s="318">
        <f t="shared" si="32"/>
        <v>3886978</v>
      </c>
      <c r="AR71" s="318">
        <f>'Table 4A Stipends'!G68</f>
        <v>0</v>
      </c>
      <c r="AS71" s="318">
        <f t="shared" ref="AS71:AS75" si="37">V71+AR71</f>
        <v>43937418</v>
      </c>
      <c r="AU71" s="1339">
        <f>('Table 8 2.1.12 MFP Funded'!G68*'Table 3 Levels 1&amp;2'!AP72)+'Table 2_State with Midyear Adjs'!F71</f>
        <v>44754212.971488804</v>
      </c>
      <c r="AV71" s="753">
        <f t="shared" ref="AV71:AV75" si="38">V71-AU71</f>
        <v>-816794.97148880363</v>
      </c>
      <c r="AW71" s="280">
        <f t="shared" si="36"/>
        <v>-1.8250683393966786E-2</v>
      </c>
    </row>
    <row r="72" spans="1:49">
      <c r="A72" s="135">
        <v>66</v>
      </c>
      <c r="B72" s="301" t="s">
        <v>166</v>
      </c>
      <c r="C72" s="311">
        <f>'Table 3 Levels 1&amp;2'!AO73</f>
        <v>14383286.635584</v>
      </c>
      <c r="D72" s="356">
        <f>'[2]Adjusted Amounts'!$C72</f>
        <v>0</v>
      </c>
      <c r="E72" s="356">
        <f>'[2]Adjusted Amounts'!$H72</f>
        <v>-24631.238222306732</v>
      </c>
      <c r="F72" s="356">
        <f>SUM(D72:E72)</f>
        <v>-24631.238222306732</v>
      </c>
      <c r="G72" s="311">
        <f>IF(F72&gt;0,F72,0)</f>
        <v>0</v>
      </c>
      <c r="H72" s="356">
        <f>IF(F72&lt;0,F72,0)</f>
        <v>-24631.238222306732</v>
      </c>
      <c r="I72" s="1392">
        <f>'[1]Midyear Adjustment Summary'!C70+'[1]Oct midyear Madison Prep'!K72+'[1]Oct midyear DArbonne'!K72+'[1]Oct midyear Intl_VIBE '!K72+'[1]Oct midyear NOMMA'!K72+'[1]Oct midyear LFNO'!K72+'[1]Oct midyear Lake Charles Chtr'!K72+'[1]Oct midyear LA Virtual Admy'!K69+'[1]Oct midyear LA Connections'!K69</f>
        <v>-241941.83161361516</v>
      </c>
      <c r="J72" s="1392">
        <f>'[1]Midyear Adjustment Summary'!D70+'[1]Feb midyear Madison Prep'!K72+'[1]Feb midyear DArbonne'!K72+'[1]Feb midyear Intl_VIBE '!K72+'[1]Feb midyear NOMMA'!K72+'[1]Feb midyear LFNO '!K72+'[1]Feb midyear Lake Charles Ch'!K72+'[1]Feb midyear LA Virtual Admy'!K69+'[1]Feb midyear LA Connections'!K69</f>
        <v>9090.3000317254264</v>
      </c>
      <c r="K72" s="1392">
        <f t="shared" ref="K72:K75" si="39">I72+J72</f>
        <v>-232851.53158188972</v>
      </c>
      <c r="L72" s="356"/>
      <c r="M72" s="356">
        <f>-'Table 5C1A-Madison Prep'!L72</f>
        <v>0</v>
      </c>
      <c r="N72" s="356">
        <f>-'Table 5C1B-DArbonne'!L72</f>
        <v>0</v>
      </c>
      <c r="O72" s="356">
        <f>-'Table 5C1C-Intl_VIBE'!L72</f>
        <v>0</v>
      </c>
      <c r="P72" s="356">
        <f>-'Table 5C1D-NOMMA'!L72</f>
        <v>0</v>
      </c>
      <c r="Q72" s="356">
        <f>-'Table 5C1E-LFNO'!L72</f>
        <v>0</v>
      </c>
      <c r="R72" s="356">
        <f>-'Table 5C1F-Lake Charles Charter'!L72</f>
        <v>0</v>
      </c>
      <c r="S72" s="603">
        <f>-'Table 5C2 - LA Virtual Admy'!M70-'Table 5C2 - LA Virtual Admy'!I70</f>
        <v>-15091.560669073793</v>
      </c>
      <c r="T72" s="603">
        <f>-'Table 5C3 - LA Connections EBR'!M70-'Table 5C3 - LA Connections EBR'!I70</f>
        <v>-6919.5324859426346</v>
      </c>
      <c r="U72" s="1693">
        <f t="shared" ref="U72:U75" si="40">SUM(L72:T72)</f>
        <v>-22011.093155016428</v>
      </c>
      <c r="V72" s="562">
        <f t="shared" ref="V72:V75" si="41">ROUND(C72+F72+I72+J72+L72+M72+N72+O72+P72+Q72+R72+S72+T72,0)</f>
        <v>14103793</v>
      </c>
      <c r="W72" s="1390">
        <f>[3]MFP!DT73</f>
        <v>11775958</v>
      </c>
      <c r="X72" s="1390">
        <f t="shared" ref="X72:X75" si="42">AR72</f>
        <v>0</v>
      </c>
      <c r="Y72" s="1390">
        <f>'[4]Table 4B Rewards'!G69</f>
        <v>8453.85</v>
      </c>
      <c r="Z72" s="1390">
        <f t="shared" ref="Z72:Z75" si="43">SUM(W72:Y72)</f>
        <v>11784411.85</v>
      </c>
      <c r="AA72" s="1739">
        <f t="shared" ref="AA72:AA75" si="44">V72-Z72</f>
        <v>2319381.1500000004</v>
      </c>
      <c r="AB72" s="1743">
        <f>('[5]Table 2A-2 EFT (Monthly)'!Z71+'[5]Table 2A-2 EFT (Monthly)Aug'!Z71+'[5]Table 2A-2 EFT (Monthly) sep'!Z71+'[5]Table 2A-2 EFT (Monthly)oct'!Z71+'[5]Table 2A-2 EFT (Monthly)oct'!Z71+'[5]Table 2A-2 EFT (Monthly)dec'!Z71+'[5]Table 2A-2 EFT (Monthly)jan'!Z71+'[5]Table 2A-2 EFT (Monthly)feb'!Z71+'[5]Table 2A-2 EFT (Monthly) mar'!Z71+'[5]Table 2A-2 EFT (Monthly)apr'!Z71)*-1</f>
        <v>0</v>
      </c>
      <c r="AC72" s="1743">
        <f>('[5]Table 2A-2 EFT (Monthly)'!AA71+'[5]Table 2A-2 EFT (Monthly)Aug'!AA71+'[5]Table 2A-2 EFT (Monthly) sep'!AA71+'[5]Table 2A-2 EFT (Monthly)oct'!AA71+'[5]Table 2A-2 EFT (Monthly)oct'!AA71+'[5]Table 2A-2 EFT (Monthly)dec'!AA71+'[5]Table 2A-2 EFT (Monthly)jan'!AA71+'[5]Table 2A-2 EFT (Monthly)feb'!AA71+'[5]Table 2A-2 EFT (Monthly) mar'!AA71+'[5]Table 2A-2 EFT (Monthly)apr'!AA71)*-1</f>
        <v>0</v>
      </c>
      <c r="AD72" s="1743">
        <f>('[5]Table 2A-2 EFT (Monthly)'!AB71+'[5]Table 2A-2 EFT (Monthly)Aug'!AB71+'[5]Table 2A-2 EFT (Monthly) sep'!AB71+'[5]Table 2A-2 EFT (Monthly)oct'!AB71+'[5]Table 2A-2 EFT (Monthly)oct'!AB71+'[5]Table 2A-2 EFT (Monthly)dec'!AB71+'[5]Table 2A-2 EFT (Monthly)jan'!AB71+'[5]Table 2A-2 EFT (Monthly)feb'!AB71+'[5]Table 2A-2 EFT (Monthly) mar'!AB71+'[5]Table 2A-2 EFT (Monthly)apr'!AB71)*-1</f>
        <v>3224</v>
      </c>
      <c r="AE72" s="1743">
        <f>('[5]Table 2A-2 EFT (Monthly)'!AC71+'[5]Table 2A-2 EFT (Monthly)Aug'!AC71+'[5]Table 2A-2 EFT (Monthly) sep'!AC71+'[5]Table 2A-2 EFT (Monthly)oct'!AC71+'[5]Table 2A-2 EFT (Monthly)oct'!AC71+'[5]Table 2A-2 EFT (Monthly)dec'!AC71+'[5]Table 2A-2 EFT (Monthly)jan'!AC71+'[5]Table 2A-2 EFT (Monthly)feb'!AC71+'[5]Table 2A-2 EFT (Monthly) mar'!AC71+'[5]Table 2A-2 EFT (Monthly)apr'!AC71)*-1</f>
        <v>880</v>
      </c>
      <c r="AF72" s="1743">
        <f>('[5]Table 2A-2 EFT (Monthly)'!Q71+'[5]Table 2A-2 EFT (Monthly)Aug'!Q71+'[5]Table 2A-2 EFT (Monthly) sep'!Q71+'[5]Table 2A-2 EFT (Monthly)oct'!Q71+'[5]Table 2A-2 EFT (Monthly)oct'!Q71+'[5]Table 2A-2 EFT (Monthly)dec'!Q71+'[5]Table 2A-2 EFT (Monthly)jan'!Q71+'[5]Table 2A-2 EFT (Monthly)feb'!Q71+'[5]Table 2A-2 EFT (Monthly) mar'!Q71+'[5]Table 2A-2 EFT (Monthly)apr'!Q71+'[5]Table 2A-2 EFT (Monthly)'!AT71+'[5]Table 2A-2 EFT (Monthly) mar'!AT71)*-1</f>
        <v>0</v>
      </c>
      <c r="AG72" s="1743">
        <f>('[5]Table 2A-2 EFT (Monthly)'!R71+'[5]Table 2A-2 EFT (Monthly)Aug'!R71+'[5]Table 2A-2 EFT (Monthly) sep'!R71+'[5]Table 2A-2 EFT (Monthly)oct'!R71+'[5]Table 2A-2 EFT (Monthly)oct'!R71+'[5]Table 2A-2 EFT (Monthly)dec'!R71+'[5]Table 2A-2 EFT (Monthly)jan'!R71+'[5]Table 2A-2 EFT (Monthly)feb'!R71+'[5]Table 2A-2 EFT (Monthly) mar'!R71+'[5]Table 2A-2 EFT (Monthly)apr'!R71+'[5]Table 2A-2 EFT (Monthly)'!AU71+'[5]Table 2A-2 EFT (Monthly) mar'!AU71)*-1</f>
        <v>0</v>
      </c>
      <c r="AH72" s="1743">
        <f>('[5]Table 2A-2 EFT (Monthly)'!S71+'[5]Table 2A-2 EFT (Monthly)Aug'!S71+'[5]Table 2A-2 EFT (Monthly) sep'!S71+'[5]Table 2A-2 EFT (Monthly)oct'!S71+'[5]Table 2A-2 EFT (Monthly)oct'!S71+'[5]Table 2A-2 EFT (Monthly)dec'!S71+'[5]Table 2A-2 EFT (Monthly)jan'!S71+'[5]Table 2A-2 EFT (Monthly)feb'!S71+'[5]Table 2A-2 EFT (Monthly) mar'!S71+'[5]Table 2A-2 EFT (Monthly)apr'!S71+'[5]Table 2A-2 EFT (Monthly)'!AV71+'[5]Table 2A-2 EFT (Monthly) mar'!AV71)*-1</f>
        <v>0</v>
      </c>
      <c r="AI72" s="1743">
        <f>('[5]Table 2A-2 EFT (Monthly)'!T71+'[5]Table 2A-2 EFT (Monthly)Aug'!T71+'[5]Table 2A-2 EFT (Monthly) sep'!T71+'[5]Table 2A-2 EFT (Monthly)oct'!T71+'[5]Table 2A-2 EFT (Monthly)oct'!T71+'[5]Table 2A-2 EFT (Monthly)dec'!T71+'[5]Table 2A-2 EFT (Monthly)jan'!T71+'[5]Table 2A-2 EFT (Monthly)feb'!T71+'[5]Table 2A-2 EFT (Monthly) mar'!T71+'[5]Table 2A-2 EFT (Monthly)apr'!T71+'[5]Table 2A-2 EFT (Monthly)'!AW71+'[5]Table 2A-2 EFT (Monthly) mar'!AW71)*-1</f>
        <v>0</v>
      </c>
      <c r="AJ72" s="1743">
        <f>('[5]Table 2A-2 EFT (Monthly)'!U71+'[5]Table 2A-2 EFT (Monthly)Aug'!U71+'[5]Table 2A-2 EFT (Monthly) sep'!U71+'[5]Table 2A-2 EFT (Monthly)oct'!U71+'[5]Table 2A-2 EFT (Monthly)oct'!U71+'[5]Table 2A-2 EFT (Monthly)dec'!U71+'[5]Table 2A-2 EFT (Monthly)jan'!U71+'[5]Table 2A-2 EFT (Monthly)feb'!U71+'[5]Table 2A-2 EFT (Monthly) mar'!U71+'[5]Table 2A-2 EFT (Monthly)apr'!U71+'[5]Table 2A-2 EFT (Monthly)'!AX71+'[5]Table 2A-2 EFT (Monthly) mar'!AX71)*-1</f>
        <v>0</v>
      </c>
      <c r="AK72" s="1743">
        <f>('[5]Table 2A-2 EFT (Monthly)'!V71+'[5]Table 2A-2 EFT (Monthly)Aug'!V71+'[5]Table 2A-2 EFT (Monthly) sep'!V71+'[5]Table 2A-2 EFT (Monthly)oct'!V71+'[5]Table 2A-2 EFT (Monthly)oct'!V71+'[5]Table 2A-2 EFT (Monthly)dec'!V71+'[5]Table 2A-2 EFT (Monthly)jan'!V71+'[5]Table 2A-2 EFT (Monthly)feb'!V71+'[5]Table 2A-2 EFT (Monthly) mar'!V71+'[5]Table 2A-2 EFT (Monthly)apr'!V71+'[5]Table 2A-2 EFT (Monthly)'!AY71+'[5]Table 2A-2 EFT (Monthly) mar'!AY71)*-1</f>
        <v>0</v>
      </c>
      <c r="AL72" s="1743">
        <f>('[5]Table 2A-2 EFT (Monthly)'!W71+'[5]Table 2A-2 EFT (Monthly)Aug'!W71+'[5]Table 2A-2 EFT (Monthly) sep'!W71+'[5]Table 2A-2 EFT (Monthly)oct'!W71+'[5]Table 2A-2 EFT (Monthly)oct'!W71+'[5]Table 2A-2 EFT (Monthly)dec'!W71+'[5]Table 2A-2 EFT (Monthly)jan'!W71+'[5]Table 2A-2 EFT (Monthly)feb'!W71+'[5]Table 2A-2 EFT (Monthly) mar'!W71+'[5]Table 2A-2 EFT (Monthly)apr'!W71+'[5]Table 2A-2 EFT (Monthly)'!AZ71+'[5]Table 2A-2 EFT (Monthly) mar'!AZ71)*-1</f>
        <v>0</v>
      </c>
      <c r="AM72" s="1743">
        <f>('[5]Table 2A-2 EFT (Monthly)'!X71+'[5]Table 2A-2 EFT (Monthly)Aug'!X71+'[5]Table 2A-2 EFT (Monthly) sep'!X71+'[5]Table 2A-2 EFT (Monthly)oct'!X71+'[5]Table 2A-2 EFT (Monthly)oct'!X71+'[5]Table 2A-2 EFT (Monthly)dec'!X71+'[5]Table 2A-2 EFT (Monthly)jan'!X71+'[5]Table 2A-2 EFT (Monthly)feb'!X71+'[5]Table 2A-2 EFT (Monthly) mar'!X71+'[5]Table 2A-2 EFT (Monthly)apr'!X71+'[5]Table 2A-2 EFT (Monthly)'!BA71+'[5]Table 2A-2 EFT (Monthly) mar'!BA71)*-1</f>
        <v>0</v>
      </c>
      <c r="AN72" s="1743">
        <f>('[5]Table 2A-2 EFT (Monthly) sep'!AD71+'[5]Table 2A-2 EFT (Monthly)dec'!AD71+'[5]Table 2A-2 EFT (Monthly)feb'!AD71)*-1</f>
        <v>16756.748440991734</v>
      </c>
      <c r="AO72" s="1743">
        <f t="shared" ref="AO72:AO75" si="45">SUM(AB72:AN72)</f>
        <v>20860.748440991734</v>
      </c>
      <c r="AP72" s="1390">
        <f t="shared" ref="AP72:AP75" si="46">AA72+AO72</f>
        <v>2340241.898440992</v>
      </c>
      <c r="AQ72" s="311">
        <f t="shared" ref="AQ72:AQ75" si="47">ROUND(AP72/2,0)</f>
        <v>1170121</v>
      </c>
      <c r="AR72" s="311">
        <f>'Table 4A Stipends'!G69</f>
        <v>0</v>
      </c>
      <c r="AS72" s="311">
        <f t="shared" si="37"/>
        <v>14103793</v>
      </c>
      <c r="AU72" s="1339">
        <f>('Table 8 2.1.12 MFP Funded'!G69*'Table 3 Levels 1&amp;2'!AP73)+'Table 2_State with Midyear Adjs'!F72</f>
        <v>14323693.592219293</v>
      </c>
      <c r="AV72" s="753">
        <f t="shared" si="38"/>
        <v>-219900.59221929312</v>
      </c>
      <c r="AW72" s="280">
        <f t="shared" si="36"/>
        <v>-1.5352226770526863E-2</v>
      </c>
    </row>
    <row r="73" spans="1:49">
      <c r="A73" s="349">
        <v>67</v>
      </c>
      <c r="B73" s="302" t="s">
        <v>33</v>
      </c>
      <c r="C73" s="309">
        <f>'Table 3 Levels 1&amp;2'!AO74</f>
        <v>29249757.568433598</v>
      </c>
      <c r="D73" s="354">
        <f>'[2]Adjusted Amounts'!$C73</f>
        <v>-5731.1852061805694</v>
      </c>
      <c r="E73" s="354">
        <f>'[2]Adjusted Amounts'!$H73</f>
        <v>-12856.47998017897</v>
      </c>
      <c r="F73" s="354">
        <f>SUM(D73:E73)</f>
        <v>-18587.66518635954</v>
      </c>
      <c r="G73" s="309">
        <f>IF(F73&gt;0,F73,0)</f>
        <v>0</v>
      </c>
      <c r="H73" s="354">
        <f>IF(F73&lt;0,F73,0)</f>
        <v>-18587.66518635954</v>
      </c>
      <c r="I73" s="354">
        <f>'[1]Midyear Adjustment Summary'!C71+'[1]Oct midyear Madison Prep'!K73+'[1]Oct midyear DArbonne'!K73+'[1]Oct midyear Intl_VIBE '!K73+'[1]Oct midyear NOMMA'!K73+'[1]Oct midyear LFNO'!K73+'[1]Oct midyear Lake Charles Chtr'!K73+'[1]Oct midyear LA Virtual Admy'!K70+'[1]Oct midyear LA Connections'!K70</f>
        <v>452757.08897524077</v>
      </c>
      <c r="J73" s="354">
        <f>'[1]Midyear Adjustment Summary'!D71+'[1]Feb midyear Madison Prep'!K73+'[1]Feb midyear DArbonne'!K73+'[1]Feb midyear Intl_VIBE '!K73+'[1]Feb midyear NOMMA'!K73+'[1]Feb midyear LFNO '!K73+'[1]Feb midyear Lake Charles Ch'!K73+'[1]Feb midyear LA Virtual Admy'!K70+'[1]Feb midyear LA Connections'!K70</f>
        <v>-130514.16085255666</v>
      </c>
      <c r="K73" s="354">
        <f t="shared" si="39"/>
        <v>322242.92812268413</v>
      </c>
      <c r="L73" s="354"/>
      <c r="M73" s="354">
        <f>-'Table 5C1A-Madison Prep'!L73</f>
        <v>-14437.40717395538</v>
      </c>
      <c r="N73" s="354">
        <f>-'Table 5C1B-DArbonne'!L73</f>
        <v>0</v>
      </c>
      <c r="O73" s="354">
        <f>-'Table 5C1C-Intl_VIBE'!L73</f>
        <v>0</v>
      </c>
      <c r="P73" s="354">
        <f>-'Table 5C1D-NOMMA'!L73</f>
        <v>0</v>
      </c>
      <c r="Q73" s="354">
        <f>-'Table 5C1E-LFNO'!L73</f>
        <v>0</v>
      </c>
      <c r="R73" s="354">
        <f>-'Table 5C1F-Lake Charles Charter'!L73</f>
        <v>0</v>
      </c>
      <c r="S73" s="314">
        <f>-'Table 5C2 - LA Virtual Admy'!M71-'Table 5C2 - LA Virtual Admy'!I71</f>
        <v>-8808.0704478523367</v>
      </c>
      <c r="T73" s="314">
        <f>-'Table 5C3 - LA Connections EBR'!M71-'Table 5C3 - LA Connections EBR'!I71</f>
        <v>-9819.9410217687673</v>
      </c>
      <c r="U73" s="1692">
        <f t="shared" si="40"/>
        <v>-33065.418643576486</v>
      </c>
      <c r="V73" s="560">
        <f t="shared" si="41"/>
        <v>29520347</v>
      </c>
      <c r="W73" s="560">
        <f>[3]MFP!DT74</f>
        <v>24447108</v>
      </c>
      <c r="X73" s="560">
        <f t="shared" si="42"/>
        <v>0</v>
      </c>
      <c r="Y73" s="560">
        <f>'[4]Table 4B Rewards'!G70</f>
        <v>33815.4</v>
      </c>
      <c r="Z73" s="560">
        <f t="shared" si="43"/>
        <v>24480923.399999999</v>
      </c>
      <c r="AA73" s="1737">
        <f t="shared" si="44"/>
        <v>5039423.6000000015</v>
      </c>
      <c r="AB73" s="1741">
        <f>('[5]Table 2A-2 EFT (Monthly)'!Z72+'[5]Table 2A-2 EFT (Monthly)Aug'!Z72+'[5]Table 2A-2 EFT (Monthly) sep'!Z72+'[5]Table 2A-2 EFT (Monthly)oct'!Z72+'[5]Table 2A-2 EFT (Monthly)oct'!Z72+'[5]Table 2A-2 EFT (Monthly)dec'!Z72+'[5]Table 2A-2 EFT (Monthly)jan'!Z72+'[5]Table 2A-2 EFT (Monthly)feb'!Z72+'[5]Table 2A-2 EFT (Monthly) mar'!Z72+'[5]Table 2A-2 EFT (Monthly)apr'!Z72)*-1</f>
        <v>2520</v>
      </c>
      <c r="AC73" s="1741">
        <f>('[5]Table 2A-2 EFT (Monthly)'!AA72+'[5]Table 2A-2 EFT (Monthly)Aug'!AA72+'[5]Table 2A-2 EFT (Monthly) sep'!AA72+'[5]Table 2A-2 EFT (Monthly)oct'!AA72+'[5]Table 2A-2 EFT (Monthly)oct'!AA72+'[5]Table 2A-2 EFT (Monthly)dec'!AA72+'[5]Table 2A-2 EFT (Monthly)jan'!AA72+'[5]Table 2A-2 EFT (Monthly)feb'!AA72+'[5]Table 2A-2 EFT (Monthly) mar'!AA72+'[5]Table 2A-2 EFT (Monthly)apr'!AA72)*-1</f>
        <v>0</v>
      </c>
      <c r="AD73" s="1741">
        <f>('[5]Table 2A-2 EFT (Monthly)'!AB72+'[5]Table 2A-2 EFT (Monthly)Aug'!AB72+'[5]Table 2A-2 EFT (Monthly) sep'!AB72+'[5]Table 2A-2 EFT (Monthly)oct'!AB72+'[5]Table 2A-2 EFT (Monthly)oct'!AB72+'[5]Table 2A-2 EFT (Monthly)dec'!AB72+'[5]Table 2A-2 EFT (Monthly)jan'!AB72+'[5]Table 2A-2 EFT (Monthly)feb'!AB72+'[5]Table 2A-2 EFT (Monthly) mar'!AB72+'[5]Table 2A-2 EFT (Monthly)apr'!AB72)*-1</f>
        <v>8722</v>
      </c>
      <c r="AE73" s="1741">
        <f>('[5]Table 2A-2 EFT (Monthly)'!AC72+'[5]Table 2A-2 EFT (Monthly)Aug'!AC72+'[5]Table 2A-2 EFT (Monthly) sep'!AC72+'[5]Table 2A-2 EFT (Monthly)oct'!AC72+'[5]Table 2A-2 EFT (Monthly)oct'!AC72+'[5]Table 2A-2 EFT (Monthly)dec'!AC72+'[5]Table 2A-2 EFT (Monthly)jan'!AC72+'[5]Table 2A-2 EFT (Monthly)feb'!AC72+'[5]Table 2A-2 EFT (Monthly) mar'!AC72+'[5]Table 2A-2 EFT (Monthly)apr'!AC72)*-1</f>
        <v>5130</v>
      </c>
      <c r="AF73" s="1741">
        <f>('[5]Table 2A-2 EFT (Monthly)'!Q72+'[5]Table 2A-2 EFT (Monthly)Aug'!Q72+'[5]Table 2A-2 EFT (Monthly) sep'!Q72+'[5]Table 2A-2 EFT (Monthly)oct'!Q72+'[5]Table 2A-2 EFT (Monthly)oct'!Q72+'[5]Table 2A-2 EFT (Monthly)dec'!Q72+'[5]Table 2A-2 EFT (Monthly)jan'!Q72+'[5]Table 2A-2 EFT (Monthly)feb'!Q72+'[5]Table 2A-2 EFT (Monthly) mar'!Q72+'[5]Table 2A-2 EFT (Monthly)apr'!Q72+'[5]Table 2A-2 EFT (Monthly)'!AT72+'[5]Table 2A-2 EFT (Monthly) mar'!AT72)*-1</f>
        <v>0</v>
      </c>
      <c r="AG73" s="1741">
        <f>('[5]Table 2A-2 EFT (Monthly)'!R72+'[5]Table 2A-2 EFT (Monthly)Aug'!R72+'[5]Table 2A-2 EFT (Monthly) sep'!R72+'[5]Table 2A-2 EFT (Monthly)oct'!R72+'[5]Table 2A-2 EFT (Monthly)oct'!R72+'[5]Table 2A-2 EFT (Monthly)dec'!R72+'[5]Table 2A-2 EFT (Monthly)jan'!R72+'[5]Table 2A-2 EFT (Monthly)feb'!R72+'[5]Table 2A-2 EFT (Monthly) mar'!R72+'[5]Table 2A-2 EFT (Monthly)apr'!R72+'[5]Table 2A-2 EFT (Monthly)'!AU72+'[5]Table 2A-2 EFT (Monthly) mar'!AU72)*-1</f>
        <v>0</v>
      </c>
      <c r="AH73" s="1741">
        <f>('[5]Table 2A-2 EFT (Monthly)'!S72+'[5]Table 2A-2 EFT (Monthly)Aug'!S72+'[5]Table 2A-2 EFT (Monthly) sep'!S72+'[5]Table 2A-2 EFT (Monthly)oct'!S72+'[5]Table 2A-2 EFT (Monthly)oct'!S72+'[5]Table 2A-2 EFT (Monthly)dec'!S72+'[5]Table 2A-2 EFT (Monthly)jan'!S72+'[5]Table 2A-2 EFT (Monthly)feb'!S72+'[5]Table 2A-2 EFT (Monthly) mar'!S72+'[5]Table 2A-2 EFT (Monthly)apr'!S72+'[5]Table 2A-2 EFT (Monthly)'!AV72+'[5]Table 2A-2 EFT (Monthly) mar'!AV72)*-1</f>
        <v>0</v>
      </c>
      <c r="AI73" s="1741">
        <f>('[5]Table 2A-2 EFT (Monthly)'!T72+'[5]Table 2A-2 EFT (Monthly)Aug'!T72+'[5]Table 2A-2 EFT (Monthly) sep'!T72+'[5]Table 2A-2 EFT (Monthly)oct'!T72+'[5]Table 2A-2 EFT (Monthly)oct'!T72+'[5]Table 2A-2 EFT (Monthly)dec'!T72+'[5]Table 2A-2 EFT (Monthly)jan'!T72+'[5]Table 2A-2 EFT (Monthly)feb'!T72+'[5]Table 2A-2 EFT (Monthly) mar'!T72+'[5]Table 2A-2 EFT (Monthly)apr'!T72+'[5]Table 2A-2 EFT (Monthly)'!AW72+'[5]Table 2A-2 EFT (Monthly) mar'!AW72)*-1</f>
        <v>0</v>
      </c>
      <c r="AJ73" s="1741">
        <f>('[5]Table 2A-2 EFT (Monthly)'!U72+'[5]Table 2A-2 EFT (Monthly)Aug'!U72+'[5]Table 2A-2 EFT (Monthly) sep'!U72+'[5]Table 2A-2 EFT (Monthly)oct'!U72+'[5]Table 2A-2 EFT (Monthly)oct'!U72+'[5]Table 2A-2 EFT (Monthly)dec'!U72+'[5]Table 2A-2 EFT (Monthly)jan'!U72+'[5]Table 2A-2 EFT (Monthly)feb'!U72+'[5]Table 2A-2 EFT (Monthly) mar'!U72+'[5]Table 2A-2 EFT (Monthly)apr'!U72+'[5]Table 2A-2 EFT (Monthly)'!AX72+'[5]Table 2A-2 EFT (Monthly) mar'!AX72)*-1</f>
        <v>0</v>
      </c>
      <c r="AK73" s="1741">
        <f>('[5]Table 2A-2 EFT (Monthly)'!V72+'[5]Table 2A-2 EFT (Monthly)Aug'!V72+'[5]Table 2A-2 EFT (Monthly) sep'!V72+'[5]Table 2A-2 EFT (Monthly)oct'!V72+'[5]Table 2A-2 EFT (Monthly)oct'!V72+'[5]Table 2A-2 EFT (Monthly)dec'!V72+'[5]Table 2A-2 EFT (Monthly)jan'!V72+'[5]Table 2A-2 EFT (Monthly)feb'!V72+'[5]Table 2A-2 EFT (Monthly) mar'!V72+'[5]Table 2A-2 EFT (Monthly)apr'!V72+'[5]Table 2A-2 EFT (Monthly)'!AY72+'[5]Table 2A-2 EFT (Monthly) mar'!AY72)*-1</f>
        <v>0</v>
      </c>
      <c r="AL73" s="1741">
        <f>('[5]Table 2A-2 EFT (Monthly)'!W72+'[5]Table 2A-2 EFT (Monthly)Aug'!W72+'[5]Table 2A-2 EFT (Monthly) sep'!W72+'[5]Table 2A-2 EFT (Monthly)oct'!W72+'[5]Table 2A-2 EFT (Monthly)oct'!W72+'[5]Table 2A-2 EFT (Monthly)dec'!W72+'[5]Table 2A-2 EFT (Monthly)jan'!W72+'[5]Table 2A-2 EFT (Monthly)feb'!W72+'[5]Table 2A-2 EFT (Monthly) mar'!W72+'[5]Table 2A-2 EFT (Monthly)apr'!W72+'[5]Table 2A-2 EFT (Monthly)'!AZ72+'[5]Table 2A-2 EFT (Monthly) mar'!AZ72)*-1</f>
        <v>0</v>
      </c>
      <c r="AM73" s="1741">
        <f>('[5]Table 2A-2 EFT (Monthly)'!X72+'[5]Table 2A-2 EFT (Monthly)Aug'!X72+'[5]Table 2A-2 EFT (Monthly) sep'!X72+'[5]Table 2A-2 EFT (Monthly)oct'!X72+'[5]Table 2A-2 EFT (Monthly)oct'!X72+'[5]Table 2A-2 EFT (Monthly)dec'!X72+'[5]Table 2A-2 EFT (Monthly)jan'!X72+'[5]Table 2A-2 EFT (Monthly)feb'!X72+'[5]Table 2A-2 EFT (Monthly) mar'!X72+'[5]Table 2A-2 EFT (Monthly)apr'!X72+'[5]Table 2A-2 EFT (Monthly)'!BA72+'[5]Table 2A-2 EFT (Monthly) mar'!BA72)*-1</f>
        <v>0</v>
      </c>
      <c r="AN73" s="1741">
        <f>('[5]Table 2A-2 EFT (Monthly) sep'!AD72+'[5]Table 2A-2 EFT (Monthly)dec'!AD72+'[5]Table 2A-2 EFT (Monthly)feb'!AD72)*-1</f>
        <v>0</v>
      </c>
      <c r="AO73" s="1741">
        <f t="shared" si="45"/>
        <v>16372</v>
      </c>
      <c r="AP73" s="560">
        <f t="shared" si="46"/>
        <v>5055795.6000000015</v>
      </c>
      <c r="AQ73" s="309">
        <f t="shared" si="47"/>
        <v>2527898</v>
      </c>
      <c r="AR73" s="309">
        <f>'Table 4A Stipends'!G70</f>
        <v>0</v>
      </c>
      <c r="AS73" s="309">
        <f t="shared" si="37"/>
        <v>29520347</v>
      </c>
      <c r="AU73" s="1339">
        <f>('Table 8 2.1.12 MFP Funded'!G70*'Table 3 Levels 1&amp;2'!AP74)+'Table 2_State with Midyear Adjs'!F73</f>
        <v>29184970.878459975</v>
      </c>
      <c r="AV73" s="753">
        <f t="shared" si="38"/>
        <v>335376.12154002488</v>
      </c>
      <c r="AW73" s="280">
        <f t="shared" si="36"/>
        <v>1.1491398190414158E-2</v>
      </c>
    </row>
    <row r="74" spans="1:49">
      <c r="A74" s="101">
        <v>68</v>
      </c>
      <c r="B74" s="299" t="s">
        <v>31</v>
      </c>
      <c r="C74" s="309">
        <f>'Table 3 Levels 1&amp;2'!AO75</f>
        <v>11771322.117996</v>
      </c>
      <c r="D74" s="354">
        <f>'[2]Adjusted Amounts'!$C74</f>
        <v>13426.484464937239</v>
      </c>
      <c r="E74" s="354">
        <f>'[2]Adjusted Amounts'!$H74</f>
        <v>20403.157698880837</v>
      </c>
      <c r="F74" s="354">
        <f>SUM(D74:E74)</f>
        <v>33829.642163818076</v>
      </c>
      <c r="G74" s="309">
        <f>IF(F74&gt;0,F74,0)</f>
        <v>33829.642163818076</v>
      </c>
      <c r="H74" s="354">
        <f>IF(F74&lt;0,F74,0)</f>
        <v>0</v>
      </c>
      <c r="I74" s="354">
        <f>'[1]Midyear Adjustment Summary'!C72+'[1]Oct midyear Madison Prep'!K74+'[1]Oct midyear DArbonne'!K74+'[1]Oct midyear Intl_VIBE '!K74+'[1]Oct midyear NOMMA'!K74+'[1]Oct midyear LFNO'!K74+'[1]Oct midyear Lake Charles Chtr'!K74+'[1]Oct midyear LA Virtual Admy'!K71+'[1]Oct midyear LA Connections'!K71</f>
        <v>-439024.58672378969</v>
      </c>
      <c r="J74" s="354">
        <f>'[1]Midyear Adjustment Summary'!D72+'[1]Feb midyear Madison Prep'!K74+'[1]Feb midyear DArbonne'!K74+'[1]Feb midyear Intl_VIBE '!K74+'[1]Feb midyear NOMMA'!K74+'[1]Feb midyear LFNO '!K74+'[1]Feb midyear Lake Charles Ch'!K74+'[1]Feb midyear LA Virtual Admy'!K71+'[1]Feb midyear LA Connections'!K71</f>
        <v>39971.889534791168</v>
      </c>
      <c r="K74" s="354">
        <f t="shared" si="39"/>
        <v>-399052.69718899851</v>
      </c>
      <c r="L74" s="354"/>
      <c r="M74" s="354">
        <f>-'Table 5C1A-Madison Prep'!L74</f>
        <v>-26647.926356527445</v>
      </c>
      <c r="N74" s="354">
        <f>-'Table 5C1B-DArbonne'!L74</f>
        <v>0</v>
      </c>
      <c r="O74" s="354">
        <f>-'Table 5C1C-Intl_VIBE'!L74</f>
        <v>0</v>
      </c>
      <c r="P74" s="354">
        <f>-'Table 5C1D-NOMMA'!L74</f>
        <v>0</v>
      </c>
      <c r="Q74" s="354">
        <f>-'Table 5C1E-LFNO'!L74</f>
        <v>0</v>
      </c>
      <c r="R74" s="354">
        <f>-'Table 5C1F-Lake Charles Charter'!L74</f>
        <v>0</v>
      </c>
      <c r="S74" s="314">
        <f>-'Table 5C2 - LA Virtual Admy'!M72-'Table 5C2 - LA Virtual Admy'!I72</f>
        <v>-23330.554641418108</v>
      </c>
      <c r="T74" s="314">
        <f>-'Table 5C3 - LA Connections EBR'!M72-'Table 5C3 - LA Connections EBR'!I72</f>
        <v>-33563.137025115902</v>
      </c>
      <c r="U74" s="1692">
        <f t="shared" si="40"/>
        <v>-83541.618023061455</v>
      </c>
      <c r="V74" s="560">
        <f t="shared" si="41"/>
        <v>11322557</v>
      </c>
      <c r="W74" s="560">
        <f>[3]MFP!DT75</f>
        <v>9492175</v>
      </c>
      <c r="X74" s="560">
        <f t="shared" si="42"/>
        <v>0</v>
      </c>
      <c r="Y74" s="560">
        <f>'[4]Table 4B Rewards'!G71</f>
        <v>8453.85</v>
      </c>
      <c r="Z74" s="560">
        <f t="shared" si="43"/>
        <v>9500628.8499999996</v>
      </c>
      <c r="AA74" s="1737">
        <f t="shared" si="44"/>
        <v>1821928.1500000004</v>
      </c>
      <c r="AB74" s="1741">
        <f>('[5]Table 2A-2 EFT (Monthly)'!Z73+'[5]Table 2A-2 EFT (Monthly)Aug'!Z73+'[5]Table 2A-2 EFT (Monthly) sep'!Z73+'[5]Table 2A-2 EFT (Monthly)oct'!Z73+'[5]Table 2A-2 EFT (Monthly)oct'!Z73+'[5]Table 2A-2 EFT (Monthly)dec'!Z73+'[5]Table 2A-2 EFT (Monthly)jan'!Z73+'[5]Table 2A-2 EFT (Monthly)feb'!Z73+'[5]Table 2A-2 EFT (Monthly) mar'!Z73+'[5]Table 2A-2 EFT (Monthly)apr'!Z73)*-1</f>
        <v>0</v>
      </c>
      <c r="AC74" s="1741">
        <f>('[5]Table 2A-2 EFT (Monthly)'!AA73+'[5]Table 2A-2 EFT (Monthly)Aug'!AA73+'[5]Table 2A-2 EFT (Monthly) sep'!AA73+'[5]Table 2A-2 EFT (Monthly)oct'!AA73+'[5]Table 2A-2 EFT (Monthly)oct'!AA73+'[5]Table 2A-2 EFT (Monthly)dec'!AA73+'[5]Table 2A-2 EFT (Monthly)jan'!AA73+'[5]Table 2A-2 EFT (Monthly)feb'!AA73+'[5]Table 2A-2 EFT (Monthly) mar'!AA73+'[5]Table 2A-2 EFT (Monthly)apr'!AA73)*-1</f>
        <v>0</v>
      </c>
      <c r="AD74" s="1741">
        <f>('[5]Table 2A-2 EFT (Monthly)'!AB73+'[5]Table 2A-2 EFT (Monthly)Aug'!AB73+'[5]Table 2A-2 EFT (Monthly) sep'!AB73+'[5]Table 2A-2 EFT (Monthly)oct'!AB73+'[5]Table 2A-2 EFT (Monthly)oct'!AB73+'[5]Table 2A-2 EFT (Monthly)dec'!AB73+'[5]Table 2A-2 EFT (Monthly)jan'!AB73+'[5]Table 2A-2 EFT (Monthly)feb'!AB73+'[5]Table 2A-2 EFT (Monthly) mar'!AB73+'[5]Table 2A-2 EFT (Monthly)apr'!AB73)*-1</f>
        <v>8372</v>
      </c>
      <c r="AE74" s="1741">
        <f>('[5]Table 2A-2 EFT (Monthly)'!AC73+'[5]Table 2A-2 EFT (Monthly)Aug'!AC73+'[5]Table 2A-2 EFT (Monthly) sep'!AC73+'[5]Table 2A-2 EFT (Monthly)oct'!AC73+'[5]Table 2A-2 EFT (Monthly)oct'!AC73+'[5]Table 2A-2 EFT (Monthly)dec'!AC73+'[5]Table 2A-2 EFT (Monthly)jan'!AC73+'[5]Table 2A-2 EFT (Monthly)feb'!AC73+'[5]Table 2A-2 EFT (Monthly) mar'!AC73+'[5]Table 2A-2 EFT (Monthly)apr'!AC73)*-1</f>
        <v>0</v>
      </c>
      <c r="AF74" s="1741">
        <f>('[5]Table 2A-2 EFT (Monthly)'!Q73+'[5]Table 2A-2 EFT (Monthly)Aug'!Q73+'[5]Table 2A-2 EFT (Monthly) sep'!Q73+'[5]Table 2A-2 EFT (Monthly)oct'!Q73+'[5]Table 2A-2 EFT (Monthly)oct'!Q73+'[5]Table 2A-2 EFT (Monthly)dec'!Q73+'[5]Table 2A-2 EFT (Monthly)jan'!Q73+'[5]Table 2A-2 EFT (Monthly)feb'!Q73+'[5]Table 2A-2 EFT (Monthly) mar'!Q73+'[5]Table 2A-2 EFT (Monthly)apr'!Q73+'[5]Table 2A-2 EFT (Monthly)'!AT73+'[5]Table 2A-2 EFT (Monthly) mar'!AT73)*-1</f>
        <v>0</v>
      </c>
      <c r="AG74" s="1741">
        <f>('[5]Table 2A-2 EFT (Monthly)'!R73+'[5]Table 2A-2 EFT (Monthly)Aug'!R73+'[5]Table 2A-2 EFT (Monthly) sep'!R73+'[5]Table 2A-2 EFT (Monthly)oct'!R73+'[5]Table 2A-2 EFT (Monthly)oct'!R73+'[5]Table 2A-2 EFT (Monthly)dec'!R73+'[5]Table 2A-2 EFT (Monthly)jan'!R73+'[5]Table 2A-2 EFT (Monthly)feb'!R73+'[5]Table 2A-2 EFT (Monthly) mar'!R73+'[5]Table 2A-2 EFT (Monthly)apr'!R73+'[5]Table 2A-2 EFT (Monthly)'!AU73+'[5]Table 2A-2 EFT (Monthly) mar'!AU73)*-1</f>
        <v>0</v>
      </c>
      <c r="AH74" s="1741">
        <f>('[5]Table 2A-2 EFT (Monthly)'!S73+'[5]Table 2A-2 EFT (Monthly)Aug'!S73+'[5]Table 2A-2 EFT (Monthly) sep'!S73+'[5]Table 2A-2 EFT (Monthly)oct'!S73+'[5]Table 2A-2 EFT (Monthly)oct'!S73+'[5]Table 2A-2 EFT (Monthly)dec'!S73+'[5]Table 2A-2 EFT (Monthly)jan'!S73+'[5]Table 2A-2 EFT (Monthly)feb'!S73+'[5]Table 2A-2 EFT (Monthly) mar'!S73+'[5]Table 2A-2 EFT (Monthly)apr'!S73+'[5]Table 2A-2 EFT (Monthly)'!AV73+'[5]Table 2A-2 EFT (Monthly) mar'!AV73)*-1</f>
        <v>0</v>
      </c>
      <c r="AI74" s="1741">
        <f>('[5]Table 2A-2 EFT (Monthly)'!T73+'[5]Table 2A-2 EFT (Monthly)Aug'!T73+'[5]Table 2A-2 EFT (Monthly) sep'!T73+'[5]Table 2A-2 EFT (Monthly)oct'!T73+'[5]Table 2A-2 EFT (Monthly)oct'!T73+'[5]Table 2A-2 EFT (Monthly)dec'!T73+'[5]Table 2A-2 EFT (Monthly)jan'!T73+'[5]Table 2A-2 EFT (Monthly)feb'!T73+'[5]Table 2A-2 EFT (Monthly) mar'!T73+'[5]Table 2A-2 EFT (Monthly)apr'!T73+'[5]Table 2A-2 EFT (Monthly)'!AW73+'[5]Table 2A-2 EFT (Monthly) mar'!AW73)*-1</f>
        <v>0</v>
      </c>
      <c r="AJ74" s="1741">
        <f>('[5]Table 2A-2 EFT (Monthly)'!U73+'[5]Table 2A-2 EFT (Monthly)Aug'!U73+'[5]Table 2A-2 EFT (Monthly) sep'!U73+'[5]Table 2A-2 EFT (Monthly)oct'!U73+'[5]Table 2A-2 EFT (Monthly)oct'!U73+'[5]Table 2A-2 EFT (Monthly)dec'!U73+'[5]Table 2A-2 EFT (Monthly)jan'!U73+'[5]Table 2A-2 EFT (Monthly)feb'!U73+'[5]Table 2A-2 EFT (Monthly) mar'!U73+'[5]Table 2A-2 EFT (Monthly)apr'!U73+'[5]Table 2A-2 EFT (Monthly)'!AX73+'[5]Table 2A-2 EFT (Monthly) mar'!AX73)*-1</f>
        <v>0</v>
      </c>
      <c r="AK74" s="1741">
        <f>('[5]Table 2A-2 EFT (Monthly)'!V73+'[5]Table 2A-2 EFT (Monthly)Aug'!V73+'[5]Table 2A-2 EFT (Monthly) sep'!V73+'[5]Table 2A-2 EFT (Monthly)oct'!V73+'[5]Table 2A-2 EFT (Monthly)oct'!V73+'[5]Table 2A-2 EFT (Monthly)dec'!V73+'[5]Table 2A-2 EFT (Monthly)jan'!V73+'[5]Table 2A-2 EFT (Monthly)feb'!V73+'[5]Table 2A-2 EFT (Monthly) mar'!V73+'[5]Table 2A-2 EFT (Monthly)apr'!V73+'[5]Table 2A-2 EFT (Monthly)'!AY73+'[5]Table 2A-2 EFT (Monthly) mar'!AY73)*-1</f>
        <v>0</v>
      </c>
      <c r="AL74" s="1741">
        <f>('[5]Table 2A-2 EFT (Monthly)'!W73+'[5]Table 2A-2 EFT (Monthly)Aug'!W73+'[5]Table 2A-2 EFT (Monthly) sep'!W73+'[5]Table 2A-2 EFT (Monthly)oct'!W73+'[5]Table 2A-2 EFT (Monthly)oct'!W73+'[5]Table 2A-2 EFT (Monthly)dec'!W73+'[5]Table 2A-2 EFT (Monthly)jan'!W73+'[5]Table 2A-2 EFT (Monthly)feb'!W73+'[5]Table 2A-2 EFT (Monthly) mar'!W73+'[5]Table 2A-2 EFT (Monthly)apr'!W73+'[5]Table 2A-2 EFT (Monthly)'!AZ73+'[5]Table 2A-2 EFT (Monthly) mar'!AZ73)*-1</f>
        <v>0</v>
      </c>
      <c r="AM74" s="1741">
        <f>('[5]Table 2A-2 EFT (Monthly)'!X73+'[5]Table 2A-2 EFT (Monthly)Aug'!X73+'[5]Table 2A-2 EFT (Monthly) sep'!X73+'[5]Table 2A-2 EFT (Monthly)oct'!X73+'[5]Table 2A-2 EFT (Monthly)oct'!X73+'[5]Table 2A-2 EFT (Monthly)dec'!X73+'[5]Table 2A-2 EFT (Monthly)jan'!X73+'[5]Table 2A-2 EFT (Monthly)feb'!X73+'[5]Table 2A-2 EFT (Monthly) mar'!X73+'[5]Table 2A-2 EFT (Monthly)apr'!X73+'[5]Table 2A-2 EFT (Monthly)'!BA73+'[5]Table 2A-2 EFT (Monthly) mar'!BA73)*-1</f>
        <v>0</v>
      </c>
      <c r="AN74" s="1741">
        <f>('[5]Table 2A-2 EFT (Monthly) sep'!AD73+'[5]Table 2A-2 EFT (Monthly)dec'!AD73+'[5]Table 2A-2 EFT (Monthly)feb'!AD73)*-1</f>
        <v>53711.425211714522</v>
      </c>
      <c r="AO74" s="1741">
        <f t="shared" si="45"/>
        <v>62083.425211714522</v>
      </c>
      <c r="AP74" s="560">
        <f t="shared" si="46"/>
        <v>1884011.575211715</v>
      </c>
      <c r="AQ74" s="309">
        <f t="shared" si="47"/>
        <v>942006</v>
      </c>
      <c r="AR74" s="309">
        <f>'Table 4A Stipends'!G71</f>
        <v>0</v>
      </c>
      <c r="AS74" s="309">
        <f t="shared" si="37"/>
        <v>11322557</v>
      </c>
      <c r="AU74" s="1339">
        <f>('Table 8 2.1.12 MFP Funded'!G71*'Table 3 Levels 1&amp;2'!AP75)+'Table 2_State with Midyear Adjs'!F74</f>
        <v>11745195.959898379</v>
      </c>
      <c r="AV74" s="753">
        <f t="shared" si="38"/>
        <v>-422638.9598983787</v>
      </c>
      <c r="AW74" s="280">
        <f t="shared" si="36"/>
        <v>-3.5983985396360767E-2</v>
      </c>
    </row>
    <row r="75" spans="1:49">
      <c r="A75" s="102">
        <v>69</v>
      </c>
      <c r="B75" s="300" t="s">
        <v>229</v>
      </c>
      <c r="C75" s="318">
        <f>'Table 3 Levels 1&amp;2'!AO76</f>
        <v>24531492.210537601</v>
      </c>
      <c r="D75" s="355">
        <f>'[2]Adjusted Amounts'!$C75</f>
        <v>6149.8948790881259</v>
      </c>
      <c r="E75" s="355">
        <f>'[2]Adjusted Amounts'!$H75</f>
        <v>-7326.8291458509821</v>
      </c>
      <c r="F75" s="355">
        <f>SUM(D75:E75)</f>
        <v>-1176.9342667628562</v>
      </c>
      <c r="G75" s="318">
        <f>IF(F75&gt;0,F75,0)</f>
        <v>0</v>
      </c>
      <c r="H75" s="355">
        <f>IF(F75&lt;0,F75,0)</f>
        <v>-1176.9342667628562</v>
      </c>
      <c r="I75" s="355">
        <f>'[1]Midyear Adjustment Summary'!C73+'[1]Oct midyear Madison Prep'!K75+'[1]Oct midyear DArbonne'!K75+'[1]Oct midyear Intl_VIBE '!K75+'[1]Oct midyear NOMMA'!K75+'[1]Oct midyear LFNO'!K75+'[1]Oct midyear Lake Charles Chtr'!K75+'[1]Oct midyear LA Virtual Admy'!K72+'[1]Oct midyear LA Connections'!K72</f>
        <v>1690484.9958138219</v>
      </c>
      <c r="J75" s="355">
        <f>'[1]Midyear Adjustment Summary'!D73+'[1]Feb midyear Madison Prep'!K75+'[1]Feb midyear DArbonne'!K75+'[1]Feb midyear Intl_VIBE '!K75+'[1]Feb midyear NOMMA'!K75+'[1]Feb midyear LFNO '!K75+'[1]Feb midyear Lake Charles Ch'!K75+'[1]Feb midyear LA Virtual Admy'!K72+'[1]Feb midyear LA Connections'!K72</f>
        <v>-56972.146267758646</v>
      </c>
      <c r="K75" s="355">
        <f t="shared" si="39"/>
        <v>1633512.8495460632</v>
      </c>
      <c r="L75" s="355"/>
      <c r="M75" s="355">
        <f>-'Table 5C1A-Madison Prep'!L75</f>
        <v>0</v>
      </c>
      <c r="N75" s="355">
        <f>-'Table 5C1B-DArbonne'!L75</f>
        <v>0</v>
      </c>
      <c r="O75" s="355">
        <f>-'Table 5C1C-Intl_VIBE'!L75</f>
        <v>0</v>
      </c>
      <c r="P75" s="355">
        <f>-'Table 5C1D-NOMMA'!L75</f>
        <v>0</v>
      </c>
      <c r="Q75" s="355">
        <f>-'Table 5C1E-LFNO'!L75</f>
        <v>0</v>
      </c>
      <c r="R75" s="355">
        <f>-'Table 5C1F-Lake Charles Charter'!L75</f>
        <v>0</v>
      </c>
      <c r="S75" s="321">
        <f>-'Table 5C2 - LA Virtual Admy'!M73-'Table 5C2 - LA Virtual Admy'!I73</f>
        <v>-41945.608899906743</v>
      </c>
      <c r="T75" s="321">
        <f>-'Table 5C3 - LA Connections EBR'!M73-'Table 5C3 - LA Connections EBR'!I73</f>
        <v>-6155.8970729790863</v>
      </c>
      <c r="U75" s="321">
        <f t="shared" si="40"/>
        <v>-48101.505972885832</v>
      </c>
      <c r="V75" s="561">
        <f t="shared" si="41"/>
        <v>26115727</v>
      </c>
      <c r="W75" s="561">
        <f>[3]MFP!DT76</f>
        <v>21164844</v>
      </c>
      <c r="X75" s="561">
        <f t="shared" si="42"/>
        <v>0</v>
      </c>
      <c r="Y75" s="561">
        <f>'[4]Table 4B Rewards'!G72</f>
        <v>42269.25</v>
      </c>
      <c r="Z75" s="561">
        <f t="shared" si="43"/>
        <v>21207113.25</v>
      </c>
      <c r="AA75" s="561">
        <f t="shared" si="44"/>
        <v>4908613.75</v>
      </c>
      <c r="AB75" s="1742">
        <f>('[5]Table 2A-2 EFT (Monthly)'!Z74+'[5]Table 2A-2 EFT (Monthly)Aug'!Z74+'[5]Table 2A-2 EFT (Monthly) sep'!Z74+'[5]Table 2A-2 EFT (Monthly)oct'!Z74+'[5]Table 2A-2 EFT (Monthly)oct'!Z74+'[5]Table 2A-2 EFT (Monthly)dec'!Z74+'[5]Table 2A-2 EFT (Monthly)jan'!Z74+'[5]Table 2A-2 EFT (Monthly)feb'!Z74+'[5]Table 2A-2 EFT (Monthly) mar'!Z74+'[5]Table 2A-2 EFT (Monthly)apr'!Z74)*-1</f>
        <v>0</v>
      </c>
      <c r="AC75" s="1742">
        <f>('[5]Table 2A-2 EFT (Monthly)'!AA74+'[5]Table 2A-2 EFT (Monthly)Aug'!AA74+'[5]Table 2A-2 EFT (Monthly) sep'!AA74+'[5]Table 2A-2 EFT (Monthly)oct'!AA74+'[5]Table 2A-2 EFT (Monthly)oct'!AA74+'[5]Table 2A-2 EFT (Monthly)dec'!AA74+'[5]Table 2A-2 EFT (Monthly)jan'!AA74+'[5]Table 2A-2 EFT (Monthly)feb'!AA74+'[5]Table 2A-2 EFT (Monthly) mar'!AA74+'[5]Table 2A-2 EFT (Monthly)apr'!AA74)*-1</f>
        <v>0</v>
      </c>
      <c r="AD75" s="1742">
        <f>('[5]Table 2A-2 EFT (Monthly)'!AB74+'[5]Table 2A-2 EFT (Monthly)Aug'!AB74+'[5]Table 2A-2 EFT (Monthly) sep'!AB74+'[5]Table 2A-2 EFT (Monthly)oct'!AB74+'[5]Table 2A-2 EFT (Monthly)oct'!AB74+'[5]Table 2A-2 EFT (Monthly)dec'!AB74+'[5]Table 2A-2 EFT (Monthly)jan'!AB74+'[5]Table 2A-2 EFT (Monthly)feb'!AB74+'[5]Table 2A-2 EFT (Monthly) mar'!AB74+'[5]Table 2A-2 EFT (Monthly)apr'!AB74)*-1</f>
        <v>4712</v>
      </c>
      <c r="AE75" s="1742">
        <f>('[5]Table 2A-2 EFT (Monthly)'!AC74+'[5]Table 2A-2 EFT (Monthly)Aug'!AC74+'[5]Table 2A-2 EFT (Monthly) sep'!AC74+'[5]Table 2A-2 EFT (Monthly)oct'!AC74+'[5]Table 2A-2 EFT (Monthly)oct'!AC74+'[5]Table 2A-2 EFT (Monthly)dec'!AC74+'[5]Table 2A-2 EFT (Monthly)jan'!AC74+'[5]Table 2A-2 EFT (Monthly)feb'!AC74+'[5]Table 2A-2 EFT (Monthly) mar'!AC74+'[5]Table 2A-2 EFT (Monthly)apr'!AC74)*-1</f>
        <v>944</v>
      </c>
      <c r="AF75" s="1742">
        <f>('[5]Table 2A-2 EFT (Monthly)'!Q74+'[5]Table 2A-2 EFT (Monthly)Aug'!Q74+'[5]Table 2A-2 EFT (Monthly) sep'!Q74+'[5]Table 2A-2 EFT (Monthly)oct'!Q74+'[5]Table 2A-2 EFT (Monthly)oct'!Q74+'[5]Table 2A-2 EFT (Monthly)dec'!Q74+'[5]Table 2A-2 EFT (Monthly)jan'!Q74+'[5]Table 2A-2 EFT (Monthly)feb'!Q74+'[5]Table 2A-2 EFT (Monthly) mar'!Q74+'[5]Table 2A-2 EFT (Monthly)apr'!Q74+'[5]Table 2A-2 EFT (Monthly)'!AT74+'[5]Table 2A-2 EFT (Monthly) mar'!AT74)*-1</f>
        <v>0</v>
      </c>
      <c r="AG75" s="1742">
        <f>('[5]Table 2A-2 EFT (Monthly)'!R74+'[5]Table 2A-2 EFT (Monthly)Aug'!R74+'[5]Table 2A-2 EFT (Monthly) sep'!R74+'[5]Table 2A-2 EFT (Monthly)oct'!R74+'[5]Table 2A-2 EFT (Monthly)oct'!R74+'[5]Table 2A-2 EFT (Monthly)dec'!R74+'[5]Table 2A-2 EFT (Monthly)jan'!R74+'[5]Table 2A-2 EFT (Monthly)feb'!R74+'[5]Table 2A-2 EFT (Monthly) mar'!R74+'[5]Table 2A-2 EFT (Monthly)apr'!R74+'[5]Table 2A-2 EFT (Monthly)'!AU74+'[5]Table 2A-2 EFT (Monthly) mar'!AU74)*-1</f>
        <v>0</v>
      </c>
      <c r="AH75" s="1742">
        <f>('[5]Table 2A-2 EFT (Monthly)'!S74+'[5]Table 2A-2 EFT (Monthly)Aug'!S74+'[5]Table 2A-2 EFT (Monthly) sep'!S74+'[5]Table 2A-2 EFT (Monthly)oct'!S74+'[5]Table 2A-2 EFT (Monthly)oct'!S74+'[5]Table 2A-2 EFT (Monthly)dec'!S74+'[5]Table 2A-2 EFT (Monthly)jan'!S74+'[5]Table 2A-2 EFT (Monthly)feb'!S74+'[5]Table 2A-2 EFT (Monthly) mar'!S74+'[5]Table 2A-2 EFT (Monthly)apr'!S74+'[5]Table 2A-2 EFT (Monthly)'!AV74+'[5]Table 2A-2 EFT (Monthly) mar'!AV74)*-1</f>
        <v>0</v>
      </c>
      <c r="AI75" s="1742">
        <f>('[5]Table 2A-2 EFT (Monthly)'!T74+'[5]Table 2A-2 EFT (Monthly)Aug'!T74+'[5]Table 2A-2 EFT (Monthly) sep'!T74+'[5]Table 2A-2 EFT (Monthly)oct'!T74+'[5]Table 2A-2 EFT (Monthly)oct'!T74+'[5]Table 2A-2 EFT (Monthly)dec'!T74+'[5]Table 2A-2 EFT (Monthly)jan'!T74+'[5]Table 2A-2 EFT (Monthly)feb'!T74+'[5]Table 2A-2 EFT (Monthly) mar'!T74+'[5]Table 2A-2 EFT (Monthly)apr'!T74+'[5]Table 2A-2 EFT (Monthly)'!AW74+'[5]Table 2A-2 EFT (Monthly) mar'!AW74)*-1</f>
        <v>0</v>
      </c>
      <c r="AJ75" s="1742">
        <f>('[5]Table 2A-2 EFT (Monthly)'!U74+'[5]Table 2A-2 EFT (Monthly)Aug'!U74+'[5]Table 2A-2 EFT (Monthly) sep'!U74+'[5]Table 2A-2 EFT (Monthly)oct'!U74+'[5]Table 2A-2 EFT (Monthly)oct'!U74+'[5]Table 2A-2 EFT (Monthly)dec'!U74+'[5]Table 2A-2 EFT (Monthly)jan'!U74+'[5]Table 2A-2 EFT (Monthly)feb'!U74+'[5]Table 2A-2 EFT (Monthly) mar'!U74+'[5]Table 2A-2 EFT (Monthly)apr'!U74+'[5]Table 2A-2 EFT (Monthly)'!AX74+'[5]Table 2A-2 EFT (Monthly) mar'!AX74)*-1</f>
        <v>0</v>
      </c>
      <c r="AK75" s="1742">
        <f>('[5]Table 2A-2 EFT (Monthly)'!V74+'[5]Table 2A-2 EFT (Monthly)Aug'!V74+'[5]Table 2A-2 EFT (Monthly) sep'!V74+'[5]Table 2A-2 EFT (Monthly)oct'!V74+'[5]Table 2A-2 EFT (Monthly)oct'!V74+'[5]Table 2A-2 EFT (Monthly)dec'!V74+'[5]Table 2A-2 EFT (Monthly)jan'!V74+'[5]Table 2A-2 EFT (Monthly)feb'!V74+'[5]Table 2A-2 EFT (Monthly) mar'!V74+'[5]Table 2A-2 EFT (Monthly)apr'!V74+'[5]Table 2A-2 EFT (Monthly)'!AY74+'[5]Table 2A-2 EFT (Monthly) mar'!AY74)*-1</f>
        <v>0</v>
      </c>
      <c r="AL75" s="1742">
        <f>('[5]Table 2A-2 EFT (Monthly)'!W74+'[5]Table 2A-2 EFT (Monthly)Aug'!W74+'[5]Table 2A-2 EFT (Monthly) sep'!W74+'[5]Table 2A-2 EFT (Monthly)oct'!W74+'[5]Table 2A-2 EFT (Monthly)oct'!W74+'[5]Table 2A-2 EFT (Monthly)dec'!W74+'[5]Table 2A-2 EFT (Monthly)jan'!W74+'[5]Table 2A-2 EFT (Monthly)feb'!W74+'[5]Table 2A-2 EFT (Monthly) mar'!W74+'[5]Table 2A-2 EFT (Monthly)apr'!W74+'[5]Table 2A-2 EFT (Monthly)'!AZ74+'[5]Table 2A-2 EFT (Monthly) mar'!AZ74)*-1</f>
        <v>0</v>
      </c>
      <c r="AM75" s="1742">
        <f>('[5]Table 2A-2 EFT (Monthly)'!X74+'[5]Table 2A-2 EFT (Monthly)Aug'!X74+'[5]Table 2A-2 EFT (Monthly) sep'!X74+'[5]Table 2A-2 EFT (Monthly)oct'!X74+'[5]Table 2A-2 EFT (Monthly)oct'!X74+'[5]Table 2A-2 EFT (Monthly)dec'!X74+'[5]Table 2A-2 EFT (Monthly)jan'!X74+'[5]Table 2A-2 EFT (Monthly)feb'!X74+'[5]Table 2A-2 EFT (Monthly) mar'!X74+'[5]Table 2A-2 EFT (Monthly)apr'!X74+'[5]Table 2A-2 EFT (Monthly)'!BA74+'[5]Table 2A-2 EFT (Monthly) mar'!BA74)*-1</f>
        <v>0</v>
      </c>
      <c r="AN75" s="1742">
        <f>('[5]Table 2A-2 EFT (Monthly) sep'!AD74+'[5]Table 2A-2 EFT (Monthly)dec'!AD74+'[5]Table 2A-2 EFT (Monthly)feb'!AD74)*-1</f>
        <v>0</v>
      </c>
      <c r="AO75" s="1742">
        <f t="shared" si="45"/>
        <v>5656</v>
      </c>
      <c r="AP75" s="561">
        <f t="shared" si="46"/>
        <v>4914269.75</v>
      </c>
      <c r="AQ75" s="318">
        <f t="shared" si="47"/>
        <v>2457135</v>
      </c>
      <c r="AR75" s="318">
        <f>'Table 4A Stipends'!G72</f>
        <v>0</v>
      </c>
      <c r="AS75" s="318">
        <f t="shared" si="37"/>
        <v>26115727</v>
      </c>
      <c r="AU75" s="1339">
        <f>('Table 8 2.1.12 MFP Funded'!G72*'Table 3 Levels 1&amp;2'!AP76)+'Table 2_State with Midyear Adjs'!F75</f>
        <v>24449373.80451018</v>
      </c>
      <c r="AV75" s="753">
        <f t="shared" si="38"/>
        <v>1666353.1954898201</v>
      </c>
      <c r="AW75" s="280">
        <f t="shared" si="36"/>
        <v>6.815525047035878E-2</v>
      </c>
    </row>
    <row r="76" spans="1:49" ht="13.5" thickBot="1">
      <c r="A76" s="414"/>
      <c r="B76" s="415" t="s">
        <v>167</v>
      </c>
      <c r="C76" s="422">
        <f t="shared" ref="C76:AQ76" si="48">SUM(C7:C75)</f>
        <v>3389216370.6269822</v>
      </c>
      <c r="D76" s="422">
        <f t="shared" si="48"/>
        <v>1263215.6796504699</v>
      </c>
      <c r="E76" s="422">
        <f>SUM(E7:E75)</f>
        <v>-4207542.5383666772</v>
      </c>
      <c r="F76" s="422">
        <f>SUM(F7:F75)</f>
        <v>-2944326.8587162076</v>
      </c>
      <c r="G76" s="422">
        <f t="shared" si="48"/>
        <v>507437.02995532152</v>
      </c>
      <c r="H76" s="422">
        <f t="shared" si="48"/>
        <v>-3451763.8886715281</v>
      </c>
      <c r="I76" s="422">
        <f t="shared" si="48"/>
        <v>20387089.343433734</v>
      </c>
      <c r="J76" s="422">
        <f t="shared" si="48"/>
        <v>-7640692.7094714195</v>
      </c>
      <c r="K76" s="422">
        <f t="shared" si="48"/>
        <v>12746396.633962324</v>
      </c>
      <c r="L76" s="422">
        <f t="shared" si="48"/>
        <v>-137501668.52406844</v>
      </c>
      <c r="M76" s="422">
        <f t="shared" si="48"/>
        <v>-953681.82539349352</v>
      </c>
      <c r="N76" s="422">
        <f>SUM(N7:N75)</f>
        <v>-3102549.7802615762</v>
      </c>
      <c r="O76" s="422">
        <f t="shared" si="48"/>
        <v>-1799323.3039990407</v>
      </c>
      <c r="P76" s="422">
        <f t="shared" si="48"/>
        <v>-897345.59572902473</v>
      </c>
      <c r="Q76" s="422">
        <f t="shared" si="48"/>
        <v>-851678.18933136784</v>
      </c>
      <c r="R76" s="422">
        <f t="shared" si="48"/>
        <v>-3777479.307245207</v>
      </c>
      <c r="S76" s="422">
        <f>SUM(S7:S75)</f>
        <v>-6267923.0408044979</v>
      </c>
      <c r="T76" s="422">
        <f t="shared" si="48"/>
        <v>-5743406.5273189088</v>
      </c>
      <c r="U76" s="422">
        <f t="shared" si="48"/>
        <v>-160895056.09415162</v>
      </c>
      <c r="V76" s="420">
        <f>SUM(V7:V75)</f>
        <v>3238123386</v>
      </c>
      <c r="W76" s="420">
        <f>SUM(W7:W75)</f>
        <v>2682792682</v>
      </c>
      <c r="X76" s="420">
        <f t="shared" ref="X76:AA76" si="49">SUM(X7:X75)</f>
        <v>464000</v>
      </c>
      <c r="Y76" s="420">
        <f t="shared" si="49"/>
        <v>3474532.350000002</v>
      </c>
      <c r="Z76" s="420">
        <f t="shared" si="49"/>
        <v>2686731214.349999</v>
      </c>
      <c r="AA76" s="420">
        <f t="shared" si="49"/>
        <v>551392171.64999998</v>
      </c>
      <c r="AB76" s="1740">
        <f>SUM(AB7:AB75)</f>
        <v>407660</v>
      </c>
      <c r="AC76" s="1740">
        <f t="shared" ref="AC76:AO76" si="50">SUM(AC7:AC75)</f>
        <v>225516</v>
      </c>
      <c r="AD76" s="1740">
        <f t="shared" si="50"/>
        <v>663296</v>
      </c>
      <c r="AE76" s="1740">
        <f t="shared" si="50"/>
        <v>849030</v>
      </c>
      <c r="AF76" s="1740">
        <f t="shared" si="50"/>
        <v>1095956.0625</v>
      </c>
      <c r="AG76" s="1740">
        <f t="shared" si="50"/>
        <v>1180725.48</v>
      </c>
      <c r="AH76" s="1740">
        <f t="shared" si="50"/>
        <v>2614522.1650000005</v>
      </c>
      <c r="AI76" s="1740">
        <f t="shared" si="50"/>
        <v>742340.73750000005</v>
      </c>
      <c r="AJ76" s="1740">
        <f t="shared" si="50"/>
        <v>1387453.3912500001</v>
      </c>
      <c r="AK76" s="1740">
        <f t="shared" si="50"/>
        <v>1683238.7125000001</v>
      </c>
      <c r="AL76" s="1740">
        <f t="shared" si="50"/>
        <v>375502.72250000003</v>
      </c>
      <c r="AM76" s="1740">
        <f t="shared" si="50"/>
        <v>2227880.3874999997</v>
      </c>
      <c r="AN76" s="1740">
        <f t="shared" si="50"/>
        <v>9483996.4466043487</v>
      </c>
      <c r="AO76" s="1740">
        <f t="shared" si="50"/>
        <v>22937118.105354339</v>
      </c>
      <c r="AP76" s="420">
        <f>SUM(AP7:AP75)</f>
        <v>574329289.75535429</v>
      </c>
      <c r="AQ76" s="422">
        <f t="shared" si="48"/>
        <v>287164642</v>
      </c>
      <c r="AR76" s="420">
        <f>SUM(AR7:AR75)</f>
        <v>464000</v>
      </c>
      <c r="AS76" s="422">
        <f>SUM(AS7:AS75)</f>
        <v>3238587386</v>
      </c>
    </row>
    <row r="77" spans="1:49" ht="13.5" thickTop="1">
      <c r="F77" s="4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S77" s="99"/>
    </row>
    <row r="79" spans="1:49">
      <c r="K79" s="35"/>
      <c r="L79" s="1804"/>
      <c r="M79" s="1784"/>
      <c r="N79" s="1784"/>
      <c r="O79" s="1784"/>
      <c r="P79" s="1784"/>
      <c r="Q79" s="1784"/>
      <c r="R79" s="1784"/>
      <c r="S79" s="1784"/>
      <c r="T79" s="1784"/>
      <c r="U79" s="1691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S79" s="49"/>
    </row>
    <row r="80" spans="1:49">
      <c r="K80" s="35"/>
      <c r="L80" s="1804"/>
      <c r="M80" s="1804"/>
      <c r="N80" s="1804"/>
      <c r="O80" s="1804"/>
      <c r="P80" s="1804"/>
      <c r="Q80" s="1804"/>
      <c r="R80" s="1804"/>
      <c r="S80" s="1804"/>
      <c r="T80" s="1804"/>
      <c r="U80" s="1536"/>
    </row>
    <row r="81" spans="11:21">
      <c r="K81" s="35"/>
      <c r="L81" s="1717"/>
      <c r="M81" s="1717"/>
      <c r="N81" s="1717"/>
      <c r="O81" s="1717"/>
      <c r="P81" s="1717"/>
      <c r="Q81" s="1717"/>
      <c r="R81" s="1718"/>
      <c r="S81" s="1719"/>
      <c r="T81" s="1720"/>
      <c r="U81" s="1221"/>
    </row>
    <row r="82" spans="11:21">
      <c r="K82" s="35"/>
      <c r="L82" s="1784"/>
      <c r="M82" s="1784"/>
      <c r="N82" s="1784"/>
      <c r="O82" s="1784"/>
      <c r="P82" s="1784"/>
      <c r="Q82" s="1784"/>
      <c r="R82" s="1784"/>
      <c r="S82" s="1784"/>
      <c r="T82" s="1784"/>
      <c r="U82" s="1691"/>
    </row>
    <row r="83" spans="11:21">
      <c r="K83" s="35"/>
      <c r="L83" s="1717"/>
      <c r="M83" s="1717"/>
      <c r="N83" s="1717"/>
      <c r="O83" s="1717"/>
      <c r="P83" s="1717"/>
      <c r="Q83" s="1717"/>
      <c r="R83" s="1717"/>
      <c r="S83" s="1719"/>
      <c r="T83" s="1719"/>
      <c r="U83" s="1070"/>
    </row>
    <row r="84" spans="11:21">
      <c r="L84" s="1198"/>
      <c r="M84" s="1198"/>
      <c r="N84" s="1198"/>
      <c r="O84" s="1198"/>
      <c r="P84" s="1198"/>
      <c r="Q84" s="1198"/>
      <c r="R84" s="1198"/>
      <c r="S84" s="947"/>
      <c r="T84" s="1070"/>
      <c r="U84" s="1070"/>
    </row>
    <row r="85" spans="11:21">
      <c r="L85" s="1198"/>
      <c r="M85" s="1198"/>
      <c r="N85" s="1198"/>
      <c r="O85" s="1198"/>
      <c r="P85" s="1198"/>
      <c r="Q85" s="1198"/>
      <c r="R85" s="1198"/>
      <c r="S85" s="947"/>
      <c r="T85" s="1070"/>
      <c r="U85" s="1070"/>
    </row>
  </sheetData>
  <mergeCells count="54">
    <mergeCell ref="AH2:AH5"/>
    <mergeCell ref="AX42:BR42"/>
    <mergeCell ref="L79:T79"/>
    <mergeCell ref="AI2:AI5"/>
    <mergeCell ref="AJ2:AJ5"/>
    <mergeCell ref="AK2:AK5"/>
    <mergeCell ref="AL2:AL5"/>
    <mergeCell ref="AM2:AM5"/>
    <mergeCell ref="AA2:AA5"/>
    <mergeCell ref="AD2:AD5"/>
    <mergeCell ref="AE2:AE5"/>
    <mergeCell ref="AF2:AF5"/>
    <mergeCell ref="AG2:AG5"/>
    <mergeCell ref="D1:H1"/>
    <mergeCell ref="L2:L5"/>
    <mergeCell ref="V2:V5"/>
    <mergeCell ref="AQ2:AQ5"/>
    <mergeCell ref="M2:M5"/>
    <mergeCell ref="O2:O5"/>
    <mergeCell ref="P2:P5"/>
    <mergeCell ref="Q2:Q5"/>
    <mergeCell ref="R2:R5"/>
    <mergeCell ref="W2:W5"/>
    <mergeCell ref="AP2:AP5"/>
    <mergeCell ref="I2:I5"/>
    <mergeCell ref="N2:N5"/>
    <mergeCell ref="K2:K5"/>
    <mergeCell ref="AN2:AN5"/>
    <mergeCell ref="AO2:AO5"/>
    <mergeCell ref="A2:A5"/>
    <mergeCell ref="G2:H3"/>
    <mergeCell ref="G4:G5"/>
    <mergeCell ref="H4:H5"/>
    <mergeCell ref="C2:C5"/>
    <mergeCell ref="D2:D5"/>
    <mergeCell ref="E2:E5"/>
    <mergeCell ref="F2:F5"/>
    <mergeCell ref="B2:B5"/>
    <mergeCell ref="I1:K1"/>
    <mergeCell ref="L82:T82"/>
    <mergeCell ref="AU3:AW3"/>
    <mergeCell ref="AV4:AV6"/>
    <mergeCell ref="AR2:AR5"/>
    <mergeCell ref="S2:S5"/>
    <mergeCell ref="T2:T5"/>
    <mergeCell ref="J2:J5"/>
    <mergeCell ref="U2:U5"/>
    <mergeCell ref="X2:X5"/>
    <mergeCell ref="Y2:Y5"/>
    <mergeCell ref="Z2:Z5"/>
    <mergeCell ref="AB2:AB5"/>
    <mergeCell ref="AC2:AC5"/>
    <mergeCell ref="L80:T80"/>
    <mergeCell ref="AS2:AS5"/>
  </mergeCells>
  <phoneticPr fontId="53" type="noConversion"/>
  <printOptions horizontalCentered="1"/>
  <pageMargins left="0.25" right="0.2" top="1.1399999999999999" bottom="0.49" header="0.5" footer="0.25"/>
  <pageSetup paperSize="5" scale="75" firstPageNumber="3" fitToWidth="12" orientation="portrait" useFirstPageNumber="1" r:id="rId1"/>
  <headerFooter alignWithMargins="0">
    <oddHeader>&amp;L&amp;"Arial,Bold"&amp;18Table 2:  Revised FY2012-13 Budget Letter (May 2013)&amp;"Arial,Regular"&amp;10
&amp;"Arial,Bold"&amp;18Distribution and Adjustments</oddHeader>
    <oddFooter>&amp;R&amp;12&amp;P</oddFooter>
  </headerFooter>
  <colBreaks count="3" manualBreakCount="3">
    <brk id="8" max="76" man="1"/>
    <brk id="11" max="76" man="1"/>
    <brk id="39" max="7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4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2" bestFit="1" customWidth="1"/>
    <col min="15" max="15" width="13.42578125" bestFit="1" customWidth="1"/>
    <col min="16" max="18" width="14" customWidth="1"/>
    <col min="19" max="19" width="9.28515625" bestFit="1" customWidth="1"/>
    <col min="20" max="20" width="15.42578125" bestFit="1" customWidth="1"/>
    <col min="21" max="21" width="11" bestFit="1" customWidth="1"/>
    <col min="22" max="26" width="13.42578125" customWidth="1"/>
    <col min="27" max="27" width="12" bestFit="1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3.28515625" customWidth="1"/>
    <col min="38" max="41" width="0" hidden="1" customWidth="1"/>
    <col min="44" max="44" width="10.5703125" bestFit="1" customWidth="1"/>
  </cols>
  <sheetData>
    <row r="1" spans="1:42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2" ht="45" customHeight="1">
      <c r="A2" s="2021" t="s">
        <v>1004</v>
      </c>
      <c r="B2" s="2022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2" ht="114.75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1917" t="s">
        <v>1265</v>
      </c>
      <c r="U3" s="2033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409" t="s">
        <v>724</v>
      </c>
      <c r="AC3" s="1917" t="s">
        <v>725</v>
      </c>
      <c r="AD3" s="1917" t="s">
        <v>990</v>
      </c>
      <c r="AE3" s="1917" t="s">
        <v>1122</v>
      </c>
      <c r="AF3" s="2033" t="s">
        <v>1330</v>
      </c>
      <c r="AG3" s="2033" t="s">
        <v>1403</v>
      </c>
      <c r="AH3" s="2033" t="s">
        <v>1217</v>
      </c>
      <c r="AI3" s="1915"/>
      <c r="AJ3" s="1915"/>
    </row>
    <row r="4" spans="1:42" ht="50.25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91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2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</row>
    <row r="6" spans="1:42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2">
      <c r="A7" s="968">
        <v>1</v>
      </c>
      <c r="B7" s="969" t="s">
        <v>102</v>
      </c>
      <c r="C7" s="970">
        <f>'Table 8 2.1.12 MFP Funded'!X4</f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Lake Charles Chtr'!K7</f>
        <v>0</v>
      </c>
      <c r="J7" s="1414">
        <f>'[1]Feb midyear Lake Charles Ch'!K7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Final'!K8</f>
        <v>2115</v>
      </c>
      <c r="U7" s="973">
        <f t="shared" ref="U7:U38" si="30">C7*T7</f>
        <v>0</v>
      </c>
      <c r="V7" s="1354">
        <f>'[20]Oct midyear Lake Charles Chtr'!E7</f>
        <v>0</v>
      </c>
      <c r="W7" s="1444">
        <f>V7*T7</f>
        <v>0</v>
      </c>
      <c r="X7" s="1466">
        <f>'[20]Feb midyear Lake Charles Ch'!E7</f>
        <v>0</v>
      </c>
      <c r="Y7" s="1444">
        <f>X7*(T7*0.5)</f>
        <v>0</v>
      </c>
      <c r="Z7" s="1444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v>0</v>
      </c>
      <c r="AG7" s="973">
        <f>AE7-AF7</f>
        <v>0</v>
      </c>
      <c r="AH7" s="973">
        <f>AG7/2</f>
        <v>0</v>
      </c>
      <c r="AI7" s="974">
        <f t="shared" ref="AI7:AI38" si="31">P7+AE7</f>
        <v>0</v>
      </c>
      <c r="AJ7" s="974">
        <f t="shared" ref="AJ7:AJ38" si="32">S7+AH7</f>
        <v>0</v>
      </c>
      <c r="AK7" s="49"/>
      <c r="AL7" s="49">
        <f>AB7</f>
        <v>0</v>
      </c>
      <c r="AM7" s="49">
        <f>-'[22]Table 5C1F-Lake Charles Charter'!AL7</f>
        <v>0</v>
      </c>
      <c r="AN7" s="49">
        <f>-'[21]Table 5C1F-Lake Charles Charter'!P7</f>
        <v>0</v>
      </c>
      <c r="AO7" s="49">
        <f>SUM(AL7:AM7)</f>
        <v>0</v>
      </c>
      <c r="AP7" s="49"/>
    </row>
    <row r="8" spans="1:42">
      <c r="A8" s="975">
        <v>2</v>
      </c>
      <c r="B8" s="976" t="s">
        <v>103</v>
      </c>
      <c r="C8" s="1168">
        <f>'Table 8 2.1.12 MFP Funded'!X5</f>
        <v>0</v>
      </c>
      <c r="D8" s="978">
        <f>'Table 3 Levels 1&amp;2'!AL9</f>
        <v>6149.545926426621</v>
      </c>
      <c r="E8" s="1072">
        <f t="shared" ref="E8:E71" si="33">C8*D8</f>
        <v>0</v>
      </c>
      <c r="F8" s="1072">
        <f>'Table 4 Level 3'!P7</f>
        <v>842.32</v>
      </c>
      <c r="G8" s="1072">
        <f t="shared" ref="G8:G71" si="34">C8*F8</f>
        <v>0</v>
      </c>
      <c r="H8" s="1030">
        <f t="shared" ref="H8:H71" si="35">E8+G8</f>
        <v>0</v>
      </c>
      <c r="I8" s="1415">
        <f>'[1]Oct midyear Lake Charles Chtr'!K8</f>
        <v>0</v>
      </c>
      <c r="J8" s="1415">
        <f>'[1]Feb midyear Lake Charles Ch'!K8</f>
        <v>0</v>
      </c>
      <c r="K8" s="1415">
        <f t="shared" ref="K8:K71" si="36">I8+J8</f>
        <v>0</v>
      </c>
      <c r="L8" s="1434">
        <f t="shared" ref="L8:L71" si="37">H8+K8</f>
        <v>0</v>
      </c>
      <c r="M8" s="1082">
        <f t="shared" ref="M8:M71" si="38">-(0.25%*L8)</f>
        <v>0</v>
      </c>
      <c r="N8" s="1030">
        <f t="shared" ref="N8:N71" si="39">SUM(L8:M8)</f>
        <v>0</v>
      </c>
      <c r="O8" s="1030">
        <v>0</v>
      </c>
      <c r="P8" s="1030">
        <f t="shared" ref="P8:P71" si="40">SUM(N8:O8)</f>
        <v>0</v>
      </c>
      <c r="Q8" s="1030">
        <v>0</v>
      </c>
      <c r="R8" s="1030">
        <f t="shared" ref="R8:R71" si="41">P8-Q8</f>
        <v>0</v>
      </c>
      <c r="S8" s="1030">
        <f t="shared" ref="S8:S71" si="42">R8/2</f>
        <v>0</v>
      </c>
      <c r="T8" s="1029">
        <f>'[14]FY2012-13 Final'!K9</f>
        <v>2584</v>
      </c>
      <c r="U8" s="1031">
        <f t="shared" si="30"/>
        <v>0</v>
      </c>
      <c r="V8" s="1464">
        <f>'[20]Oct midyear Lake Charles Chtr'!E8</f>
        <v>0</v>
      </c>
      <c r="W8" s="1443">
        <f t="shared" ref="W8:W71" si="43">V8*T8</f>
        <v>0</v>
      </c>
      <c r="X8" s="1474">
        <f>'[20]Feb midyear Lake Charles Ch'!E8</f>
        <v>0</v>
      </c>
      <c r="Y8" s="1470">
        <f t="shared" ref="Y8:Y71" si="44">X8*(T8*0.5)</f>
        <v>0</v>
      </c>
      <c r="Z8" s="1470">
        <f t="shared" ref="Z8:Z71" si="45">W8+Y8</f>
        <v>0</v>
      </c>
      <c r="AA8" s="1031">
        <f t="shared" ref="AA8:AA71" si="46">U8+Z8</f>
        <v>0</v>
      </c>
      <c r="AB8" s="1090">
        <f t="shared" ref="AB8:AB71" si="47">-(0.25%*AA8)</f>
        <v>0</v>
      </c>
      <c r="AC8" s="1031">
        <f t="shared" ref="AC8:AC71" si="48">SUM(AA8:AB8)</f>
        <v>0</v>
      </c>
      <c r="AD8" s="1031">
        <v>0</v>
      </c>
      <c r="AE8" s="1031">
        <f t="shared" ref="AE8:AE71" si="49">SUM(AC8:AD8)</f>
        <v>0</v>
      </c>
      <c r="AF8" s="1031">
        <v>0</v>
      </c>
      <c r="AG8" s="1031">
        <f t="shared" ref="AG8:AG71" si="50">AE8-AF8</f>
        <v>0</v>
      </c>
      <c r="AH8" s="1031">
        <f t="shared" ref="AH8:AH71" si="51">AG8/2</f>
        <v>0</v>
      </c>
      <c r="AI8" s="1032">
        <f t="shared" si="31"/>
        <v>0</v>
      </c>
      <c r="AJ8" s="1032">
        <f t="shared" si="32"/>
        <v>0</v>
      </c>
      <c r="AK8" s="49"/>
      <c r="AL8" s="49">
        <f t="shared" ref="AL8:AL71" si="52">AB8</f>
        <v>0</v>
      </c>
      <c r="AM8" s="49">
        <f>-'[22]Table 5C1F-Lake Charles Charter'!AL8</f>
        <v>0</v>
      </c>
      <c r="AN8" s="49">
        <f>-'[21]Table 5C1F-Lake Charles Charter'!P8</f>
        <v>0</v>
      </c>
      <c r="AO8" s="49">
        <f t="shared" ref="AO8:AO71" si="53">SUM(AL8:AM8)</f>
        <v>0</v>
      </c>
      <c r="AP8" s="49"/>
    </row>
    <row r="9" spans="1:42">
      <c r="A9" s="975">
        <v>3</v>
      </c>
      <c r="B9" s="976" t="s">
        <v>104</v>
      </c>
      <c r="C9" s="1168">
        <f>'Table 8 2.1.12 MFP Funded'!X6</f>
        <v>0</v>
      </c>
      <c r="D9" s="978">
        <f>'Table 3 Levels 1&amp;2'!AL10</f>
        <v>4340.9401078757892</v>
      </c>
      <c r="E9" s="1072">
        <f t="shared" si="33"/>
        <v>0</v>
      </c>
      <c r="F9" s="1072">
        <f>'Table 4 Level 3'!P8</f>
        <v>596.84</v>
      </c>
      <c r="G9" s="1072">
        <f t="shared" si="34"/>
        <v>0</v>
      </c>
      <c r="H9" s="1030">
        <f t="shared" si="35"/>
        <v>0</v>
      </c>
      <c r="I9" s="1415">
        <f>'[1]Oct midyear Lake Charles Chtr'!K9</f>
        <v>0</v>
      </c>
      <c r="J9" s="1415">
        <f>'[1]Feb midyear Lake Charles Ch'!K9</f>
        <v>0</v>
      </c>
      <c r="K9" s="1415">
        <f t="shared" si="36"/>
        <v>0</v>
      </c>
      <c r="L9" s="1434">
        <f t="shared" si="37"/>
        <v>0</v>
      </c>
      <c r="M9" s="1082">
        <f t="shared" si="38"/>
        <v>0</v>
      </c>
      <c r="N9" s="1030">
        <f t="shared" si="39"/>
        <v>0</v>
      </c>
      <c r="O9" s="1030">
        <v>0</v>
      </c>
      <c r="P9" s="1030">
        <f t="shared" si="40"/>
        <v>0</v>
      </c>
      <c r="Q9" s="1030">
        <v>0</v>
      </c>
      <c r="R9" s="1030">
        <f t="shared" si="41"/>
        <v>0</v>
      </c>
      <c r="S9" s="1030">
        <f t="shared" si="42"/>
        <v>0</v>
      </c>
      <c r="T9" s="1029">
        <f>'[14]FY2012-13 Final'!K10</f>
        <v>4977</v>
      </c>
      <c r="U9" s="1031">
        <f t="shared" si="30"/>
        <v>0</v>
      </c>
      <c r="V9" s="1464">
        <f>'[20]Oct midyear Lake Charles Chtr'!E9</f>
        <v>0</v>
      </c>
      <c r="W9" s="1443">
        <f t="shared" si="43"/>
        <v>0</v>
      </c>
      <c r="X9" s="1474">
        <f>'[20]Feb midyear Lake Charles Ch'!E9</f>
        <v>0</v>
      </c>
      <c r="Y9" s="1470">
        <f t="shared" si="44"/>
        <v>0</v>
      </c>
      <c r="Z9" s="1470">
        <f t="shared" si="45"/>
        <v>0</v>
      </c>
      <c r="AA9" s="1031">
        <f t="shared" si="46"/>
        <v>0</v>
      </c>
      <c r="AB9" s="1090">
        <f t="shared" si="47"/>
        <v>0</v>
      </c>
      <c r="AC9" s="1031">
        <f t="shared" si="48"/>
        <v>0</v>
      </c>
      <c r="AD9" s="1031">
        <v>0</v>
      </c>
      <c r="AE9" s="1031">
        <f t="shared" si="49"/>
        <v>0</v>
      </c>
      <c r="AF9" s="1031">
        <v>0</v>
      </c>
      <c r="AG9" s="1031">
        <f t="shared" si="50"/>
        <v>0</v>
      </c>
      <c r="AH9" s="1031">
        <f t="shared" si="51"/>
        <v>0</v>
      </c>
      <c r="AI9" s="1032">
        <f t="shared" si="31"/>
        <v>0</v>
      </c>
      <c r="AJ9" s="1032">
        <f t="shared" si="32"/>
        <v>0</v>
      </c>
      <c r="AK9" s="49"/>
      <c r="AL9" s="49">
        <f t="shared" si="52"/>
        <v>0</v>
      </c>
      <c r="AM9" s="49">
        <f>-'[22]Table 5C1F-Lake Charles Charter'!AL9</f>
        <v>0</v>
      </c>
      <c r="AN9" s="49">
        <f>-'[21]Table 5C1F-Lake Charles Charter'!P9</f>
        <v>0</v>
      </c>
      <c r="AO9" s="49">
        <f t="shared" si="53"/>
        <v>0</v>
      </c>
      <c r="AP9" s="49"/>
    </row>
    <row r="10" spans="1:42">
      <c r="A10" s="975">
        <v>4</v>
      </c>
      <c r="B10" s="976" t="s">
        <v>105</v>
      </c>
      <c r="C10" s="1168">
        <f>'Table 8 2.1.12 MFP Funded'!X7</f>
        <v>0</v>
      </c>
      <c r="D10" s="978">
        <f>'Table 3 Levels 1&amp;2'!AL11</f>
        <v>6077.3708498182023</v>
      </c>
      <c r="E10" s="1072">
        <f t="shared" si="33"/>
        <v>0</v>
      </c>
      <c r="F10" s="1072">
        <f>'Table 4 Level 3'!P9</f>
        <v>585.76</v>
      </c>
      <c r="G10" s="1072">
        <f t="shared" si="34"/>
        <v>0</v>
      </c>
      <c r="H10" s="1030">
        <f t="shared" si="35"/>
        <v>0</v>
      </c>
      <c r="I10" s="1415">
        <f>'[1]Oct midyear Lake Charles Chtr'!K10</f>
        <v>0</v>
      </c>
      <c r="J10" s="1415">
        <f>'[1]Feb midyear Lake Charles Ch'!K10</f>
        <v>0</v>
      </c>
      <c r="K10" s="1415">
        <f t="shared" si="36"/>
        <v>0</v>
      </c>
      <c r="L10" s="1434">
        <f t="shared" si="37"/>
        <v>0</v>
      </c>
      <c r="M10" s="1082">
        <f t="shared" si="38"/>
        <v>0</v>
      </c>
      <c r="N10" s="1030">
        <f t="shared" si="39"/>
        <v>0</v>
      </c>
      <c r="O10" s="1030">
        <v>0</v>
      </c>
      <c r="P10" s="1030">
        <f t="shared" si="40"/>
        <v>0</v>
      </c>
      <c r="Q10" s="1030">
        <v>0</v>
      </c>
      <c r="R10" s="1030">
        <f t="shared" si="41"/>
        <v>0</v>
      </c>
      <c r="S10" s="1030">
        <f t="shared" si="42"/>
        <v>0</v>
      </c>
      <c r="T10" s="1029">
        <f>'[14]FY2012-13 Final'!K11</f>
        <v>3455</v>
      </c>
      <c r="U10" s="1031">
        <f t="shared" si="30"/>
        <v>0</v>
      </c>
      <c r="V10" s="1464">
        <f>'[20]Oct midyear Lake Charles Chtr'!E10</f>
        <v>0</v>
      </c>
      <c r="W10" s="1443">
        <f t="shared" si="43"/>
        <v>0</v>
      </c>
      <c r="X10" s="1474">
        <f>'[20]Feb midyear Lake Charles Ch'!E10</f>
        <v>0</v>
      </c>
      <c r="Y10" s="1470">
        <f t="shared" si="44"/>
        <v>0</v>
      </c>
      <c r="Z10" s="1470">
        <f t="shared" si="45"/>
        <v>0</v>
      </c>
      <c r="AA10" s="1031">
        <f t="shared" si="46"/>
        <v>0</v>
      </c>
      <c r="AB10" s="1090">
        <f t="shared" si="47"/>
        <v>0</v>
      </c>
      <c r="AC10" s="1031">
        <f t="shared" si="48"/>
        <v>0</v>
      </c>
      <c r="AD10" s="1031">
        <v>0</v>
      </c>
      <c r="AE10" s="1031">
        <f t="shared" si="49"/>
        <v>0</v>
      </c>
      <c r="AF10" s="1031">
        <v>0</v>
      </c>
      <c r="AG10" s="1031">
        <f t="shared" si="50"/>
        <v>0</v>
      </c>
      <c r="AH10" s="1031">
        <f t="shared" si="51"/>
        <v>0</v>
      </c>
      <c r="AI10" s="1032">
        <f t="shared" si="31"/>
        <v>0</v>
      </c>
      <c r="AJ10" s="1032">
        <f t="shared" si="32"/>
        <v>0</v>
      </c>
      <c r="AK10" s="49"/>
      <c r="AL10" s="49">
        <f t="shared" si="52"/>
        <v>0</v>
      </c>
      <c r="AM10" s="49">
        <f>-'[22]Table 5C1F-Lake Charles Charter'!AL10</f>
        <v>0</v>
      </c>
      <c r="AN10" s="49">
        <f>-'[21]Table 5C1F-Lake Charles Charter'!P10</f>
        <v>0</v>
      </c>
      <c r="AO10" s="49">
        <f t="shared" si="53"/>
        <v>0</v>
      </c>
      <c r="AP10" s="49"/>
    </row>
    <row r="11" spans="1:42">
      <c r="A11" s="979">
        <v>5</v>
      </c>
      <c r="B11" s="980" t="s">
        <v>106</v>
      </c>
      <c r="C11" s="1169">
        <f>'Table 8 2.1.12 MFP Funded'!X8</f>
        <v>0</v>
      </c>
      <c r="D11" s="982">
        <f>'Table 3 Levels 1&amp;2'!AL12</f>
        <v>4878.1095033692254</v>
      </c>
      <c r="E11" s="1073">
        <f t="shared" si="33"/>
        <v>0</v>
      </c>
      <c r="F11" s="1073">
        <f>'Table 4 Level 3'!P10</f>
        <v>555.91</v>
      </c>
      <c r="G11" s="1073">
        <f t="shared" si="34"/>
        <v>0</v>
      </c>
      <c r="H11" s="1033">
        <f t="shared" si="35"/>
        <v>0</v>
      </c>
      <c r="I11" s="1416">
        <f>'[1]Oct midyear Lake Charles Chtr'!K11</f>
        <v>0</v>
      </c>
      <c r="J11" s="1416">
        <f>'[1]Feb midyear Lake Charles Ch'!K11</f>
        <v>0</v>
      </c>
      <c r="K11" s="1416">
        <f t="shared" si="36"/>
        <v>0</v>
      </c>
      <c r="L11" s="1435">
        <f t="shared" si="37"/>
        <v>0</v>
      </c>
      <c r="M11" s="1083">
        <f t="shared" si="38"/>
        <v>0</v>
      </c>
      <c r="N11" s="1033">
        <f t="shared" si="39"/>
        <v>0</v>
      </c>
      <c r="O11" s="1033">
        <v>0</v>
      </c>
      <c r="P11" s="1033">
        <f t="shared" si="40"/>
        <v>0</v>
      </c>
      <c r="Q11" s="1033">
        <v>0</v>
      </c>
      <c r="R11" s="1033">
        <f t="shared" si="41"/>
        <v>0</v>
      </c>
      <c r="S11" s="1033">
        <f t="shared" si="42"/>
        <v>0</v>
      </c>
      <c r="T11" s="1034">
        <f>'[14]FY2012-13 Final'!K12</f>
        <v>1515</v>
      </c>
      <c r="U11" s="1035">
        <f t="shared" si="30"/>
        <v>0</v>
      </c>
      <c r="V11" s="1465">
        <f>'[20]Oct midyear Lake Charles Chtr'!E11</f>
        <v>0</v>
      </c>
      <c r="W11" s="1445">
        <f t="shared" si="43"/>
        <v>0</v>
      </c>
      <c r="X11" s="1475">
        <f>'[20]Feb midyear Lake Charles Ch'!E11</f>
        <v>0</v>
      </c>
      <c r="Y11" s="1471">
        <f t="shared" si="44"/>
        <v>0</v>
      </c>
      <c r="Z11" s="1471">
        <f t="shared" si="45"/>
        <v>0</v>
      </c>
      <c r="AA11" s="1035">
        <f t="shared" si="46"/>
        <v>0</v>
      </c>
      <c r="AB11" s="1091">
        <f t="shared" si="47"/>
        <v>0</v>
      </c>
      <c r="AC11" s="1035">
        <f t="shared" si="48"/>
        <v>0</v>
      </c>
      <c r="AD11" s="1035">
        <v>0</v>
      </c>
      <c r="AE11" s="1035">
        <f t="shared" si="49"/>
        <v>0</v>
      </c>
      <c r="AF11" s="1035">
        <v>0</v>
      </c>
      <c r="AG11" s="1035">
        <f t="shared" si="50"/>
        <v>0</v>
      </c>
      <c r="AH11" s="1035">
        <f t="shared" si="51"/>
        <v>0</v>
      </c>
      <c r="AI11" s="1036">
        <f t="shared" si="31"/>
        <v>0</v>
      </c>
      <c r="AJ11" s="1036">
        <f t="shared" si="32"/>
        <v>0</v>
      </c>
      <c r="AK11" s="49"/>
      <c r="AL11" s="49">
        <f t="shared" si="52"/>
        <v>0</v>
      </c>
      <c r="AM11" s="49">
        <f>-'[22]Table 5C1F-Lake Charles Charter'!AL11</f>
        <v>0</v>
      </c>
      <c r="AN11" s="49">
        <f>-'[21]Table 5C1F-Lake Charles Charter'!P11</f>
        <v>0</v>
      </c>
      <c r="AO11" s="49">
        <f t="shared" si="53"/>
        <v>0</v>
      </c>
      <c r="AP11" s="49"/>
    </row>
    <row r="12" spans="1:42">
      <c r="A12" s="968">
        <v>6</v>
      </c>
      <c r="B12" s="969" t="s">
        <v>107</v>
      </c>
      <c r="C12" s="1170">
        <f>'Table 8 2.1.12 MFP Funded'!X9</f>
        <v>0</v>
      </c>
      <c r="D12" s="971">
        <f>'Table 3 Levels 1&amp;2'!AL13</f>
        <v>5550.1901239384006</v>
      </c>
      <c r="E12" s="1071">
        <f t="shared" si="33"/>
        <v>0</v>
      </c>
      <c r="F12" s="1071">
        <f>'Table 4 Level 3'!P11</f>
        <v>545.4799999999999</v>
      </c>
      <c r="G12" s="1071">
        <f t="shared" si="34"/>
        <v>0</v>
      </c>
      <c r="H12" s="972">
        <f t="shared" si="35"/>
        <v>0</v>
      </c>
      <c r="I12" s="1414">
        <f>'[1]Oct midyear Lake Charles Chtr'!K12</f>
        <v>0</v>
      </c>
      <c r="J12" s="1414">
        <f>'[1]Feb midyear Lake Charles Ch'!K12</f>
        <v>0</v>
      </c>
      <c r="K12" s="1414">
        <f t="shared" si="36"/>
        <v>0</v>
      </c>
      <c r="L12" s="1213">
        <f t="shared" si="37"/>
        <v>0</v>
      </c>
      <c r="M12" s="1081">
        <f t="shared" si="38"/>
        <v>0</v>
      </c>
      <c r="N12" s="972">
        <f t="shared" si="39"/>
        <v>0</v>
      </c>
      <c r="O12" s="972">
        <v>0</v>
      </c>
      <c r="P12" s="972">
        <f t="shared" si="40"/>
        <v>0</v>
      </c>
      <c r="Q12" s="972">
        <v>0</v>
      </c>
      <c r="R12" s="972">
        <f t="shared" si="41"/>
        <v>0</v>
      </c>
      <c r="S12" s="972">
        <f t="shared" si="42"/>
        <v>0</v>
      </c>
      <c r="T12" s="1029">
        <f>'[14]FY2012-13 Final'!K13</f>
        <v>3579</v>
      </c>
      <c r="U12" s="973">
        <f t="shared" si="30"/>
        <v>0</v>
      </c>
      <c r="V12" s="1466">
        <f>'[20]Oct midyear Lake Charles Chtr'!E12</f>
        <v>0</v>
      </c>
      <c r="W12" s="1444">
        <f t="shared" si="43"/>
        <v>0</v>
      </c>
      <c r="X12" s="1466">
        <f>'[20]Feb midyear Lake Charles Ch'!E12</f>
        <v>0</v>
      </c>
      <c r="Y12" s="1444">
        <f t="shared" si="44"/>
        <v>0</v>
      </c>
      <c r="Z12" s="1444">
        <f t="shared" si="45"/>
        <v>0</v>
      </c>
      <c r="AA12" s="973">
        <f t="shared" si="46"/>
        <v>0</v>
      </c>
      <c r="AB12" s="1089">
        <f t="shared" si="47"/>
        <v>0</v>
      </c>
      <c r="AC12" s="973">
        <f t="shared" si="48"/>
        <v>0</v>
      </c>
      <c r="AD12" s="973">
        <v>0</v>
      </c>
      <c r="AE12" s="973">
        <f t="shared" si="49"/>
        <v>0</v>
      </c>
      <c r="AF12" s="973">
        <v>0</v>
      </c>
      <c r="AG12" s="973">
        <f t="shared" si="50"/>
        <v>0</v>
      </c>
      <c r="AH12" s="973">
        <f t="shared" si="51"/>
        <v>0</v>
      </c>
      <c r="AI12" s="974">
        <f t="shared" si="31"/>
        <v>0</v>
      </c>
      <c r="AJ12" s="974">
        <f t="shared" si="32"/>
        <v>0</v>
      </c>
      <c r="AK12" s="49"/>
      <c r="AL12" s="49">
        <f t="shared" si="52"/>
        <v>0</v>
      </c>
      <c r="AM12" s="49">
        <f>-'[22]Table 5C1F-Lake Charles Charter'!AL12</f>
        <v>0</v>
      </c>
      <c r="AN12" s="49">
        <f>-'[21]Table 5C1F-Lake Charles Charter'!P12</f>
        <v>0</v>
      </c>
      <c r="AO12" s="49">
        <f t="shared" si="53"/>
        <v>0</v>
      </c>
      <c r="AP12" s="49"/>
    </row>
    <row r="13" spans="1:42">
      <c r="A13" s="975">
        <v>7</v>
      </c>
      <c r="B13" s="976" t="s">
        <v>108</v>
      </c>
      <c r="C13" s="1168">
        <f>'Table 8 2.1.12 MFP Funded'!X10</f>
        <v>0</v>
      </c>
      <c r="D13" s="978">
        <f>'Table 3 Levels 1&amp;2'!AL14</f>
        <v>1550.5347159603245</v>
      </c>
      <c r="E13" s="1072">
        <f t="shared" si="33"/>
        <v>0</v>
      </c>
      <c r="F13" s="1072">
        <f>'Table 4 Level 3'!P12</f>
        <v>756.91999999999985</v>
      </c>
      <c r="G13" s="1072">
        <f t="shared" si="34"/>
        <v>0</v>
      </c>
      <c r="H13" s="1030">
        <f t="shared" si="35"/>
        <v>0</v>
      </c>
      <c r="I13" s="1415">
        <f>'[1]Oct midyear Lake Charles Chtr'!K13</f>
        <v>0</v>
      </c>
      <c r="J13" s="1415">
        <f>'[1]Feb midyear Lake Charles Ch'!K13</f>
        <v>0</v>
      </c>
      <c r="K13" s="1415">
        <f t="shared" si="36"/>
        <v>0</v>
      </c>
      <c r="L13" s="1434">
        <f t="shared" si="37"/>
        <v>0</v>
      </c>
      <c r="M13" s="1082">
        <f t="shared" si="38"/>
        <v>0</v>
      </c>
      <c r="N13" s="1030">
        <f t="shared" si="39"/>
        <v>0</v>
      </c>
      <c r="O13" s="1030">
        <v>0</v>
      </c>
      <c r="P13" s="1030">
        <f t="shared" si="40"/>
        <v>0</v>
      </c>
      <c r="Q13" s="1030">
        <v>0</v>
      </c>
      <c r="R13" s="1030">
        <f t="shared" si="41"/>
        <v>0</v>
      </c>
      <c r="S13" s="1030">
        <f t="shared" si="42"/>
        <v>0</v>
      </c>
      <c r="T13" s="1029">
        <f>'[14]FY2012-13 Final'!K14</f>
        <v>12483</v>
      </c>
      <c r="U13" s="1031">
        <f t="shared" si="30"/>
        <v>0</v>
      </c>
      <c r="V13" s="1464">
        <f>'[20]Oct midyear Lake Charles Chtr'!E13</f>
        <v>0</v>
      </c>
      <c r="W13" s="1443">
        <f t="shared" si="43"/>
        <v>0</v>
      </c>
      <c r="X13" s="1474">
        <f>'[20]Feb midyear Lake Charles Ch'!E13</f>
        <v>0</v>
      </c>
      <c r="Y13" s="1470">
        <f t="shared" si="44"/>
        <v>0</v>
      </c>
      <c r="Z13" s="1470">
        <f t="shared" si="45"/>
        <v>0</v>
      </c>
      <c r="AA13" s="1031">
        <f t="shared" si="46"/>
        <v>0</v>
      </c>
      <c r="AB13" s="1090">
        <f t="shared" si="47"/>
        <v>0</v>
      </c>
      <c r="AC13" s="1031">
        <f t="shared" si="48"/>
        <v>0</v>
      </c>
      <c r="AD13" s="1031">
        <v>0</v>
      </c>
      <c r="AE13" s="1031">
        <f t="shared" si="49"/>
        <v>0</v>
      </c>
      <c r="AF13" s="1031">
        <v>0</v>
      </c>
      <c r="AG13" s="1031">
        <f t="shared" si="50"/>
        <v>0</v>
      </c>
      <c r="AH13" s="1031">
        <f t="shared" si="51"/>
        <v>0</v>
      </c>
      <c r="AI13" s="1032">
        <f t="shared" si="31"/>
        <v>0</v>
      </c>
      <c r="AJ13" s="1032">
        <f t="shared" si="32"/>
        <v>0</v>
      </c>
      <c r="AK13" s="49"/>
      <c r="AL13" s="49">
        <f t="shared" si="52"/>
        <v>0</v>
      </c>
      <c r="AM13" s="49">
        <f>-'[22]Table 5C1F-Lake Charles Charter'!AL13</f>
        <v>0</v>
      </c>
      <c r="AN13" s="49">
        <f>-'[21]Table 5C1F-Lake Charles Charter'!P13</f>
        <v>0</v>
      </c>
      <c r="AO13" s="49">
        <f t="shared" si="53"/>
        <v>0</v>
      </c>
      <c r="AP13" s="49"/>
    </row>
    <row r="14" spans="1:42">
      <c r="A14" s="975">
        <v>8</v>
      </c>
      <c r="B14" s="976" t="s">
        <v>109</v>
      </c>
      <c r="C14" s="1168">
        <f>'Table 8 2.1.12 MFP Funded'!X11</f>
        <v>0</v>
      </c>
      <c r="D14" s="978">
        <f>'Table 3 Levels 1&amp;2'!AL15</f>
        <v>4054.7459475361657</v>
      </c>
      <c r="E14" s="1072">
        <f t="shared" si="33"/>
        <v>0</v>
      </c>
      <c r="F14" s="1072">
        <f>'Table 4 Level 3'!P13</f>
        <v>725.76</v>
      </c>
      <c r="G14" s="1072">
        <f t="shared" si="34"/>
        <v>0</v>
      </c>
      <c r="H14" s="1030">
        <f t="shared" si="35"/>
        <v>0</v>
      </c>
      <c r="I14" s="1415">
        <f>'[1]Oct midyear Lake Charles Chtr'!K14</f>
        <v>0</v>
      </c>
      <c r="J14" s="1415">
        <f>'[1]Feb midyear Lake Charles Ch'!K14</f>
        <v>0</v>
      </c>
      <c r="K14" s="1415">
        <f t="shared" si="36"/>
        <v>0</v>
      </c>
      <c r="L14" s="1434">
        <f t="shared" si="37"/>
        <v>0</v>
      </c>
      <c r="M14" s="1082">
        <f t="shared" si="38"/>
        <v>0</v>
      </c>
      <c r="N14" s="1030">
        <f t="shared" si="39"/>
        <v>0</v>
      </c>
      <c r="O14" s="1030">
        <v>0</v>
      </c>
      <c r="P14" s="1030">
        <f t="shared" si="40"/>
        <v>0</v>
      </c>
      <c r="Q14" s="1030">
        <v>0</v>
      </c>
      <c r="R14" s="1030">
        <f t="shared" si="41"/>
        <v>0</v>
      </c>
      <c r="S14" s="1030">
        <f t="shared" si="42"/>
        <v>0</v>
      </c>
      <c r="T14" s="1029">
        <f>'[14]FY2012-13 Final'!K15</f>
        <v>4187</v>
      </c>
      <c r="U14" s="1031">
        <f t="shared" si="30"/>
        <v>0</v>
      </c>
      <c r="V14" s="1464">
        <f>'[20]Oct midyear Lake Charles Chtr'!E14</f>
        <v>0</v>
      </c>
      <c r="W14" s="1443">
        <f t="shared" si="43"/>
        <v>0</v>
      </c>
      <c r="X14" s="1474">
        <f>'[20]Feb midyear Lake Charles Ch'!E14</f>
        <v>0</v>
      </c>
      <c r="Y14" s="1470">
        <f t="shared" si="44"/>
        <v>0</v>
      </c>
      <c r="Z14" s="1470">
        <f t="shared" si="45"/>
        <v>0</v>
      </c>
      <c r="AA14" s="1031">
        <f t="shared" si="46"/>
        <v>0</v>
      </c>
      <c r="AB14" s="1090">
        <f t="shared" si="47"/>
        <v>0</v>
      </c>
      <c r="AC14" s="1031">
        <f t="shared" si="48"/>
        <v>0</v>
      </c>
      <c r="AD14" s="1031">
        <v>0</v>
      </c>
      <c r="AE14" s="1031">
        <f t="shared" si="49"/>
        <v>0</v>
      </c>
      <c r="AF14" s="1031">
        <v>0</v>
      </c>
      <c r="AG14" s="1031">
        <f t="shared" si="50"/>
        <v>0</v>
      </c>
      <c r="AH14" s="1031">
        <f t="shared" si="51"/>
        <v>0</v>
      </c>
      <c r="AI14" s="1032">
        <f t="shared" si="31"/>
        <v>0</v>
      </c>
      <c r="AJ14" s="1032">
        <f t="shared" si="32"/>
        <v>0</v>
      </c>
      <c r="AK14" s="49"/>
      <c r="AL14" s="49">
        <f t="shared" si="52"/>
        <v>0</v>
      </c>
      <c r="AM14" s="49">
        <f>-'[22]Table 5C1F-Lake Charles Charter'!AL14</f>
        <v>0</v>
      </c>
      <c r="AN14" s="49">
        <f>-'[21]Table 5C1F-Lake Charles Charter'!P14</f>
        <v>0</v>
      </c>
      <c r="AO14" s="49">
        <f t="shared" si="53"/>
        <v>0</v>
      </c>
      <c r="AP14" s="49"/>
    </row>
    <row r="15" spans="1:42">
      <c r="A15" s="975">
        <v>9</v>
      </c>
      <c r="B15" s="976" t="s">
        <v>110</v>
      </c>
      <c r="C15" s="1168">
        <f>'Table 8 2.1.12 MFP Funded'!X12</f>
        <v>1</v>
      </c>
      <c r="D15" s="978">
        <f>'Table 3 Levels 1&amp;2'!AL16</f>
        <v>4287.1210280148016</v>
      </c>
      <c r="E15" s="1072">
        <f t="shared" si="33"/>
        <v>4287.1210280148016</v>
      </c>
      <c r="F15" s="1072">
        <f>'Table 4 Level 3'!P14</f>
        <v>744.76</v>
      </c>
      <c r="G15" s="1072">
        <f t="shared" si="34"/>
        <v>744.76</v>
      </c>
      <c r="H15" s="1030">
        <f t="shared" si="35"/>
        <v>5031.8810280148018</v>
      </c>
      <c r="I15" s="1415">
        <f>'[1]Oct midyear Lake Charles Chtr'!K15</f>
        <v>-5031.8810280148018</v>
      </c>
      <c r="J15" s="1415">
        <f>'[1]Feb midyear Lake Charles Ch'!K15</f>
        <v>0</v>
      </c>
      <c r="K15" s="1415">
        <f t="shared" si="36"/>
        <v>-5031.8810280148018</v>
      </c>
      <c r="L15" s="1434">
        <f t="shared" si="37"/>
        <v>0</v>
      </c>
      <c r="M15" s="1082">
        <f t="shared" si="38"/>
        <v>0</v>
      </c>
      <c r="N15" s="1030">
        <f t="shared" si="39"/>
        <v>0</v>
      </c>
      <c r="O15" s="1030">
        <v>0</v>
      </c>
      <c r="P15" s="1030">
        <f t="shared" si="40"/>
        <v>0</v>
      </c>
      <c r="Q15" s="1030">
        <f>417*8-834-834</f>
        <v>1668</v>
      </c>
      <c r="R15" s="1030">
        <f t="shared" si="41"/>
        <v>-1668</v>
      </c>
      <c r="S15" s="1030">
        <f t="shared" si="42"/>
        <v>-834</v>
      </c>
      <c r="T15" s="1029">
        <f>'[14]FY2012-13 Final'!K16</f>
        <v>4649</v>
      </c>
      <c r="U15" s="1031">
        <f t="shared" si="30"/>
        <v>4649</v>
      </c>
      <c r="V15" s="1464">
        <f>'[20]Oct midyear Lake Charles Chtr'!E15</f>
        <v>-1</v>
      </c>
      <c r="W15" s="1443">
        <f t="shared" si="43"/>
        <v>-4649</v>
      </c>
      <c r="X15" s="1474">
        <f>'[20]Feb midyear Lake Charles Ch'!E15</f>
        <v>0</v>
      </c>
      <c r="Y15" s="1470">
        <f t="shared" si="44"/>
        <v>0</v>
      </c>
      <c r="Z15" s="1470">
        <f t="shared" si="45"/>
        <v>-4649</v>
      </c>
      <c r="AA15" s="1031">
        <f t="shared" si="46"/>
        <v>0</v>
      </c>
      <c r="AB15" s="1090">
        <f t="shared" si="47"/>
        <v>0</v>
      </c>
      <c r="AC15" s="1031">
        <f t="shared" si="48"/>
        <v>0</v>
      </c>
      <c r="AD15" s="1031">
        <v>0</v>
      </c>
      <c r="AE15" s="1031">
        <f t="shared" si="49"/>
        <v>0</v>
      </c>
      <c r="AF15" s="1031">
        <f>377*8-754-754</f>
        <v>1508</v>
      </c>
      <c r="AG15" s="1031">
        <f t="shared" si="50"/>
        <v>-1508</v>
      </c>
      <c r="AH15" s="1031">
        <f t="shared" si="51"/>
        <v>-754</v>
      </c>
      <c r="AI15" s="1032">
        <f t="shared" si="31"/>
        <v>0</v>
      </c>
      <c r="AJ15" s="1032">
        <f t="shared" si="32"/>
        <v>-1588</v>
      </c>
      <c r="AK15" s="49"/>
      <c r="AL15" s="49">
        <f t="shared" si="52"/>
        <v>0</v>
      </c>
      <c r="AM15" s="49">
        <f>-'[22]Table 5C1F-Lake Charles Charter'!AL15</f>
        <v>0</v>
      </c>
      <c r="AN15" s="49">
        <f>-'[21]Table 5C1F-Lake Charles Charter'!P15</f>
        <v>11.3475</v>
      </c>
      <c r="AO15" s="49">
        <f t="shared" si="53"/>
        <v>0</v>
      </c>
      <c r="AP15" s="49"/>
    </row>
    <row r="16" spans="1:42">
      <c r="A16" s="979">
        <v>10</v>
      </c>
      <c r="B16" s="980" t="s">
        <v>111</v>
      </c>
      <c r="C16" s="1169">
        <f>'Table 8 2.1.12 MFP Funded'!X13</f>
        <v>635</v>
      </c>
      <c r="D16" s="982">
        <f>'Table 3 Levels 1&amp;2'!AL17</f>
        <v>4320.1782742925079</v>
      </c>
      <c r="E16" s="1073">
        <f t="shared" si="33"/>
        <v>2743313.2041757423</v>
      </c>
      <c r="F16" s="1073">
        <f>'Table 4 Level 3'!P15</f>
        <v>608.04000000000008</v>
      </c>
      <c r="G16" s="1073">
        <f t="shared" si="34"/>
        <v>386105.4</v>
      </c>
      <c r="H16" s="1033">
        <f t="shared" si="35"/>
        <v>3129418.6041757422</v>
      </c>
      <c r="I16" s="1416">
        <f>'[1]Oct midyear Lake Charles Chtr'!K16</f>
        <v>704735.21322382858</v>
      </c>
      <c r="J16" s="1416">
        <f>'[1]Feb midyear Lake Charles Ch'!K16</f>
        <v>-56674.510154363838</v>
      </c>
      <c r="K16" s="1416">
        <f t="shared" si="36"/>
        <v>648060.70306946477</v>
      </c>
      <c r="L16" s="1435">
        <f t="shared" si="37"/>
        <v>3777479.307245207</v>
      </c>
      <c r="M16" s="1083">
        <f t="shared" si="38"/>
        <v>-9443.6982681130175</v>
      </c>
      <c r="N16" s="1033">
        <f t="shared" si="39"/>
        <v>3768035.6089770938</v>
      </c>
      <c r="O16" s="1033">
        <v>0</v>
      </c>
      <c r="P16" s="1033">
        <f t="shared" si="40"/>
        <v>3768035.6089770938</v>
      </c>
      <c r="Q16" s="1033">
        <f>259071*8+420023+420023</f>
        <v>2912614</v>
      </c>
      <c r="R16" s="1033">
        <f t="shared" si="41"/>
        <v>855421.60897709383</v>
      </c>
      <c r="S16" s="1033">
        <f t="shared" si="42"/>
        <v>427710.80448854691</v>
      </c>
      <c r="T16" s="1034">
        <f>'[14]FY2012-13 Final'!K17</f>
        <v>4395</v>
      </c>
      <c r="U16" s="1035">
        <f t="shared" si="30"/>
        <v>2790825</v>
      </c>
      <c r="V16" s="1465">
        <f>'[20]Oct midyear Lake Charles Chtr'!E16</f>
        <v>143</v>
      </c>
      <c r="W16" s="1445">
        <f t="shared" si="43"/>
        <v>628485</v>
      </c>
      <c r="X16" s="1475">
        <f>'[20]Feb midyear Lake Charles Ch'!E16</f>
        <v>-23</v>
      </c>
      <c r="Y16" s="1471">
        <f t="shared" si="44"/>
        <v>-50542.5</v>
      </c>
      <c r="Z16" s="1471">
        <f t="shared" si="45"/>
        <v>577942.5</v>
      </c>
      <c r="AA16" s="1035">
        <f t="shared" si="46"/>
        <v>3368767.5</v>
      </c>
      <c r="AB16" s="1091">
        <f t="shared" si="47"/>
        <v>-8421.9187500000007</v>
      </c>
      <c r="AC16" s="1035">
        <f t="shared" si="48"/>
        <v>3360345.5812499998</v>
      </c>
      <c r="AD16" s="1035">
        <v>0</v>
      </c>
      <c r="AE16" s="1035">
        <f t="shared" si="49"/>
        <v>3360345.5812499998</v>
      </c>
      <c r="AF16" s="1035">
        <f>227606*8+384110+384110</f>
        <v>2589068</v>
      </c>
      <c r="AG16" s="1035">
        <f t="shared" si="50"/>
        <v>771277.58124999981</v>
      </c>
      <c r="AH16" s="1035">
        <f t="shared" si="51"/>
        <v>385638.79062499991</v>
      </c>
      <c r="AI16" s="1036">
        <f t="shared" si="31"/>
        <v>7128381.1902270932</v>
      </c>
      <c r="AJ16" s="1036">
        <f t="shared" si="32"/>
        <v>813349.59511354682</v>
      </c>
      <c r="AK16" s="49"/>
      <c r="AL16" s="49">
        <f t="shared" si="52"/>
        <v>-8421.9187500000007</v>
      </c>
      <c r="AM16" s="49">
        <f>-'[22]Table 5C1F-Lake Charles Charter'!AL16</f>
        <v>8414.2537499999999</v>
      </c>
      <c r="AN16" s="49">
        <f>-'[21]Table 5C1F-Lake Charles Charter'!P16</f>
        <v>6845.3</v>
      </c>
      <c r="AO16" s="49">
        <f t="shared" si="53"/>
        <v>-7.6650000000008731</v>
      </c>
      <c r="AP16" s="49"/>
    </row>
    <row r="17" spans="1:42">
      <c r="A17" s="968">
        <v>11</v>
      </c>
      <c r="B17" s="969" t="s">
        <v>112</v>
      </c>
      <c r="C17" s="1170">
        <f>'Table 8 2.1.12 MFP Funded'!X14</f>
        <v>0</v>
      </c>
      <c r="D17" s="971">
        <f>'Table 3 Levels 1&amp;2'!AL18</f>
        <v>6754.8947842641273</v>
      </c>
      <c r="E17" s="1071">
        <f t="shared" si="33"/>
        <v>0</v>
      </c>
      <c r="F17" s="1071">
        <f>'Table 4 Level 3'!P16</f>
        <v>706.55</v>
      </c>
      <c r="G17" s="1071">
        <f t="shared" si="34"/>
        <v>0</v>
      </c>
      <c r="H17" s="972">
        <f t="shared" si="35"/>
        <v>0</v>
      </c>
      <c r="I17" s="1414">
        <f>'[1]Oct midyear Lake Charles Chtr'!K17</f>
        <v>0</v>
      </c>
      <c r="J17" s="1414">
        <f>'[1]Feb midyear Lake Charles Ch'!K17</f>
        <v>0</v>
      </c>
      <c r="K17" s="1414">
        <f t="shared" si="36"/>
        <v>0</v>
      </c>
      <c r="L17" s="1213">
        <f t="shared" si="37"/>
        <v>0</v>
      </c>
      <c r="M17" s="1081">
        <f t="shared" si="38"/>
        <v>0</v>
      </c>
      <c r="N17" s="972">
        <f t="shared" si="39"/>
        <v>0</v>
      </c>
      <c r="O17" s="972">
        <v>0</v>
      </c>
      <c r="P17" s="972">
        <f t="shared" si="40"/>
        <v>0</v>
      </c>
      <c r="Q17" s="972">
        <v>0</v>
      </c>
      <c r="R17" s="972">
        <f t="shared" si="41"/>
        <v>0</v>
      </c>
      <c r="S17" s="972">
        <f t="shared" si="42"/>
        <v>0</v>
      </c>
      <c r="T17" s="1029">
        <f>'[14]FY2012-13 Final'!K18</f>
        <v>3450</v>
      </c>
      <c r="U17" s="973">
        <f t="shared" si="30"/>
        <v>0</v>
      </c>
      <c r="V17" s="1466">
        <f>'[20]Oct midyear Lake Charles Chtr'!E17</f>
        <v>0</v>
      </c>
      <c r="W17" s="1444">
        <f t="shared" si="43"/>
        <v>0</v>
      </c>
      <c r="X17" s="1466">
        <f>'[20]Feb midyear Lake Charles Ch'!E17</f>
        <v>0</v>
      </c>
      <c r="Y17" s="1444">
        <f t="shared" si="44"/>
        <v>0</v>
      </c>
      <c r="Z17" s="1444">
        <f t="shared" si="45"/>
        <v>0</v>
      </c>
      <c r="AA17" s="973">
        <f t="shared" si="46"/>
        <v>0</v>
      </c>
      <c r="AB17" s="1089">
        <f t="shared" si="47"/>
        <v>0</v>
      </c>
      <c r="AC17" s="973">
        <f t="shared" si="48"/>
        <v>0</v>
      </c>
      <c r="AD17" s="973">
        <v>0</v>
      </c>
      <c r="AE17" s="973">
        <f t="shared" si="49"/>
        <v>0</v>
      </c>
      <c r="AF17" s="973">
        <v>0</v>
      </c>
      <c r="AG17" s="973">
        <f t="shared" si="50"/>
        <v>0</v>
      </c>
      <c r="AH17" s="973">
        <f t="shared" si="51"/>
        <v>0</v>
      </c>
      <c r="AI17" s="974">
        <f t="shared" si="31"/>
        <v>0</v>
      </c>
      <c r="AJ17" s="974">
        <f t="shared" si="32"/>
        <v>0</v>
      </c>
      <c r="AK17" s="49"/>
      <c r="AL17" s="49">
        <f t="shared" si="52"/>
        <v>0</v>
      </c>
      <c r="AM17" s="49">
        <f>-'[22]Table 5C1F-Lake Charles Charter'!AL17</f>
        <v>0</v>
      </c>
      <c r="AN17" s="49">
        <f>-'[21]Table 5C1F-Lake Charles Charter'!P17</f>
        <v>0</v>
      </c>
      <c r="AO17" s="49">
        <f t="shared" si="53"/>
        <v>0</v>
      </c>
      <c r="AP17" s="49"/>
    </row>
    <row r="18" spans="1:42">
      <c r="A18" s="975">
        <v>12</v>
      </c>
      <c r="B18" s="976" t="s">
        <v>113</v>
      </c>
      <c r="C18" s="1168">
        <f>'Table 8 2.1.12 MFP Funded'!X15</f>
        <v>0</v>
      </c>
      <c r="D18" s="978">
        <f>'Table 3 Levels 1&amp;2'!AL19</f>
        <v>1807.9873469387755</v>
      </c>
      <c r="E18" s="1072">
        <f t="shared" si="33"/>
        <v>0</v>
      </c>
      <c r="F18" s="1072">
        <f>'Table 4 Level 3'!P17</f>
        <v>1063.31</v>
      </c>
      <c r="G18" s="1072">
        <f t="shared" si="34"/>
        <v>0</v>
      </c>
      <c r="H18" s="1030">
        <f t="shared" si="35"/>
        <v>0</v>
      </c>
      <c r="I18" s="1415">
        <f>'[1]Oct midyear Lake Charles Chtr'!K18</f>
        <v>0</v>
      </c>
      <c r="J18" s="1415">
        <f>'[1]Feb midyear Lake Charles Ch'!K18</f>
        <v>0</v>
      </c>
      <c r="K18" s="1415">
        <f t="shared" si="36"/>
        <v>0</v>
      </c>
      <c r="L18" s="1434">
        <f t="shared" si="37"/>
        <v>0</v>
      </c>
      <c r="M18" s="1082">
        <f t="shared" si="38"/>
        <v>0</v>
      </c>
      <c r="N18" s="1030">
        <f t="shared" si="39"/>
        <v>0</v>
      </c>
      <c r="O18" s="1030">
        <v>0</v>
      </c>
      <c r="P18" s="1030">
        <f t="shared" si="40"/>
        <v>0</v>
      </c>
      <c r="Q18" s="1030">
        <v>0</v>
      </c>
      <c r="R18" s="1030">
        <f t="shared" si="41"/>
        <v>0</v>
      </c>
      <c r="S18" s="1030">
        <f t="shared" si="42"/>
        <v>0</v>
      </c>
      <c r="T18" s="1029">
        <f>'[14]FY2012-13 Final'!K19</f>
        <v>12561</v>
      </c>
      <c r="U18" s="1031">
        <f t="shared" si="30"/>
        <v>0</v>
      </c>
      <c r="V18" s="1464">
        <f>'[20]Oct midyear Lake Charles Chtr'!E18</f>
        <v>0</v>
      </c>
      <c r="W18" s="1443">
        <f t="shared" si="43"/>
        <v>0</v>
      </c>
      <c r="X18" s="1474">
        <f>'[20]Feb midyear Lake Charles Ch'!E18</f>
        <v>0</v>
      </c>
      <c r="Y18" s="1470">
        <f t="shared" si="44"/>
        <v>0</v>
      </c>
      <c r="Z18" s="1470">
        <f t="shared" si="45"/>
        <v>0</v>
      </c>
      <c r="AA18" s="1031">
        <f t="shared" si="46"/>
        <v>0</v>
      </c>
      <c r="AB18" s="1090">
        <f t="shared" si="47"/>
        <v>0</v>
      </c>
      <c r="AC18" s="1031">
        <f t="shared" si="48"/>
        <v>0</v>
      </c>
      <c r="AD18" s="1031">
        <v>0</v>
      </c>
      <c r="AE18" s="1031">
        <f t="shared" si="49"/>
        <v>0</v>
      </c>
      <c r="AF18" s="1031">
        <v>0</v>
      </c>
      <c r="AG18" s="1031">
        <f t="shared" si="50"/>
        <v>0</v>
      </c>
      <c r="AH18" s="1031">
        <f t="shared" si="51"/>
        <v>0</v>
      </c>
      <c r="AI18" s="1032">
        <f t="shared" si="31"/>
        <v>0</v>
      </c>
      <c r="AJ18" s="1032">
        <f t="shared" si="32"/>
        <v>0</v>
      </c>
      <c r="AK18" s="49"/>
      <c r="AL18" s="49">
        <f t="shared" si="52"/>
        <v>0</v>
      </c>
      <c r="AM18" s="49">
        <f>-'[22]Table 5C1F-Lake Charles Charter'!AL18</f>
        <v>0</v>
      </c>
      <c r="AN18" s="49">
        <f>-'[21]Table 5C1F-Lake Charles Charter'!P18</f>
        <v>0</v>
      </c>
      <c r="AO18" s="49">
        <f t="shared" si="53"/>
        <v>0</v>
      </c>
      <c r="AP18" s="49"/>
    </row>
    <row r="19" spans="1:42">
      <c r="A19" s="975">
        <v>13</v>
      </c>
      <c r="B19" s="976" t="s">
        <v>114</v>
      </c>
      <c r="C19" s="1168">
        <f>'Table 8 2.1.12 MFP Funded'!X16</f>
        <v>0</v>
      </c>
      <c r="D19" s="978">
        <f>'Table 3 Levels 1&amp;2'!AL20</f>
        <v>6143.511131744569</v>
      </c>
      <c r="E19" s="1072">
        <f t="shared" si="33"/>
        <v>0</v>
      </c>
      <c r="F19" s="1072">
        <f>'Table 4 Level 3'!P18</f>
        <v>749.43000000000006</v>
      </c>
      <c r="G19" s="1072">
        <f t="shared" si="34"/>
        <v>0</v>
      </c>
      <c r="H19" s="1030">
        <f t="shared" si="35"/>
        <v>0</v>
      </c>
      <c r="I19" s="1415">
        <f>'[1]Oct midyear Lake Charles Chtr'!K19</f>
        <v>0</v>
      </c>
      <c r="J19" s="1415">
        <f>'[1]Feb midyear Lake Charles Ch'!K19</f>
        <v>0</v>
      </c>
      <c r="K19" s="1415">
        <f t="shared" si="36"/>
        <v>0</v>
      </c>
      <c r="L19" s="1434">
        <f t="shared" si="37"/>
        <v>0</v>
      </c>
      <c r="M19" s="1082">
        <f t="shared" si="38"/>
        <v>0</v>
      </c>
      <c r="N19" s="1030">
        <f t="shared" si="39"/>
        <v>0</v>
      </c>
      <c r="O19" s="1030">
        <v>0</v>
      </c>
      <c r="P19" s="1030">
        <f t="shared" si="40"/>
        <v>0</v>
      </c>
      <c r="Q19" s="1030">
        <v>0</v>
      </c>
      <c r="R19" s="1030">
        <f t="shared" si="41"/>
        <v>0</v>
      </c>
      <c r="S19" s="1030">
        <f t="shared" si="42"/>
        <v>0</v>
      </c>
      <c r="T19" s="1029">
        <f>'[14]FY2012-13 Final'!K20</f>
        <v>2538</v>
      </c>
      <c r="U19" s="1031">
        <f t="shared" si="30"/>
        <v>0</v>
      </c>
      <c r="V19" s="1464">
        <f>'[20]Oct midyear Lake Charles Chtr'!E19</f>
        <v>0</v>
      </c>
      <c r="W19" s="1443">
        <f t="shared" si="43"/>
        <v>0</v>
      </c>
      <c r="X19" s="1474">
        <f>'[20]Feb midyear Lake Charles Ch'!E19</f>
        <v>0</v>
      </c>
      <c r="Y19" s="1470">
        <f t="shared" si="44"/>
        <v>0</v>
      </c>
      <c r="Z19" s="1470">
        <f t="shared" si="45"/>
        <v>0</v>
      </c>
      <c r="AA19" s="1031">
        <f t="shared" si="46"/>
        <v>0</v>
      </c>
      <c r="AB19" s="1090">
        <f t="shared" si="47"/>
        <v>0</v>
      </c>
      <c r="AC19" s="1031">
        <f t="shared" si="48"/>
        <v>0</v>
      </c>
      <c r="AD19" s="1031">
        <v>0</v>
      </c>
      <c r="AE19" s="1031">
        <f t="shared" si="49"/>
        <v>0</v>
      </c>
      <c r="AF19" s="1031">
        <v>0</v>
      </c>
      <c r="AG19" s="1448">
        <f t="shared" si="50"/>
        <v>0</v>
      </c>
      <c r="AH19" s="1448">
        <f t="shared" si="51"/>
        <v>0</v>
      </c>
      <c r="AI19" s="1032">
        <f t="shared" si="31"/>
        <v>0</v>
      </c>
      <c r="AJ19" s="1032">
        <f t="shared" si="32"/>
        <v>0</v>
      </c>
      <c r="AK19" s="49"/>
      <c r="AL19" s="49">
        <f t="shared" si="52"/>
        <v>0</v>
      </c>
      <c r="AM19" s="49">
        <f>-'[22]Table 5C1F-Lake Charles Charter'!AL19</f>
        <v>0</v>
      </c>
      <c r="AN19" s="49">
        <f>-'[21]Table 5C1F-Lake Charles Charter'!P19</f>
        <v>0</v>
      </c>
      <c r="AO19" s="49">
        <f t="shared" si="53"/>
        <v>0</v>
      </c>
      <c r="AP19" s="49"/>
    </row>
    <row r="20" spans="1:42">
      <c r="A20" s="975">
        <v>14</v>
      </c>
      <c r="B20" s="976" t="s">
        <v>115</v>
      </c>
      <c r="C20" s="1168">
        <f>'Table 8 2.1.12 MFP Funded'!X17</f>
        <v>0</v>
      </c>
      <c r="D20" s="978">
        <f>'Table 3 Levels 1&amp;2'!AL21</f>
        <v>5304.5609177528095</v>
      </c>
      <c r="E20" s="1072">
        <f t="shared" si="33"/>
        <v>0</v>
      </c>
      <c r="F20" s="1072">
        <f>'Table 4 Level 3'!P19</f>
        <v>809.9799999999999</v>
      </c>
      <c r="G20" s="1072">
        <f t="shared" si="34"/>
        <v>0</v>
      </c>
      <c r="H20" s="1030">
        <f t="shared" si="35"/>
        <v>0</v>
      </c>
      <c r="I20" s="1415">
        <f>'[1]Oct midyear Lake Charles Chtr'!K20</f>
        <v>0</v>
      </c>
      <c r="J20" s="1415">
        <f>'[1]Feb midyear Lake Charles Ch'!K20</f>
        <v>0</v>
      </c>
      <c r="K20" s="1415">
        <f t="shared" si="36"/>
        <v>0</v>
      </c>
      <c r="L20" s="1434">
        <f t="shared" si="37"/>
        <v>0</v>
      </c>
      <c r="M20" s="1082">
        <f t="shared" si="38"/>
        <v>0</v>
      </c>
      <c r="N20" s="1030">
        <f t="shared" si="39"/>
        <v>0</v>
      </c>
      <c r="O20" s="1030">
        <v>0</v>
      </c>
      <c r="P20" s="1030">
        <f t="shared" si="40"/>
        <v>0</v>
      </c>
      <c r="Q20" s="1030">
        <v>0</v>
      </c>
      <c r="R20" s="1030">
        <f t="shared" si="41"/>
        <v>0</v>
      </c>
      <c r="S20" s="1030">
        <f t="shared" si="42"/>
        <v>0</v>
      </c>
      <c r="T20" s="1029">
        <f>'[14]FY2012-13 Final'!K21</f>
        <v>3890</v>
      </c>
      <c r="U20" s="1031">
        <f t="shared" si="30"/>
        <v>0</v>
      </c>
      <c r="V20" s="1464">
        <f>'[20]Oct midyear Lake Charles Chtr'!E20</f>
        <v>0</v>
      </c>
      <c r="W20" s="1443">
        <f t="shared" si="43"/>
        <v>0</v>
      </c>
      <c r="X20" s="1474">
        <f>'[20]Feb midyear Lake Charles Ch'!E20</f>
        <v>0</v>
      </c>
      <c r="Y20" s="1470">
        <f t="shared" si="44"/>
        <v>0</v>
      </c>
      <c r="Z20" s="1470">
        <f t="shared" si="45"/>
        <v>0</v>
      </c>
      <c r="AA20" s="1031">
        <f t="shared" si="46"/>
        <v>0</v>
      </c>
      <c r="AB20" s="1090">
        <f t="shared" si="47"/>
        <v>0</v>
      </c>
      <c r="AC20" s="1031">
        <f t="shared" si="48"/>
        <v>0</v>
      </c>
      <c r="AD20" s="1031">
        <v>0</v>
      </c>
      <c r="AE20" s="1031">
        <f t="shared" si="49"/>
        <v>0</v>
      </c>
      <c r="AF20" s="1031">
        <v>0</v>
      </c>
      <c r="AG20" s="1448">
        <f t="shared" si="50"/>
        <v>0</v>
      </c>
      <c r="AH20" s="1448">
        <f t="shared" si="51"/>
        <v>0</v>
      </c>
      <c r="AI20" s="1032">
        <f t="shared" si="31"/>
        <v>0</v>
      </c>
      <c r="AJ20" s="1032">
        <f t="shared" si="32"/>
        <v>0</v>
      </c>
      <c r="AK20" s="49"/>
      <c r="AL20" s="49">
        <f t="shared" si="52"/>
        <v>0</v>
      </c>
      <c r="AM20" s="49">
        <f>-'[22]Table 5C1F-Lake Charles Charter'!AL20</f>
        <v>0</v>
      </c>
      <c r="AN20" s="49">
        <f>-'[21]Table 5C1F-Lake Charles Charter'!P20</f>
        <v>0</v>
      </c>
      <c r="AO20" s="49">
        <f t="shared" si="53"/>
        <v>0</v>
      </c>
      <c r="AP20" s="49"/>
    </row>
    <row r="21" spans="1:42">
      <c r="A21" s="979">
        <v>15</v>
      </c>
      <c r="B21" s="980" t="s">
        <v>116</v>
      </c>
      <c r="C21" s="1169">
        <f>'Table 8 2.1.12 MFP Funded'!X18</f>
        <v>0</v>
      </c>
      <c r="D21" s="982">
        <f>'Table 3 Levels 1&amp;2'!AL22</f>
        <v>5440.6588926253107</v>
      </c>
      <c r="E21" s="1073">
        <f t="shared" si="33"/>
        <v>0</v>
      </c>
      <c r="F21" s="1073">
        <f>'Table 4 Level 3'!P20</f>
        <v>553.79999999999995</v>
      </c>
      <c r="G21" s="1073">
        <f t="shared" si="34"/>
        <v>0</v>
      </c>
      <c r="H21" s="1033">
        <f t="shared" si="35"/>
        <v>0</v>
      </c>
      <c r="I21" s="1416">
        <f>'[1]Oct midyear Lake Charles Chtr'!K21</f>
        <v>0</v>
      </c>
      <c r="J21" s="1416">
        <f>'[1]Feb midyear Lake Charles Ch'!K21</f>
        <v>0</v>
      </c>
      <c r="K21" s="1416">
        <f t="shared" si="36"/>
        <v>0</v>
      </c>
      <c r="L21" s="1435">
        <f t="shared" si="37"/>
        <v>0</v>
      </c>
      <c r="M21" s="1083">
        <f t="shared" si="38"/>
        <v>0</v>
      </c>
      <c r="N21" s="1033">
        <f t="shared" si="39"/>
        <v>0</v>
      </c>
      <c r="O21" s="1033">
        <v>0</v>
      </c>
      <c r="P21" s="1033">
        <f t="shared" si="40"/>
        <v>0</v>
      </c>
      <c r="Q21" s="1033">
        <v>0</v>
      </c>
      <c r="R21" s="1033">
        <f t="shared" si="41"/>
        <v>0</v>
      </c>
      <c r="S21" s="1033">
        <f t="shared" si="42"/>
        <v>0</v>
      </c>
      <c r="T21" s="1034">
        <f>'[14]FY2012-13 Final'!K22</f>
        <v>2752</v>
      </c>
      <c r="U21" s="1035">
        <f t="shared" si="30"/>
        <v>0</v>
      </c>
      <c r="V21" s="1465">
        <f>'[20]Oct midyear Lake Charles Chtr'!E21</f>
        <v>0</v>
      </c>
      <c r="W21" s="1445">
        <f t="shared" si="43"/>
        <v>0</v>
      </c>
      <c r="X21" s="1475">
        <f>'[20]Feb midyear Lake Charles Ch'!E21</f>
        <v>0</v>
      </c>
      <c r="Y21" s="1471">
        <f t="shared" si="44"/>
        <v>0</v>
      </c>
      <c r="Z21" s="1471">
        <f t="shared" si="45"/>
        <v>0</v>
      </c>
      <c r="AA21" s="1035">
        <f t="shared" si="46"/>
        <v>0</v>
      </c>
      <c r="AB21" s="1091">
        <f t="shared" si="47"/>
        <v>0</v>
      </c>
      <c r="AC21" s="1035">
        <f t="shared" si="48"/>
        <v>0</v>
      </c>
      <c r="AD21" s="1035">
        <v>0</v>
      </c>
      <c r="AE21" s="1035">
        <f t="shared" si="49"/>
        <v>0</v>
      </c>
      <c r="AF21" s="1035">
        <v>0</v>
      </c>
      <c r="AG21" s="1450">
        <f t="shared" si="50"/>
        <v>0</v>
      </c>
      <c r="AH21" s="1450">
        <f t="shared" si="51"/>
        <v>0</v>
      </c>
      <c r="AI21" s="1036">
        <f t="shared" si="31"/>
        <v>0</v>
      </c>
      <c r="AJ21" s="1036">
        <f t="shared" si="32"/>
        <v>0</v>
      </c>
      <c r="AK21" s="49"/>
      <c r="AL21" s="49">
        <f t="shared" si="52"/>
        <v>0</v>
      </c>
      <c r="AM21" s="49">
        <f>-'[22]Table 5C1F-Lake Charles Charter'!AL21</f>
        <v>0</v>
      </c>
      <c r="AN21" s="49">
        <f>-'[21]Table 5C1F-Lake Charles Charter'!P21</f>
        <v>0</v>
      </c>
      <c r="AO21" s="49">
        <f t="shared" si="53"/>
        <v>0</v>
      </c>
      <c r="AP21" s="49"/>
    </row>
    <row r="22" spans="1:42">
      <c r="A22" s="968">
        <v>16</v>
      </c>
      <c r="B22" s="969" t="s">
        <v>117</v>
      </c>
      <c r="C22" s="1170">
        <f>'Table 8 2.1.12 MFP Funded'!X19</f>
        <v>0</v>
      </c>
      <c r="D22" s="971">
        <f>'Table 3 Levels 1&amp;2'!AL23</f>
        <v>1508.2103091706706</v>
      </c>
      <c r="E22" s="1071">
        <f t="shared" si="33"/>
        <v>0</v>
      </c>
      <c r="F22" s="1071">
        <f>'Table 4 Level 3'!P21</f>
        <v>686.73</v>
      </c>
      <c r="G22" s="1071">
        <f t="shared" si="34"/>
        <v>0</v>
      </c>
      <c r="H22" s="972">
        <f t="shared" si="35"/>
        <v>0</v>
      </c>
      <c r="I22" s="1414">
        <f>'[1]Oct midyear Lake Charles Chtr'!K22</f>
        <v>0</v>
      </c>
      <c r="J22" s="1414">
        <f>'[1]Feb midyear Lake Charles Ch'!K22</f>
        <v>0</v>
      </c>
      <c r="K22" s="1414">
        <f t="shared" si="36"/>
        <v>0</v>
      </c>
      <c r="L22" s="1213">
        <f t="shared" si="37"/>
        <v>0</v>
      </c>
      <c r="M22" s="1081">
        <f t="shared" si="38"/>
        <v>0</v>
      </c>
      <c r="N22" s="972">
        <f t="shared" si="39"/>
        <v>0</v>
      </c>
      <c r="O22" s="972">
        <v>0</v>
      </c>
      <c r="P22" s="972">
        <f t="shared" si="40"/>
        <v>0</v>
      </c>
      <c r="Q22" s="972">
        <v>0</v>
      </c>
      <c r="R22" s="972">
        <f t="shared" si="41"/>
        <v>0</v>
      </c>
      <c r="S22" s="972">
        <f t="shared" si="42"/>
        <v>0</v>
      </c>
      <c r="T22" s="1029">
        <f>'[14]FY2012-13 Final'!K23</f>
        <v>15097</v>
      </c>
      <c r="U22" s="973">
        <f t="shared" si="30"/>
        <v>0</v>
      </c>
      <c r="V22" s="1466">
        <f>'[20]Oct midyear Lake Charles Chtr'!E22</f>
        <v>0</v>
      </c>
      <c r="W22" s="1444">
        <f t="shared" si="43"/>
        <v>0</v>
      </c>
      <c r="X22" s="1466">
        <f>'[20]Feb midyear Lake Charles Ch'!E22</f>
        <v>0</v>
      </c>
      <c r="Y22" s="1444">
        <f t="shared" si="44"/>
        <v>0</v>
      </c>
      <c r="Z22" s="1444">
        <f t="shared" si="45"/>
        <v>0</v>
      </c>
      <c r="AA22" s="973">
        <f t="shared" si="46"/>
        <v>0</v>
      </c>
      <c r="AB22" s="1089">
        <f t="shared" si="47"/>
        <v>0</v>
      </c>
      <c r="AC22" s="973">
        <f t="shared" si="48"/>
        <v>0</v>
      </c>
      <c r="AD22" s="973">
        <v>0</v>
      </c>
      <c r="AE22" s="973">
        <f t="shared" si="49"/>
        <v>0</v>
      </c>
      <c r="AF22" s="973">
        <v>0</v>
      </c>
      <c r="AG22" s="1214">
        <f t="shared" si="50"/>
        <v>0</v>
      </c>
      <c r="AH22" s="1214">
        <f t="shared" si="51"/>
        <v>0</v>
      </c>
      <c r="AI22" s="974">
        <f t="shared" si="31"/>
        <v>0</v>
      </c>
      <c r="AJ22" s="974">
        <f t="shared" si="32"/>
        <v>0</v>
      </c>
      <c r="AK22" s="49"/>
      <c r="AL22" s="49">
        <f t="shared" si="52"/>
        <v>0</v>
      </c>
      <c r="AM22" s="49">
        <f>-'[22]Table 5C1F-Lake Charles Charter'!AL22</f>
        <v>0</v>
      </c>
      <c r="AN22" s="49">
        <f>-'[21]Table 5C1F-Lake Charles Charter'!P22</f>
        <v>0</v>
      </c>
      <c r="AO22" s="49">
        <f t="shared" si="53"/>
        <v>0</v>
      </c>
      <c r="AP22" s="49"/>
    </row>
    <row r="23" spans="1:42">
      <c r="A23" s="975">
        <v>17</v>
      </c>
      <c r="B23" s="976" t="s">
        <v>118</v>
      </c>
      <c r="C23" s="1168">
        <f>'Table 8 2.1.12 MFP Funded'!X20</f>
        <v>0</v>
      </c>
      <c r="D23" s="978">
        <f>'Table 3 Levels 1&amp;2'!AL24</f>
        <v>3395.7244841073689</v>
      </c>
      <c r="E23" s="1072">
        <f t="shared" si="33"/>
        <v>0</v>
      </c>
      <c r="F23" s="1072">
        <f>'Table 5B2_RSD_LA'!F7</f>
        <v>801.47762416806802</v>
      </c>
      <c r="G23" s="1072">
        <f t="shared" si="34"/>
        <v>0</v>
      </c>
      <c r="H23" s="1030">
        <f t="shared" si="35"/>
        <v>0</v>
      </c>
      <c r="I23" s="1415">
        <f>'[1]Oct midyear Lake Charles Chtr'!K23</f>
        <v>0</v>
      </c>
      <c r="J23" s="1415">
        <f>'[1]Feb midyear Lake Charles Ch'!K23</f>
        <v>0</v>
      </c>
      <c r="K23" s="1415">
        <f t="shared" si="36"/>
        <v>0</v>
      </c>
      <c r="L23" s="1434">
        <f t="shared" si="37"/>
        <v>0</v>
      </c>
      <c r="M23" s="1082">
        <f t="shared" si="38"/>
        <v>0</v>
      </c>
      <c r="N23" s="1030">
        <f t="shared" si="39"/>
        <v>0</v>
      </c>
      <c r="O23" s="1030">
        <v>0</v>
      </c>
      <c r="P23" s="1030">
        <f t="shared" si="40"/>
        <v>0</v>
      </c>
      <c r="Q23" s="1030">
        <v>0</v>
      </c>
      <c r="R23" s="1030">
        <f t="shared" si="41"/>
        <v>0</v>
      </c>
      <c r="S23" s="1030">
        <f t="shared" si="42"/>
        <v>0</v>
      </c>
      <c r="T23" s="1029">
        <f>'[14]FY2012-13 Final'!K24</f>
        <v>6601</v>
      </c>
      <c r="U23" s="1031">
        <f t="shared" si="30"/>
        <v>0</v>
      </c>
      <c r="V23" s="1464">
        <f>'[20]Oct midyear Lake Charles Chtr'!E23</f>
        <v>0</v>
      </c>
      <c r="W23" s="1443">
        <f t="shared" si="43"/>
        <v>0</v>
      </c>
      <c r="X23" s="1474">
        <f>'[20]Feb midyear Lake Charles Ch'!E23</f>
        <v>0</v>
      </c>
      <c r="Y23" s="1470">
        <f t="shared" si="44"/>
        <v>0</v>
      </c>
      <c r="Z23" s="1470">
        <f t="shared" si="45"/>
        <v>0</v>
      </c>
      <c r="AA23" s="1031">
        <f t="shared" si="46"/>
        <v>0</v>
      </c>
      <c r="AB23" s="1090">
        <f t="shared" si="47"/>
        <v>0</v>
      </c>
      <c r="AC23" s="1031">
        <f t="shared" si="48"/>
        <v>0</v>
      </c>
      <c r="AD23" s="1031">
        <v>0</v>
      </c>
      <c r="AE23" s="1031">
        <f t="shared" si="49"/>
        <v>0</v>
      </c>
      <c r="AF23" s="1031">
        <v>0</v>
      </c>
      <c r="AG23" s="1448">
        <f t="shared" si="50"/>
        <v>0</v>
      </c>
      <c r="AH23" s="1448">
        <f t="shared" si="51"/>
        <v>0</v>
      </c>
      <c r="AI23" s="1032">
        <f t="shared" si="31"/>
        <v>0</v>
      </c>
      <c r="AJ23" s="1032">
        <f t="shared" si="32"/>
        <v>0</v>
      </c>
      <c r="AK23" s="49"/>
      <c r="AL23" s="49">
        <f t="shared" si="52"/>
        <v>0</v>
      </c>
      <c r="AM23" s="49">
        <f>-'[22]Table 5C1F-Lake Charles Charter'!AL23</f>
        <v>0</v>
      </c>
      <c r="AN23" s="49">
        <f>-'[21]Table 5C1F-Lake Charles Charter'!P23</f>
        <v>0</v>
      </c>
      <c r="AO23" s="49">
        <f t="shared" si="53"/>
        <v>0</v>
      </c>
      <c r="AP23" s="49"/>
    </row>
    <row r="24" spans="1:42">
      <c r="A24" s="975">
        <v>18</v>
      </c>
      <c r="B24" s="976" t="s">
        <v>119</v>
      </c>
      <c r="C24" s="1168">
        <f>'Table 8 2.1.12 MFP Funded'!X21</f>
        <v>0</v>
      </c>
      <c r="D24" s="978">
        <f>'Table 3 Levels 1&amp;2'!AL25</f>
        <v>5811.9176591224677</v>
      </c>
      <c r="E24" s="1072">
        <f t="shared" si="33"/>
        <v>0</v>
      </c>
      <c r="F24" s="1072">
        <f>'Table 4 Level 3'!P23</f>
        <v>845.94999999999993</v>
      </c>
      <c r="G24" s="1072">
        <f t="shared" si="34"/>
        <v>0</v>
      </c>
      <c r="H24" s="1030">
        <f t="shared" si="35"/>
        <v>0</v>
      </c>
      <c r="I24" s="1415">
        <f>'[1]Oct midyear Lake Charles Chtr'!K24</f>
        <v>0</v>
      </c>
      <c r="J24" s="1415">
        <f>'[1]Feb midyear Lake Charles Ch'!K24</f>
        <v>0</v>
      </c>
      <c r="K24" s="1415">
        <f t="shared" si="36"/>
        <v>0</v>
      </c>
      <c r="L24" s="1434">
        <f t="shared" si="37"/>
        <v>0</v>
      </c>
      <c r="M24" s="1082">
        <f t="shared" si="38"/>
        <v>0</v>
      </c>
      <c r="N24" s="1030">
        <f t="shared" si="39"/>
        <v>0</v>
      </c>
      <c r="O24" s="1030">
        <v>0</v>
      </c>
      <c r="P24" s="1030">
        <f t="shared" si="40"/>
        <v>0</v>
      </c>
      <c r="Q24" s="1030">
        <v>0</v>
      </c>
      <c r="R24" s="1030">
        <f t="shared" si="41"/>
        <v>0</v>
      </c>
      <c r="S24" s="1030">
        <f t="shared" si="42"/>
        <v>0</v>
      </c>
      <c r="T24" s="1029">
        <f>'[14]FY2012-13 Final'!K25</f>
        <v>2179</v>
      </c>
      <c r="U24" s="1031">
        <f t="shared" si="30"/>
        <v>0</v>
      </c>
      <c r="V24" s="1464">
        <f>'[20]Oct midyear Lake Charles Chtr'!E24</f>
        <v>0</v>
      </c>
      <c r="W24" s="1443">
        <f t="shared" si="43"/>
        <v>0</v>
      </c>
      <c r="X24" s="1474">
        <f>'[20]Feb midyear Lake Charles Ch'!E24</f>
        <v>0</v>
      </c>
      <c r="Y24" s="1470">
        <f t="shared" si="44"/>
        <v>0</v>
      </c>
      <c r="Z24" s="1470">
        <f t="shared" si="45"/>
        <v>0</v>
      </c>
      <c r="AA24" s="1031">
        <f t="shared" si="46"/>
        <v>0</v>
      </c>
      <c r="AB24" s="1090">
        <f t="shared" si="47"/>
        <v>0</v>
      </c>
      <c r="AC24" s="1031">
        <f t="shared" si="48"/>
        <v>0</v>
      </c>
      <c r="AD24" s="1031">
        <v>0</v>
      </c>
      <c r="AE24" s="1031">
        <f t="shared" si="49"/>
        <v>0</v>
      </c>
      <c r="AF24" s="1031">
        <v>0</v>
      </c>
      <c r="AG24" s="1448">
        <f t="shared" si="50"/>
        <v>0</v>
      </c>
      <c r="AH24" s="1448">
        <f t="shared" si="51"/>
        <v>0</v>
      </c>
      <c r="AI24" s="1032">
        <f t="shared" si="31"/>
        <v>0</v>
      </c>
      <c r="AJ24" s="1032">
        <f t="shared" si="32"/>
        <v>0</v>
      </c>
      <c r="AK24" s="49"/>
      <c r="AL24" s="49">
        <f t="shared" si="52"/>
        <v>0</v>
      </c>
      <c r="AM24" s="49">
        <f>-'[22]Table 5C1F-Lake Charles Charter'!AL24</f>
        <v>0</v>
      </c>
      <c r="AN24" s="49">
        <f>-'[21]Table 5C1F-Lake Charles Charter'!P24</f>
        <v>0</v>
      </c>
      <c r="AO24" s="49">
        <f t="shared" si="53"/>
        <v>0</v>
      </c>
      <c r="AP24" s="49"/>
    </row>
    <row r="25" spans="1:42">
      <c r="A25" s="975">
        <v>19</v>
      </c>
      <c r="B25" s="976" t="s">
        <v>120</v>
      </c>
      <c r="C25" s="1168">
        <f>'Table 8 2.1.12 MFP Funded'!X22</f>
        <v>0</v>
      </c>
      <c r="D25" s="978">
        <f>'Table 3 Levels 1&amp;2'!AL26</f>
        <v>5201.7687653250778</v>
      </c>
      <c r="E25" s="1072">
        <f t="shared" si="33"/>
        <v>0</v>
      </c>
      <c r="F25" s="1072">
        <f>'Table 4 Level 3'!P24</f>
        <v>905.43</v>
      </c>
      <c r="G25" s="1072">
        <f t="shared" si="34"/>
        <v>0</v>
      </c>
      <c r="H25" s="1030">
        <f t="shared" si="35"/>
        <v>0</v>
      </c>
      <c r="I25" s="1415">
        <f>'[1]Oct midyear Lake Charles Chtr'!K25</f>
        <v>0</v>
      </c>
      <c r="J25" s="1415">
        <f>'[1]Feb midyear Lake Charles Ch'!K25</f>
        <v>0</v>
      </c>
      <c r="K25" s="1415">
        <f t="shared" si="36"/>
        <v>0</v>
      </c>
      <c r="L25" s="1434">
        <f t="shared" si="37"/>
        <v>0</v>
      </c>
      <c r="M25" s="1082">
        <f t="shared" si="38"/>
        <v>0</v>
      </c>
      <c r="N25" s="1030">
        <f t="shared" si="39"/>
        <v>0</v>
      </c>
      <c r="O25" s="1030">
        <v>0</v>
      </c>
      <c r="P25" s="1030">
        <f t="shared" si="40"/>
        <v>0</v>
      </c>
      <c r="Q25" s="1030">
        <v>0</v>
      </c>
      <c r="R25" s="1030">
        <f t="shared" si="41"/>
        <v>0</v>
      </c>
      <c r="S25" s="1030">
        <f t="shared" si="42"/>
        <v>0</v>
      </c>
      <c r="T25" s="1029">
        <f>'[14]FY2012-13 Final'!K26</f>
        <v>2736</v>
      </c>
      <c r="U25" s="1031">
        <f t="shared" si="30"/>
        <v>0</v>
      </c>
      <c r="V25" s="1464">
        <f>'[20]Oct midyear Lake Charles Chtr'!E25</f>
        <v>0</v>
      </c>
      <c r="W25" s="1443">
        <f t="shared" si="43"/>
        <v>0</v>
      </c>
      <c r="X25" s="1474">
        <f>'[20]Feb midyear Lake Charles Ch'!E25</f>
        <v>0</v>
      </c>
      <c r="Y25" s="1470">
        <f t="shared" si="44"/>
        <v>0</v>
      </c>
      <c r="Z25" s="1470">
        <f t="shared" si="45"/>
        <v>0</v>
      </c>
      <c r="AA25" s="1031">
        <f t="shared" si="46"/>
        <v>0</v>
      </c>
      <c r="AB25" s="1090">
        <f t="shared" si="47"/>
        <v>0</v>
      </c>
      <c r="AC25" s="1031">
        <f t="shared" si="48"/>
        <v>0</v>
      </c>
      <c r="AD25" s="1031">
        <v>0</v>
      </c>
      <c r="AE25" s="1031">
        <f t="shared" si="49"/>
        <v>0</v>
      </c>
      <c r="AF25" s="1031">
        <v>0</v>
      </c>
      <c r="AG25" s="1448">
        <f t="shared" si="50"/>
        <v>0</v>
      </c>
      <c r="AH25" s="1448">
        <f t="shared" si="51"/>
        <v>0</v>
      </c>
      <c r="AI25" s="1032">
        <f t="shared" si="31"/>
        <v>0</v>
      </c>
      <c r="AJ25" s="1032">
        <f t="shared" si="32"/>
        <v>0</v>
      </c>
      <c r="AK25" s="49"/>
      <c r="AL25" s="49">
        <f t="shared" si="52"/>
        <v>0</v>
      </c>
      <c r="AM25" s="49">
        <f>-'[22]Table 5C1F-Lake Charles Charter'!AL25</f>
        <v>0</v>
      </c>
      <c r="AN25" s="49">
        <f>-'[21]Table 5C1F-Lake Charles Charter'!P25</f>
        <v>0</v>
      </c>
      <c r="AO25" s="49">
        <f t="shared" si="53"/>
        <v>0</v>
      </c>
      <c r="AP25" s="49"/>
    </row>
    <row r="26" spans="1:42">
      <c r="A26" s="979">
        <v>20</v>
      </c>
      <c r="B26" s="980" t="s">
        <v>121</v>
      </c>
      <c r="C26" s="1169">
        <f>'Table 8 2.1.12 MFP Funded'!X23</f>
        <v>0</v>
      </c>
      <c r="D26" s="982">
        <f>'Table 3 Levels 1&amp;2'!AL27</f>
        <v>5446.6066076220959</v>
      </c>
      <c r="E26" s="1073">
        <f t="shared" si="33"/>
        <v>0</v>
      </c>
      <c r="F26" s="1073">
        <f>'Table 4 Level 3'!P25</f>
        <v>586.16999999999996</v>
      </c>
      <c r="G26" s="1073">
        <f t="shared" si="34"/>
        <v>0</v>
      </c>
      <c r="H26" s="1033">
        <f t="shared" si="35"/>
        <v>0</v>
      </c>
      <c r="I26" s="1416">
        <f>'[1]Oct midyear Lake Charles Chtr'!K26</f>
        <v>0</v>
      </c>
      <c r="J26" s="1416">
        <f>'[1]Feb midyear Lake Charles Ch'!K26</f>
        <v>0</v>
      </c>
      <c r="K26" s="1416">
        <f t="shared" si="36"/>
        <v>0</v>
      </c>
      <c r="L26" s="1435">
        <f t="shared" si="37"/>
        <v>0</v>
      </c>
      <c r="M26" s="1083">
        <f t="shared" si="38"/>
        <v>0</v>
      </c>
      <c r="N26" s="1033">
        <f t="shared" si="39"/>
        <v>0</v>
      </c>
      <c r="O26" s="1033">
        <v>0</v>
      </c>
      <c r="P26" s="1033">
        <f t="shared" si="40"/>
        <v>0</v>
      </c>
      <c r="Q26" s="1033">
        <v>0</v>
      </c>
      <c r="R26" s="1033">
        <f t="shared" si="41"/>
        <v>0</v>
      </c>
      <c r="S26" s="1033">
        <f t="shared" si="42"/>
        <v>0</v>
      </c>
      <c r="T26" s="1034">
        <f>'[14]FY2012-13 Final'!K27</f>
        <v>2337</v>
      </c>
      <c r="U26" s="1035">
        <f t="shared" si="30"/>
        <v>0</v>
      </c>
      <c r="V26" s="1465">
        <f>'[20]Oct midyear Lake Charles Chtr'!E26</f>
        <v>0</v>
      </c>
      <c r="W26" s="1445">
        <f t="shared" si="43"/>
        <v>0</v>
      </c>
      <c r="X26" s="1475">
        <f>'[20]Feb midyear Lake Charles Ch'!E26</f>
        <v>0</v>
      </c>
      <c r="Y26" s="1471">
        <f t="shared" si="44"/>
        <v>0</v>
      </c>
      <c r="Z26" s="1471">
        <f t="shared" si="45"/>
        <v>0</v>
      </c>
      <c r="AA26" s="1035">
        <f t="shared" si="46"/>
        <v>0</v>
      </c>
      <c r="AB26" s="1091">
        <f t="shared" si="47"/>
        <v>0</v>
      </c>
      <c r="AC26" s="1035">
        <f t="shared" si="48"/>
        <v>0</v>
      </c>
      <c r="AD26" s="1035">
        <v>0</v>
      </c>
      <c r="AE26" s="1035">
        <f t="shared" si="49"/>
        <v>0</v>
      </c>
      <c r="AF26" s="1035">
        <v>0</v>
      </c>
      <c r="AG26" s="1450">
        <f t="shared" si="50"/>
        <v>0</v>
      </c>
      <c r="AH26" s="1450">
        <f t="shared" si="51"/>
        <v>0</v>
      </c>
      <c r="AI26" s="1036">
        <f t="shared" si="31"/>
        <v>0</v>
      </c>
      <c r="AJ26" s="1036">
        <f t="shared" si="32"/>
        <v>0</v>
      </c>
      <c r="AK26" s="49"/>
      <c r="AL26" s="49">
        <f t="shared" si="52"/>
        <v>0</v>
      </c>
      <c r="AM26" s="49">
        <f>-'[22]Table 5C1F-Lake Charles Charter'!AL26</f>
        <v>0</v>
      </c>
      <c r="AN26" s="49">
        <f>-'[21]Table 5C1F-Lake Charles Charter'!P26</f>
        <v>0</v>
      </c>
      <c r="AO26" s="49">
        <f t="shared" si="53"/>
        <v>0</v>
      </c>
      <c r="AP26" s="49"/>
    </row>
    <row r="27" spans="1:42">
      <c r="A27" s="968">
        <v>21</v>
      </c>
      <c r="B27" s="969" t="s">
        <v>122</v>
      </c>
      <c r="C27" s="1170">
        <f>'Table 8 2.1.12 MFP Funded'!X24</f>
        <v>0</v>
      </c>
      <c r="D27" s="971">
        <f>'Table 3 Levels 1&amp;2'!AL28</f>
        <v>5761.9798531850847</v>
      </c>
      <c r="E27" s="1071">
        <f t="shared" si="33"/>
        <v>0</v>
      </c>
      <c r="F27" s="1071">
        <f>'Table 4 Level 3'!P26</f>
        <v>610.35</v>
      </c>
      <c r="G27" s="1071">
        <f t="shared" si="34"/>
        <v>0</v>
      </c>
      <c r="H27" s="972">
        <f t="shared" si="35"/>
        <v>0</v>
      </c>
      <c r="I27" s="1414">
        <f>'[1]Oct midyear Lake Charles Chtr'!K27</f>
        <v>0</v>
      </c>
      <c r="J27" s="1414">
        <f>'[1]Feb midyear Lake Charles Ch'!K27</f>
        <v>0</v>
      </c>
      <c r="K27" s="1414">
        <f t="shared" si="36"/>
        <v>0</v>
      </c>
      <c r="L27" s="1213">
        <f t="shared" si="37"/>
        <v>0</v>
      </c>
      <c r="M27" s="1081">
        <f t="shared" si="38"/>
        <v>0</v>
      </c>
      <c r="N27" s="972">
        <f t="shared" si="39"/>
        <v>0</v>
      </c>
      <c r="O27" s="972">
        <v>0</v>
      </c>
      <c r="P27" s="972">
        <f t="shared" si="40"/>
        <v>0</v>
      </c>
      <c r="Q27" s="972">
        <v>0</v>
      </c>
      <c r="R27" s="972">
        <f t="shared" si="41"/>
        <v>0</v>
      </c>
      <c r="S27" s="972">
        <f t="shared" si="42"/>
        <v>0</v>
      </c>
      <c r="T27" s="1029">
        <f>'[14]FY2012-13 Final'!K28</f>
        <v>2293</v>
      </c>
      <c r="U27" s="973">
        <f t="shared" si="30"/>
        <v>0</v>
      </c>
      <c r="V27" s="1466">
        <f>'[20]Oct midyear Lake Charles Chtr'!E27</f>
        <v>0</v>
      </c>
      <c r="W27" s="1444">
        <f t="shared" si="43"/>
        <v>0</v>
      </c>
      <c r="X27" s="1466">
        <f>'[20]Feb midyear Lake Charles Ch'!E27</f>
        <v>0</v>
      </c>
      <c r="Y27" s="1444">
        <f t="shared" si="44"/>
        <v>0</v>
      </c>
      <c r="Z27" s="1444">
        <f t="shared" si="45"/>
        <v>0</v>
      </c>
      <c r="AA27" s="973">
        <f t="shared" si="46"/>
        <v>0</v>
      </c>
      <c r="AB27" s="1089">
        <f t="shared" si="47"/>
        <v>0</v>
      </c>
      <c r="AC27" s="973">
        <f t="shared" si="48"/>
        <v>0</v>
      </c>
      <c r="AD27" s="973">
        <v>0</v>
      </c>
      <c r="AE27" s="973">
        <f t="shared" si="49"/>
        <v>0</v>
      </c>
      <c r="AF27" s="973">
        <v>0</v>
      </c>
      <c r="AG27" s="1214">
        <f t="shared" si="50"/>
        <v>0</v>
      </c>
      <c r="AH27" s="1214">
        <f t="shared" si="51"/>
        <v>0</v>
      </c>
      <c r="AI27" s="974">
        <f t="shared" si="31"/>
        <v>0</v>
      </c>
      <c r="AJ27" s="974">
        <f t="shared" si="32"/>
        <v>0</v>
      </c>
      <c r="AK27" s="49"/>
      <c r="AL27" s="49">
        <f t="shared" si="52"/>
        <v>0</v>
      </c>
      <c r="AM27" s="49">
        <f>-'[22]Table 5C1F-Lake Charles Charter'!AL27</f>
        <v>0</v>
      </c>
      <c r="AN27" s="49">
        <f>-'[21]Table 5C1F-Lake Charles Charter'!P27</f>
        <v>0</v>
      </c>
      <c r="AO27" s="49">
        <f t="shared" si="53"/>
        <v>0</v>
      </c>
      <c r="AP27" s="49"/>
    </row>
    <row r="28" spans="1:42">
      <c r="A28" s="975">
        <v>22</v>
      </c>
      <c r="B28" s="976" t="s">
        <v>123</v>
      </c>
      <c r="C28" s="1168">
        <f>'Table 8 2.1.12 MFP Funded'!X25</f>
        <v>0</v>
      </c>
      <c r="D28" s="978">
        <f>'Table 3 Levels 1&amp;2'!AL29</f>
        <v>6212.5932514983215</v>
      </c>
      <c r="E28" s="1072">
        <f t="shared" si="33"/>
        <v>0</v>
      </c>
      <c r="F28" s="1072">
        <f>'Table 4 Level 3'!P27</f>
        <v>496.36</v>
      </c>
      <c r="G28" s="1072">
        <f t="shared" si="34"/>
        <v>0</v>
      </c>
      <c r="H28" s="1030">
        <f t="shared" si="35"/>
        <v>0</v>
      </c>
      <c r="I28" s="1415">
        <f>'[1]Oct midyear Lake Charles Chtr'!K28</f>
        <v>0</v>
      </c>
      <c r="J28" s="1415">
        <f>'[1]Feb midyear Lake Charles Ch'!K28</f>
        <v>0</v>
      </c>
      <c r="K28" s="1415">
        <f t="shared" si="36"/>
        <v>0</v>
      </c>
      <c r="L28" s="1434">
        <f t="shared" si="37"/>
        <v>0</v>
      </c>
      <c r="M28" s="1082">
        <f t="shared" si="38"/>
        <v>0</v>
      </c>
      <c r="N28" s="1030">
        <f t="shared" si="39"/>
        <v>0</v>
      </c>
      <c r="O28" s="1030">
        <v>0</v>
      </c>
      <c r="P28" s="1030">
        <f t="shared" si="40"/>
        <v>0</v>
      </c>
      <c r="Q28" s="1030">
        <v>0</v>
      </c>
      <c r="R28" s="1030">
        <f t="shared" si="41"/>
        <v>0</v>
      </c>
      <c r="S28" s="1030">
        <f t="shared" si="42"/>
        <v>0</v>
      </c>
      <c r="T28" s="1029">
        <f>'[14]FY2012-13 Final'!K29</f>
        <v>1412</v>
      </c>
      <c r="U28" s="1031">
        <f t="shared" si="30"/>
        <v>0</v>
      </c>
      <c r="V28" s="1464">
        <f>'[20]Oct midyear Lake Charles Chtr'!E28</f>
        <v>0</v>
      </c>
      <c r="W28" s="1443">
        <f t="shared" si="43"/>
        <v>0</v>
      </c>
      <c r="X28" s="1474">
        <f>'[20]Feb midyear Lake Charles Ch'!E28</f>
        <v>0</v>
      </c>
      <c r="Y28" s="1470">
        <f t="shared" si="44"/>
        <v>0</v>
      </c>
      <c r="Z28" s="1470">
        <f t="shared" si="45"/>
        <v>0</v>
      </c>
      <c r="AA28" s="1031">
        <f t="shared" si="46"/>
        <v>0</v>
      </c>
      <c r="AB28" s="1090">
        <f t="shared" si="47"/>
        <v>0</v>
      </c>
      <c r="AC28" s="1031">
        <f t="shared" si="48"/>
        <v>0</v>
      </c>
      <c r="AD28" s="1031">
        <v>0</v>
      </c>
      <c r="AE28" s="1031">
        <f t="shared" si="49"/>
        <v>0</v>
      </c>
      <c r="AF28" s="1031">
        <v>0</v>
      </c>
      <c r="AG28" s="1448">
        <f t="shared" si="50"/>
        <v>0</v>
      </c>
      <c r="AH28" s="1448">
        <f t="shared" si="51"/>
        <v>0</v>
      </c>
      <c r="AI28" s="1032">
        <f t="shared" si="31"/>
        <v>0</v>
      </c>
      <c r="AJ28" s="1032">
        <f t="shared" si="32"/>
        <v>0</v>
      </c>
      <c r="AK28" s="49"/>
      <c r="AL28" s="49">
        <f t="shared" si="52"/>
        <v>0</v>
      </c>
      <c r="AM28" s="49">
        <f>-'[22]Table 5C1F-Lake Charles Charter'!AL28</f>
        <v>0</v>
      </c>
      <c r="AN28" s="49">
        <f>-'[21]Table 5C1F-Lake Charles Charter'!P28</f>
        <v>0</v>
      </c>
      <c r="AO28" s="49">
        <f t="shared" si="53"/>
        <v>0</v>
      </c>
      <c r="AP28" s="49"/>
    </row>
    <row r="29" spans="1:42">
      <c r="A29" s="975">
        <v>23</v>
      </c>
      <c r="B29" s="976" t="s">
        <v>124</v>
      </c>
      <c r="C29" s="1168">
        <f>'Table 8 2.1.12 MFP Funded'!X26</f>
        <v>0</v>
      </c>
      <c r="D29" s="978">
        <f>'Table 3 Levels 1&amp;2'!AL30</f>
        <v>4824.5074836036147</v>
      </c>
      <c r="E29" s="1072">
        <f t="shared" si="33"/>
        <v>0</v>
      </c>
      <c r="F29" s="1072">
        <f>'Table 4 Level 3'!P28</f>
        <v>688.58</v>
      </c>
      <c r="G29" s="1072">
        <f t="shared" si="34"/>
        <v>0</v>
      </c>
      <c r="H29" s="1030">
        <f t="shared" si="35"/>
        <v>0</v>
      </c>
      <c r="I29" s="1415">
        <f>'[1]Oct midyear Lake Charles Chtr'!K29</f>
        <v>0</v>
      </c>
      <c r="J29" s="1415">
        <f>'[1]Feb midyear Lake Charles Ch'!K29</f>
        <v>0</v>
      </c>
      <c r="K29" s="1415">
        <f t="shared" si="36"/>
        <v>0</v>
      </c>
      <c r="L29" s="1434">
        <f t="shared" si="37"/>
        <v>0</v>
      </c>
      <c r="M29" s="1082">
        <f t="shared" si="38"/>
        <v>0</v>
      </c>
      <c r="N29" s="1030">
        <f t="shared" si="39"/>
        <v>0</v>
      </c>
      <c r="O29" s="1030">
        <v>0</v>
      </c>
      <c r="P29" s="1030">
        <f t="shared" si="40"/>
        <v>0</v>
      </c>
      <c r="Q29" s="1030">
        <v>0</v>
      </c>
      <c r="R29" s="1030">
        <f t="shared" si="41"/>
        <v>0</v>
      </c>
      <c r="S29" s="1030">
        <f t="shared" si="42"/>
        <v>0</v>
      </c>
      <c r="T29" s="1029">
        <f>'[14]FY2012-13 Final'!K30</f>
        <v>3278</v>
      </c>
      <c r="U29" s="1031">
        <f t="shared" si="30"/>
        <v>0</v>
      </c>
      <c r="V29" s="1464">
        <f>'[20]Oct midyear Lake Charles Chtr'!E29</f>
        <v>0</v>
      </c>
      <c r="W29" s="1443">
        <f t="shared" si="43"/>
        <v>0</v>
      </c>
      <c r="X29" s="1474">
        <f>'[20]Feb midyear Lake Charles Ch'!E29</f>
        <v>0</v>
      </c>
      <c r="Y29" s="1470">
        <f t="shared" si="44"/>
        <v>0</v>
      </c>
      <c r="Z29" s="1470">
        <f t="shared" si="45"/>
        <v>0</v>
      </c>
      <c r="AA29" s="1031">
        <f t="shared" si="46"/>
        <v>0</v>
      </c>
      <c r="AB29" s="1090">
        <f t="shared" si="47"/>
        <v>0</v>
      </c>
      <c r="AC29" s="1031">
        <f t="shared" si="48"/>
        <v>0</v>
      </c>
      <c r="AD29" s="1031">
        <v>0</v>
      </c>
      <c r="AE29" s="1031">
        <f t="shared" si="49"/>
        <v>0</v>
      </c>
      <c r="AF29" s="1031">
        <v>0</v>
      </c>
      <c r="AG29" s="1448">
        <f t="shared" si="50"/>
        <v>0</v>
      </c>
      <c r="AH29" s="1448">
        <f t="shared" si="51"/>
        <v>0</v>
      </c>
      <c r="AI29" s="1032">
        <f t="shared" si="31"/>
        <v>0</v>
      </c>
      <c r="AJ29" s="1032">
        <f t="shared" si="32"/>
        <v>0</v>
      </c>
      <c r="AK29" s="49"/>
      <c r="AL29" s="49">
        <f t="shared" si="52"/>
        <v>0</v>
      </c>
      <c r="AM29" s="49">
        <f>-'[22]Table 5C1F-Lake Charles Charter'!AL29</f>
        <v>0</v>
      </c>
      <c r="AN29" s="49">
        <f>-'[21]Table 5C1F-Lake Charles Charter'!P29</f>
        <v>0</v>
      </c>
      <c r="AO29" s="49">
        <f t="shared" si="53"/>
        <v>0</v>
      </c>
      <c r="AP29" s="49"/>
    </row>
    <row r="30" spans="1:42">
      <c r="A30" s="975">
        <v>24</v>
      </c>
      <c r="B30" s="976" t="s">
        <v>125</v>
      </c>
      <c r="C30" s="1168">
        <f>'Table 8 2.1.12 MFP Funded'!X27</f>
        <v>0</v>
      </c>
      <c r="D30" s="978">
        <f>'Table 3 Levels 1&amp;2'!AL31</f>
        <v>2654.5104003578617</v>
      </c>
      <c r="E30" s="1072">
        <f t="shared" si="33"/>
        <v>0</v>
      </c>
      <c r="F30" s="1072">
        <f>'Table 4 Level 3'!P29</f>
        <v>854.24999999999989</v>
      </c>
      <c r="G30" s="1072">
        <f t="shared" si="34"/>
        <v>0</v>
      </c>
      <c r="H30" s="1030">
        <f t="shared" si="35"/>
        <v>0</v>
      </c>
      <c r="I30" s="1415">
        <f>'[1]Oct midyear Lake Charles Chtr'!K30</f>
        <v>0</v>
      </c>
      <c r="J30" s="1415">
        <f>'[1]Feb midyear Lake Charles Ch'!K30</f>
        <v>0</v>
      </c>
      <c r="K30" s="1415">
        <f t="shared" si="36"/>
        <v>0</v>
      </c>
      <c r="L30" s="1434">
        <f t="shared" si="37"/>
        <v>0</v>
      </c>
      <c r="M30" s="1082">
        <f t="shared" si="38"/>
        <v>0</v>
      </c>
      <c r="N30" s="1030">
        <f t="shared" si="39"/>
        <v>0</v>
      </c>
      <c r="O30" s="1030">
        <v>0</v>
      </c>
      <c r="P30" s="1030">
        <f t="shared" si="40"/>
        <v>0</v>
      </c>
      <c r="Q30" s="1030">
        <v>0</v>
      </c>
      <c r="R30" s="1030">
        <f t="shared" si="41"/>
        <v>0</v>
      </c>
      <c r="S30" s="1030">
        <f t="shared" si="42"/>
        <v>0</v>
      </c>
      <c r="T30" s="1029">
        <f>'[14]FY2012-13 Final'!K31</f>
        <v>9311</v>
      </c>
      <c r="U30" s="1031">
        <f t="shared" si="30"/>
        <v>0</v>
      </c>
      <c r="V30" s="1464">
        <f>'[20]Oct midyear Lake Charles Chtr'!E30</f>
        <v>0</v>
      </c>
      <c r="W30" s="1443">
        <f t="shared" si="43"/>
        <v>0</v>
      </c>
      <c r="X30" s="1474">
        <f>'[20]Feb midyear Lake Charles Ch'!E30</f>
        <v>0</v>
      </c>
      <c r="Y30" s="1470">
        <f t="shared" si="44"/>
        <v>0</v>
      </c>
      <c r="Z30" s="1470">
        <f t="shared" si="45"/>
        <v>0</v>
      </c>
      <c r="AA30" s="1031">
        <f t="shared" si="46"/>
        <v>0</v>
      </c>
      <c r="AB30" s="1090">
        <f t="shared" si="47"/>
        <v>0</v>
      </c>
      <c r="AC30" s="1031">
        <f t="shared" si="48"/>
        <v>0</v>
      </c>
      <c r="AD30" s="1031">
        <v>0</v>
      </c>
      <c r="AE30" s="1031">
        <f t="shared" si="49"/>
        <v>0</v>
      </c>
      <c r="AF30" s="1031">
        <v>0</v>
      </c>
      <c r="AG30" s="1448">
        <f t="shared" si="50"/>
        <v>0</v>
      </c>
      <c r="AH30" s="1448">
        <f t="shared" si="51"/>
        <v>0</v>
      </c>
      <c r="AI30" s="1032">
        <f t="shared" si="31"/>
        <v>0</v>
      </c>
      <c r="AJ30" s="1032">
        <f t="shared" si="32"/>
        <v>0</v>
      </c>
      <c r="AK30" s="49"/>
      <c r="AL30" s="49">
        <f t="shared" si="52"/>
        <v>0</v>
      </c>
      <c r="AM30" s="49">
        <f>-'[22]Table 5C1F-Lake Charles Charter'!AL30</f>
        <v>0</v>
      </c>
      <c r="AN30" s="49">
        <f>-'[21]Table 5C1F-Lake Charles Charter'!P30</f>
        <v>0</v>
      </c>
      <c r="AO30" s="49">
        <f t="shared" si="53"/>
        <v>0</v>
      </c>
      <c r="AP30" s="49"/>
    </row>
    <row r="31" spans="1:42">
      <c r="A31" s="979">
        <v>25</v>
      </c>
      <c r="B31" s="980" t="s">
        <v>126</v>
      </c>
      <c r="C31" s="1169">
        <f>'Table 8 2.1.12 MFP Funded'!X28</f>
        <v>0</v>
      </c>
      <c r="D31" s="982">
        <f>'Table 3 Levels 1&amp;2'!AL32</f>
        <v>3876.6607101712493</v>
      </c>
      <c r="E31" s="1073">
        <f t="shared" si="33"/>
        <v>0</v>
      </c>
      <c r="F31" s="1073">
        <f>'Table 4 Level 3'!P30</f>
        <v>653.73</v>
      </c>
      <c r="G31" s="1073">
        <f t="shared" si="34"/>
        <v>0</v>
      </c>
      <c r="H31" s="1033">
        <f t="shared" si="35"/>
        <v>0</v>
      </c>
      <c r="I31" s="1416">
        <f>'[1]Oct midyear Lake Charles Chtr'!K31</f>
        <v>0</v>
      </c>
      <c r="J31" s="1416">
        <f>'[1]Feb midyear Lake Charles Ch'!K31</f>
        <v>0</v>
      </c>
      <c r="K31" s="1416">
        <f t="shared" si="36"/>
        <v>0</v>
      </c>
      <c r="L31" s="1435">
        <f t="shared" si="37"/>
        <v>0</v>
      </c>
      <c r="M31" s="1083">
        <f t="shared" si="38"/>
        <v>0</v>
      </c>
      <c r="N31" s="1033">
        <f t="shared" si="39"/>
        <v>0</v>
      </c>
      <c r="O31" s="1033">
        <v>0</v>
      </c>
      <c r="P31" s="1033">
        <f t="shared" si="40"/>
        <v>0</v>
      </c>
      <c r="Q31" s="1033">
        <v>0</v>
      </c>
      <c r="R31" s="1033">
        <f t="shared" si="41"/>
        <v>0</v>
      </c>
      <c r="S31" s="1033">
        <f t="shared" si="42"/>
        <v>0</v>
      </c>
      <c r="T31" s="1034">
        <f>'[14]FY2012-13 Final'!K32</f>
        <v>5361</v>
      </c>
      <c r="U31" s="1035">
        <f t="shared" si="30"/>
        <v>0</v>
      </c>
      <c r="V31" s="1465">
        <f>'[20]Oct midyear Lake Charles Chtr'!E31</f>
        <v>0</v>
      </c>
      <c r="W31" s="1445">
        <f t="shared" si="43"/>
        <v>0</v>
      </c>
      <c r="X31" s="1475">
        <f>'[20]Feb midyear Lake Charles Ch'!E31</f>
        <v>0</v>
      </c>
      <c r="Y31" s="1471">
        <f t="shared" si="44"/>
        <v>0</v>
      </c>
      <c r="Z31" s="1471">
        <f t="shared" si="45"/>
        <v>0</v>
      </c>
      <c r="AA31" s="1035">
        <f t="shared" si="46"/>
        <v>0</v>
      </c>
      <c r="AB31" s="1091">
        <f t="shared" si="47"/>
        <v>0</v>
      </c>
      <c r="AC31" s="1035">
        <f t="shared" si="48"/>
        <v>0</v>
      </c>
      <c r="AD31" s="1035">
        <v>0</v>
      </c>
      <c r="AE31" s="1035">
        <f t="shared" si="49"/>
        <v>0</v>
      </c>
      <c r="AF31" s="1035">
        <v>0</v>
      </c>
      <c r="AG31" s="1450">
        <f t="shared" si="50"/>
        <v>0</v>
      </c>
      <c r="AH31" s="1450">
        <f t="shared" si="51"/>
        <v>0</v>
      </c>
      <c r="AI31" s="1036">
        <f t="shared" si="31"/>
        <v>0</v>
      </c>
      <c r="AJ31" s="1036">
        <f t="shared" si="32"/>
        <v>0</v>
      </c>
      <c r="AK31" s="49"/>
      <c r="AL31" s="49">
        <f t="shared" si="52"/>
        <v>0</v>
      </c>
      <c r="AM31" s="49">
        <f>-'[22]Table 5C1F-Lake Charles Charter'!AL31</f>
        <v>0</v>
      </c>
      <c r="AN31" s="49">
        <f>-'[21]Table 5C1F-Lake Charles Charter'!P31</f>
        <v>0</v>
      </c>
      <c r="AO31" s="49">
        <f t="shared" si="53"/>
        <v>0</v>
      </c>
      <c r="AP31" s="49"/>
    </row>
    <row r="32" spans="1:42">
      <c r="A32" s="968">
        <v>26</v>
      </c>
      <c r="B32" s="969" t="s">
        <v>127</v>
      </c>
      <c r="C32" s="1170">
        <f>'Table 8 2.1.12 MFP Funded'!X29</f>
        <v>0</v>
      </c>
      <c r="D32" s="971">
        <f>'Table 3 Levels 1&amp;2'!AL33</f>
        <v>3130.9087022137969</v>
      </c>
      <c r="E32" s="1071">
        <f t="shared" si="33"/>
        <v>0</v>
      </c>
      <c r="F32" s="1071">
        <f>'Table 4 Level 3'!P31</f>
        <v>836.83</v>
      </c>
      <c r="G32" s="1071">
        <f t="shared" si="34"/>
        <v>0</v>
      </c>
      <c r="H32" s="972">
        <f t="shared" si="35"/>
        <v>0</v>
      </c>
      <c r="I32" s="1414">
        <f>'[1]Oct midyear Lake Charles Chtr'!K32</f>
        <v>0</v>
      </c>
      <c r="J32" s="1414">
        <f>'[1]Feb midyear Lake Charles Ch'!K32</f>
        <v>0</v>
      </c>
      <c r="K32" s="1414">
        <f t="shared" si="36"/>
        <v>0</v>
      </c>
      <c r="L32" s="1213">
        <f t="shared" si="37"/>
        <v>0</v>
      </c>
      <c r="M32" s="1081">
        <f t="shared" si="38"/>
        <v>0</v>
      </c>
      <c r="N32" s="972">
        <f t="shared" si="39"/>
        <v>0</v>
      </c>
      <c r="O32" s="972">
        <v>0</v>
      </c>
      <c r="P32" s="972">
        <f t="shared" si="40"/>
        <v>0</v>
      </c>
      <c r="Q32" s="972">
        <v>0</v>
      </c>
      <c r="R32" s="972">
        <f t="shared" si="41"/>
        <v>0</v>
      </c>
      <c r="S32" s="972">
        <f t="shared" si="42"/>
        <v>0</v>
      </c>
      <c r="T32" s="1029">
        <f>'[14]FY2012-13 Final'!K33</f>
        <v>5202</v>
      </c>
      <c r="U32" s="973">
        <f t="shared" si="30"/>
        <v>0</v>
      </c>
      <c r="V32" s="1466">
        <f>'[20]Oct midyear Lake Charles Chtr'!E32</f>
        <v>0</v>
      </c>
      <c r="W32" s="1444">
        <f t="shared" si="43"/>
        <v>0</v>
      </c>
      <c r="X32" s="1466">
        <f>'[20]Feb midyear Lake Charles Ch'!E32</f>
        <v>0</v>
      </c>
      <c r="Y32" s="1444">
        <f t="shared" si="44"/>
        <v>0</v>
      </c>
      <c r="Z32" s="1444">
        <f t="shared" si="45"/>
        <v>0</v>
      </c>
      <c r="AA32" s="973">
        <f t="shared" si="46"/>
        <v>0</v>
      </c>
      <c r="AB32" s="1089">
        <f t="shared" si="47"/>
        <v>0</v>
      </c>
      <c r="AC32" s="973">
        <f t="shared" si="48"/>
        <v>0</v>
      </c>
      <c r="AD32" s="973">
        <v>0</v>
      </c>
      <c r="AE32" s="973">
        <f t="shared" si="49"/>
        <v>0</v>
      </c>
      <c r="AF32" s="973">
        <v>0</v>
      </c>
      <c r="AG32" s="1214">
        <f t="shared" si="50"/>
        <v>0</v>
      </c>
      <c r="AH32" s="1214">
        <f t="shared" si="51"/>
        <v>0</v>
      </c>
      <c r="AI32" s="974">
        <f t="shared" si="31"/>
        <v>0</v>
      </c>
      <c r="AJ32" s="974">
        <f t="shared" si="32"/>
        <v>0</v>
      </c>
      <c r="AK32" s="49"/>
      <c r="AL32" s="49">
        <f t="shared" si="52"/>
        <v>0</v>
      </c>
      <c r="AM32" s="49">
        <f>-'[22]Table 5C1F-Lake Charles Charter'!AL32</f>
        <v>0</v>
      </c>
      <c r="AN32" s="49">
        <f>-'[21]Table 5C1F-Lake Charles Charter'!P32</f>
        <v>0</v>
      </c>
      <c r="AO32" s="49">
        <f t="shared" si="53"/>
        <v>0</v>
      </c>
      <c r="AP32" s="49"/>
    </row>
    <row r="33" spans="1:42">
      <c r="A33" s="975">
        <v>27</v>
      </c>
      <c r="B33" s="976" t="s">
        <v>128</v>
      </c>
      <c r="C33" s="1171">
        <f>'Table 8 2.1.12 MFP Funded'!X30</f>
        <v>4</v>
      </c>
      <c r="D33" s="984">
        <f>'Table 3 Levels 1&amp;2'!AL34</f>
        <v>5673.3097932359224</v>
      </c>
      <c r="E33" s="1074">
        <f t="shared" si="33"/>
        <v>22693.239172943689</v>
      </c>
      <c r="F33" s="1074">
        <f>'Table 4 Level 3'!P32</f>
        <v>693.06</v>
      </c>
      <c r="G33" s="1074">
        <f t="shared" si="34"/>
        <v>2772.24</v>
      </c>
      <c r="H33" s="1037">
        <f t="shared" si="35"/>
        <v>25465.479172943691</v>
      </c>
      <c r="I33" s="1417">
        <f>'[1]Oct midyear Lake Charles Chtr'!K33</f>
        <v>-25465.479172943691</v>
      </c>
      <c r="J33" s="1417">
        <f>'[1]Feb midyear Lake Charles Ch'!K33</f>
        <v>0</v>
      </c>
      <c r="K33" s="1417">
        <f t="shared" si="36"/>
        <v>-25465.479172943691</v>
      </c>
      <c r="L33" s="1436">
        <f t="shared" si="37"/>
        <v>0</v>
      </c>
      <c r="M33" s="1084">
        <f t="shared" si="38"/>
        <v>0</v>
      </c>
      <c r="N33" s="1037">
        <f t="shared" si="39"/>
        <v>0</v>
      </c>
      <c r="O33" s="1037">
        <v>0</v>
      </c>
      <c r="P33" s="1037">
        <f t="shared" si="40"/>
        <v>0</v>
      </c>
      <c r="Q33" s="1037">
        <f>2110*8-4220-4220</f>
        <v>8440</v>
      </c>
      <c r="R33" s="1037">
        <f t="shared" si="41"/>
        <v>-8440</v>
      </c>
      <c r="S33" s="1037">
        <f t="shared" si="42"/>
        <v>-4220</v>
      </c>
      <c r="T33" s="1029">
        <f>'[14]FY2012-13 Final'!K34</f>
        <v>3093</v>
      </c>
      <c r="U33" s="1031">
        <f t="shared" si="30"/>
        <v>12372</v>
      </c>
      <c r="V33" s="1464">
        <f>'[20]Oct midyear Lake Charles Chtr'!E33</f>
        <v>-4</v>
      </c>
      <c r="W33" s="1443">
        <f t="shared" si="43"/>
        <v>-12372</v>
      </c>
      <c r="X33" s="1474">
        <f>'[20]Feb midyear Lake Charles Ch'!E33</f>
        <v>0</v>
      </c>
      <c r="Y33" s="1470">
        <f t="shared" si="44"/>
        <v>0</v>
      </c>
      <c r="Z33" s="1470">
        <f t="shared" si="45"/>
        <v>-12372</v>
      </c>
      <c r="AA33" s="1031">
        <f t="shared" si="46"/>
        <v>0</v>
      </c>
      <c r="AB33" s="1090">
        <f t="shared" si="47"/>
        <v>0</v>
      </c>
      <c r="AC33" s="1031">
        <f t="shared" si="48"/>
        <v>0</v>
      </c>
      <c r="AD33" s="1031">
        <v>0</v>
      </c>
      <c r="AE33" s="1031">
        <f t="shared" si="49"/>
        <v>0</v>
      </c>
      <c r="AF33" s="1031">
        <f>1022*8-2044-2044</f>
        <v>4088</v>
      </c>
      <c r="AG33" s="1448">
        <f t="shared" si="50"/>
        <v>-4088</v>
      </c>
      <c r="AH33" s="1448">
        <f t="shared" si="51"/>
        <v>-2044</v>
      </c>
      <c r="AI33" s="1032">
        <f t="shared" si="31"/>
        <v>0</v>
      </c>
      <c r="AJ33" s="1032">
        <f t="shared" si="32"/>
        <v>-6264</v>
      </c>
      <c r="AK33" s="49"/>
      <c r="AL33" s="49">
        <f t="shared" si="52"/>
        <v>0</v>
      </c>
      <c r="AM33" s="49">
        <f>-'[22]Table 5C1F-Lake Charles Charter'!AL33</f>
        <v>0</v>
      </c>
      <c r="AN33" s="49">
        <f>-'[21]Table 5C1F-Lake Charles Charter'!P33</f>
        <v>30.73</v>
      </c>
      <c r="AO33" s="49">
        <f t="shared" si="53"/>
        <v>0</v>
      </c>
      <c r="AP33" s="49"/>
    </row>
    <row r="34" spans="1:42">
      <c r="A34" s="975">
        <v>28</v>
      </c>
      <c r="B34" s="976" t="s">
        <v>129</v>
      </c>
      <c r="C34" s="1171">
        <f>'Table 8 2.1.12 MFP Funded'!X31</f>
        <v>0</v>
      </c>
      <c r="D34" s="984">
        <f>'Table 3 Levels 1&amp;2'!AL35</f>
        <v>3225.6961587092846</v>
      </c>
      <c r="E34" s="1074">
        <f t="shared" si="33"/>
        <v>0</v>
      </c>
      <c r="F34" s="1074">
        <f>'Table 4 Level 3'!P33</f>
        <v>694.4</v>
      </c>
      <c r="G34" s="1074">
        <f t="shared" si="34"/>
        <v>0</v>
      </c>
      <c r="H34" s="1037">
        <f t="shared" si="35"/>
        <v>0</v>
      </c>
      <c r="I34" s="1417">
        <f>'[1]Oct midyear Lake Charles Chtr'!K34</f>
        <v>0</v>
      </c>
      <c r="J34" s="1417">
        <f>'[1]Feb midyear Lake Charles Ch'!K34</f>
        <v>0</v>
      </c>
      <c r="K34" s="1417">
        <f t="shared" si="36"/>
        <v>0</v>
      </c>
      <c r="L34" s="1436">
        <f t="shared" si="37"/>
        <v>0</v>
      </c>
      <c r="M34" s="1084">
        <f t="shared" si="38"/>
        <v>0</v>
      </c>
      <c r="N34" s="1037">
        <f t="shared" si="39"/>
        <v>0</v>
      </c>
      <c r="O34" s="1037">
        <v>0</v>
      </c>
      <c r="P34" s="1037">
        <f t="shared" si="40"/>
        <v>0</v>
      </c>
      <c r="Q34" s="1037">
        <v>0</v>
      </c>
      <c r="R34" s="1037">
        <f t="shared" si="41"/>
        <v>0</v>
      </c>
      <c r="S34" s="1037">
        <f t="shared" si="42"/>
        <v>0</v>
      </c>
      <c r="T34" s="1029">
        <f>'[14]FY2012-13 Final'!K35</f>
        <v>5338</v>
      </c>
      <c r="U34" s="1031">
        <f t="shared" si="30"/>
        <v>0</v>
      </c>
      <c r="V34" s="1464">
        <f>'[20]Oct midyear Lake Charles Chtr'!E34</f>
        <v>0</v>
      </c>
      <c r="W34" s="1443">
        <f t="shared" si="43"/>
        <v>0</v>
      </c>
      <c r="X34" s="1474">
        <f>'[20]Feb midyear Lake Charles Ch'!E34</f>
        <v>0</v>
      </c>
      <c r="Y34" s="1470">
        <f t="shared" si="44"/>
        <v>0</v>
      </c>
      <c r="Z34" s="1470">
        <f t="shared" si="45"/>
        <v>0</v>
      </c>
      <c r="AA34" s="1031">
        <f t="shared" si="46"/>
        <v>0</v>
      </c>
      <c r="AB34" s="1090">
        <f t="shared" si="47"/>
        <v>0</v>
      </c>
      <c r="AC34" s="1031">
        <f t="shared" si="48"/>
        <v>0</v>
      </c>
      <c r="AD34" s="1031">
        <v>0</v>
      </c>
      <c r="AE34" s="1031">
        <f t="shared" si="49"/>
        <v>0</v>
      </c>
      <c r="AF34" s="1031">
        <v>0</v>
      </c>
      <c r="AG34" s="1448">
        <f t="shared" si="50"/>
        <v>0</v>
      </c>
      <c r="AH34" s="1448">
        <f t="shared" si="51"/>
        <v>0</v>
      </c>
      <c r="AI34" s="1032">
        <f t="shared" si="31"/>
        <v>0</v>
      </c>
      <c r="AJ34" s="1032">
        <f t="shared" si="32"/>
        <v>0</v>
      </c>
      <c r="AK34" s="49"/>
      <c r="AL34" s="49">
        <f t="shared" si="52"/>
        <v>0</v>
      </c>
      <c r="AM34" s="49">
        <f>-'[22]Table 5C1F-Lake Charles Charter'!AL34</f>
        <v>0</v>
      </c>
      <c r="AN34" s="49">
        <f>-'[21]Table 5C1F-Lake Charles Charter'!P34</f>
        <v>0</v>
      </c>
      <c r="AO34" s="49">
        <f t="shared" si="53"/>
        <v>0</v>
      </c>
      <c r="AP34" s="49"/>
    </row>
    <row r="35" spans="1:42">
      <c r="A35" s="975">
        <v>29</v>
      </c>
      <c r="B35" s="976" t="s">
        <v>130</v>
      </c>
      <c r="C35" s="1171">
        <f>'Table 8 2.1.12 MFP Funded'!X32</f>
        <v>0</v>
      </c>
      <c r="D35" s="984">
        <f>'Table 3 Levels 1&amp;2'!AL36</f>
        <v>3955.7852148385191</v>
      </c>
      <c r="E35" s="1074">
        <f t="shared" si="33"/>
        <v>0</v>
      </c>
      <c r="F35" s="1074">
        <f>'Table 4 Level 3'!P34</f>
        <v>754.94999999999993</v>
      </c>
      <c r="G35" s="1074">
        <f t="shared" si="34"/>
        <v>0</v>
      </c>
      <c r="H35" s="1037">
        <f t="shared" si="35"/>
        <v>0</v>
      </c>
      <c r="I35" s="1417">
        <f>'[1]Oct midyear Lake Charles Chtr'!K35</f>
        <v>0</v>
      </c>
      <c r="J35" s="1417">
        <f>'[1]Feb midyear Lake Charles Ch'!K35</f>
        <v>0</v>
      </c>
      <c r="K35" s="1417">
        <f t="shared" si="36"/>
        <v>0</v>
      </c>
      <c r="L35" s="1436">
        <f t="shared" si="37"/>
        <v>0</v>
      </c>
      <c r="M35" s="1084">
        <f t="shared" si="38"/>
        <v>0</v>
      </c>
      <c r="N35" s="1037">
        <f t="shared" si="39"/>
        <v>0</v>
      </c>
      <c r="O35" s="1037">
        <v>0</v>
      </c>
      <c r="P35" s="1037">
        <f t="shared" si="40"/>
        <v>0</v>
      </c>
      <c r="Q35" s="1037">
        <v>0</v>
      </c>
      <c r="R35" s="1037">
        <f t="shared" si="41"/>
        <v>0</v>
      </c>
      <c r="S35" s="1037">
        <f t="shared" si="42"/>
        <v>0</v>
      </c>
      <c r="T35" s="1029">
        <f>'[14]FY2012-13 Final'!K36</f>
        <v>4414</v>
      </c>
      <c r="U35" s="1031">
        <f t="shared" si="30"/>
        <v>0</v>
      </c>
      <c r="V35" s="1464">
        <f>'[20]Oct midyear Lake Charles Chtr'!E35</f>
        <v>0</v>
      </c>
      <c r="W35" s="1443">
        <f t="shared" si="43"/>
        <v>0</v>
      </c>
      <c r="X35" s="1474">
        <f>'[20]Feb midyear Lake Charles Ch'!E35</f>
        <v>0</v>
      </c>
      <c r="Y35" s="1470">
        <f t="shared" si="44"/>
        <v>0</v>
      </c>
      <c r="Z35" s="1470">
        <f t="shared" si="45"/>
        <v>0</v>
      </c>
      <c r="AA35" s="1031">
        <f t="shared" si="46"/>
        <v>0</v>
      </c>
      <c r="AB35" s="1090">
        <f t="shared" si="47"/>
        <v>0</v>
      </c>
      <c r="AC35" s="1031">
        <f t="shared" si="48"/>
        <v>0</v>
      </c>
      <c r="AD35" s="1031">
        <v>0</v>
      </c>
      <c r="AE35" s="1031">
        <f t="shared" si="49"/>
        <v>0</v>
      </c>
      <c r="AF35" s="1031">
        <v>0</v>
      </c>
      <c r="AG35" s="1448">
        <f t="shared" si="50"/>
        <v>0</v>
      </c>
      <c r="AH35" s="1448">
        <f t="shared" si="51"/>
        <v>0</v>
      </c>
      <c r="AI35" s="1032">
        <f t="shared" si="31"/>
        <v>0</v>
      </c>
      <c r="AJ35" s="1032">
        <f t="shared" si="32"/>
        <v>0</v>
      </c>
      <c r="AK35" s="49"/>
      <c r="AL35" s="49">
        <f t="shared" si="52"/>
        <v>0</v>
      </c>
      <c r="AM35" s="49">
        <f>-'[22]Table 5C1F-Lake Charles Charter'!AL35</f>
        <v>0</v>
      </c>
      <c r="AN35" s="49">
        <f>-'[21]Table 5C1F-Lake Charles Charter'!P35</f>
        <v>0</v>
      </c>
      <c r="AO35" s="49">
        <f t="shared" si="53"/>
        <v>0</v>
      </c>
      <c r="AP35" s="49"/>
    </row>
    <row r="36" spans="1:42">
      <c r="A36" s="979">
        <v>30</v>
      </c>
      <c r="B36" s="980" t="s">
        <v>131</v>
      </c>
      <c r="C36" s="1172">
        <f>'Table 8 2.1.12 MFP Funded'!X33</f>
        <v>0</v>
      </c>
      <c r="D36" s="986">
        <f>'Table 3 Levels 1&amp;2'!AL37</f>
        <v>5609.6361466464068</v>
      </c>
      <c r="E36" s="1075">
        <f t="shared" si="33"/>
        <v>0</v>
      </c>
      <c r="F36" s="1075">
        <f>'Table 4 Level 3'!P35</f>
        <v>727.17</v>
      </c>
      <c r="G36" s="1075">
        <f t="shared" si="34"/>
        <v>0</v>
      </c>
      <c r="H36" s="1038">
        <f t="shared" si="35"/>
        <v>0</v>
      </c>
      <c r="I36" s="1418">
        <f>'[1]Oct midyear Lake Charles Chtr'!K36</f>
        <v>0</v>
      </c>
      <c r="J36" s="1418">
        <f>'[1]Feb midyear Lake Charles Ch'!K36</f>
        <v>0</v>
      </c>
      <c r="K36" s="1418">
        <f t="shared" si="36"/>
        <v>0</v>
      </c>
      <c r="L36" s="1437">
        <f t="shared" si="37"/>
        <v>0</v>
      </c>
      <c r="M36" s="1085">
        <f t="shared" si="38"/>
        <v>0</v>
      </c>
      <c r="N36" s="1038">
        <f t="shared" si="39"/>
        <v>0</v>
      </c>
      <c r="O36" s="1038">
        <v>0</v>
      </c>
      <c r="P36" s="1038">
        <f t="shared" si="40"/>
        <v>0</v>
      </c>
      <c r="Q36" s="1038">
        <v>0</v>
      </c>
      <c r="R36" s="1038">
        <f t="shared" si="41"/>
        <v>0</v>
      </c>
      <c r="S36" s="1038">
        <f t="shared" si="42"/>
        <v>0</v>
      </c>
      <c r="T36" s="1034">
        <f>'[14]FY2012-13 Final'!K37</f>
        <v>3703</v>
      </c>
      <c r="U36" s="1035">
        <f t="shared" si="30"/>
        <v>0</v>
      </c>
      <c r="V36" s="1465">
        <f>'[20]Oct midyear Lake Charles Chtr'!E36</f>
        <v>0</v>
      </c>
      <c r="W36" s="1445">
        <f t="shared" si="43"/>
        <v>0</v>
      </c>
      <c r="X36" s="1475">
        <f>'[20]Feb midyear Lake Charles Ch'!E36</f>
        <v>0</v>
      </c>
      <c r="Y36" s="1471">
        <f t="shared" si="44"/>
        <v>0</v>
      </c>
      <c r="Z36" s="1471">
        <f t="shared" si="45"/>
        <v>0</v>
      </c>
      <c r="AA36" s="1035">
        <f t="shared" si="46"/>
        <v>0</v>
      </c>
      <c r="AB36" s="1091">
        <f t="shared" si="47"/>
        <v>0</v>
      </c>
      <c r="AC36" s="1035">
        <f t="shared" si="48"/>
        <v>0</v>
      </c>
      <c r="AD36" s="1035">
        <v>0</v>
      </c>
      <c r="AE36" s="1035">
        <f t="shared" si="49"/>
        <v>0</v>
      </c>
      <c r="AF36" s="1035">
        <v>0</v>
      </c>
      <c r="AG36" s="1450">
        <f t="shared" si="50"/>
        <v>0</v>
      </c>
      <c r="AH36" s="1450">
        <f t="shared" si="51"/>
        <v>0</v>
      </c>
      <c r="AI36" s="1036">
        <f t="shared" si="31"/>
        <v>0</v>
      </c>
      <c r="AJ36" s="1036">
        <f t="shared" si="32"/>
        <v>0</v>
      </c>
      <c r="AK36" s="49"/>
      <c r="AL36" s="49">
        <f t="shared" si="52"/>
        <v>0</v>
      </c>
      <c r="AM36" s="49">
        <f>-'[22]Table 5C1F-Lake Charles Charter'!AL36</f>
        <v>0</v>
      </c>
      <c r="AN36" s="49">
        <f>-'[21]Table 5C1F-Lake Charles Charter'!P36</f>
        <v>0</v>
      </c>
      <c r="AO36" s="49">
        <f t="shared" si="53"/>
        <v>0</v>
      </c>
      <c r="AP36" s="49"/>
    </row>
    <row r="37" spans="1:42">
      <c r="A37" s="968">
        <v>31</v>
      </c>
      <c r="B37" s="969" t="s">
        <v>132</v>
      </c>
      <c r="C37" s="1173">
        <f>'Table 8 2.1.12 MFP Funded'!X34</f>
        <v>0</v>
      </c>
      <c r="D37" s="988">
        <f>'Table 3 Levels 1&amp;2'!AL38</f>
        <v>4174.0937400224284</v>
      </c>
      <c r="E37" s="1076">
        <f t="shared" si="33"/>
        <v>0</v>
      </c>
      <c r="F37" s="1076">
        <f>'Table 4 Level 3'!P36</f>
        <v>620.83000000000004</v>
      </c>
      <c r="G37" s="1076">
        <f t="shared" si="34"/>
        <v>0</v>
      </c>
      <c r="H37" s="1039">
        <f t="shared" si="35"/>
        <v>0</v>
      </c>
      <c r="I37" s="1419">
        <f>'[1]Oct midyear Lake Charles Chtr'!K37</f>
        <v>0</v>
      </c>
      <c r="J37" s="1419">
        <f>'[1]Feb midyear Lake Charles Ch'!K37</f>
        <v>0</v>
      </c>
      <c r="K37" s="1419">
        <f t="shared" si="36"/>
        <v>0</v>
      </c>
      <c r="L37" s="1211">
        <f t="shared" si="37"/>
        <v>0</v>
      </c>
      <c r="M37" s="1086">
        <f t="shared" si="38"/>
        <v>0</v>
      </c>
      <c r="N37" s="1039">
        <f t="shared" si="39"/>
        <v>0</v>
      </c>
      <c r="O37" s="1039">
        <v>0</v>
      </c>
      <c r="P37" s="1039">
        <f t="shared" si="40"/>
        <v>0</v>
      </c>
      <c r="Q37" s="1039">
        <v>0</v>
      </c>
      <c r="R37" s="1039">
        <f t="shared" si="41"/>
        <v>0</v>
      </c>
      <c r="S37" s="1039">
        <f t="shared" si="42"/>
        <v>0</v>
      </c>
      <c r="T37" s="1029">
        <f>'[14]FY2012-13 Final'!K38</f>
        <v>4709</v>
      </c>
      <c r="U37" s="973">
        <f t="shared" si="30"/>
        <v>0</v>
      </c>
      <c r="V37" s="1466">
        <f>'[20]Oct midyear Lake Charles Chtr'!E37</f>
        <v>0</v>
      </c>
      <c r="W37" s="1444">
        <f t="shared" si="43"/>
        <v>0</v>
      </c>
      <c r="X37" s="1466">
        <f>'[20]Feb midyear Lake Charles Ch'!E37</f>
        <v>0</v>
      </c>
      <c r="Y37" s="1444">
        <f t="shared" si="44"/>
        <v>0</v>
      </c>
      <c r="Z37" s="1444">
        <f t="shared" si="45"/>
        <v>0</v>
      </c>
      <c r="AA37" s="973">
        <f t="shared" si="46"/>
        <v>0</v>
      </c>
      <c r="AB37" s="1089">
        <f t="shared" si="47"/>
        <v>0</v>
      </c>
      <c r="AC37" s="973">
        <f t="shared" si="48"/>
        <v>0</v>
      </c>
      <c r="AD37" s="973">
        <v>0</v>
      </c>
      <c r="AE37" s="973">
        <f t="shared" si="49"/>
        <v>0</v>
      </c>
      <c r="AF37" s="973">
        <v>0</v>
      </c>
      <c r="AG37" s="1214">
        <f t="shared" si="50"/>
        <v>0</v>
      </c>
      <c r="AH37" s="1214">
        <f t="shared" si="51"/>
        <v>0</v>
      </c>
      <c r="AI37" s="974">
        <f t="shared" si="31"/>
        <v>0</v>
      </c>
      <c r="AJ37" s="974">
        <f t="shared" si="32"/>
        <v>0</v>
      </c>
      <c r="AK37" s="49"/>
      <c r="AL37" s="49">
        <f t="shared" si="52"/>
        <v>0</v>
      </c>
      <c r="AM37" s="49">
        <f>-'[22]Table 5C1F-Lake Charles Charter'!AL37</f>
        <v>0</v>
      </c>
      <c r="AN37" s="49">
        <f>-'[21]Table 5C1F-Lake Charles Charter'!P37</f>
        <v>0</v>
      </c>
      <c r="AO37" s="49">
        <f t="shared" si="53"/>
        <v>0</v>
      </c>
      <c r="AP37" s="49"/>
    </row>
    <row r="38" spans="1:42">
      <c r="A38" s="975">
        <v>32</v>
      </c>
      <c r="B38" s="976" t="s">
        <v>133</v>
      </c>
      <c r="C38" s="1171">
        <f>'Table 8 2.1.12 MFP Funded'!X35</f>
        <v>0</v>
      </c>
      <c r="D38" s="984">
        <f>'Table 3 Levels 1&amp;2'!AL39</f>
        <v>5486.1585166144778</v>
      </c>
      <c r="E38" s="1074">
        <f t="shared" si="33"/>
        <v>0</v>
      </c>
      <c r="F38" s="1074">
        <f>'Table 4 Level 3'!P37</f>
        <v>559.77</v>
      </c>
      <c r="G38" s="1074">
        <f t="shared" si="34"/>
        <v>0</v>
      </c>
      <c r="H38" s="1037">
        <f t="shared" si="35"/>
        <v>0</v>
      </c>
      <c r="I38" s="1417">
        <f>'[1]Oct midyear Lake Charles Chtr'!K38</f>
        <v>0</v>
      </c>
      <c r="J38" s="1417">
        <f>'[1]Feb midyear Lake Charles Ch'!K38</f>
        <v>0</v>
      </c>
      <c r="K38" s="1417">
        <f t="shared" si="36"/>
        <v>0</v>
      </c>
      <c r="L38" s="1436">
        <f t="shared" si="37"/>
        <v>0</v>
      </c>
      <c r="M38" s="1084">
        <f t="shared" si="38"/>
        <v>0</v>
      </c>
      <c r="N38" s="1037">
        <f t="shared" si="39"/>
        <v>0</v>
      </c>
      <c r="O38" s="1037">
        <v>0</v>
      </c>
      <c r="P38" s="1037">
        <f t="shared" si="40"/>
        <v>0</v>
      </c>
      <c r="Q38" s="1037">
        <v>0</v>
      </c>
      <c r="R38" s="1037">
        <f t="shared" si="41"/>
        <v>0</v>
      </c>
      <c r="S38" s="1037">
        <f t="shared" si="42"/>
        <v>0</v>
      </c>
      <c r="T38" s="1029">
        <f>'[14]FY2012-13 Final'!K39</f>
        <v>1967</v>
      </c>
      <c r="U38" s="1031">
        <f t="shared" si="30"/>
        <v>0</v>
      </c>
      <c r="V38" s="1464">
        <f>'[20]Oct midyear Lake Charles Chtr'!E38</f>
        <v>0</v>
      </c>
      <c r="W38" s="1443">
        <f t="shared" si="43"/>
        <v>0</v>
      </c>
      <c r="X38" s="1474">
        <f>'[20]Feb midyear Lake Charles Ch'!E38</f>
        <v>0</v>
      </c>
      <c r="Y38" s="1470">
        <f t="shared" si="44"/>
        <v>0</v>
      </c>
      <c r="Z38" s="1470">
        <f t="shared" si="45"/>
        <v>0</v>
      </c>
      <c r="AA38" s="1031">
        <f t="shared" si="46"/>
        <v>0</v>
      </c>
      <c r="AB38" s="1090">
        <f t="shared" si="47"/>
        <v>0</v>
      </c>
      <c r="AC38" s="1031">
        <f t="shared" si="48"/>
        <v>0</v>
      </c>
      <c r="AD38" s="1031">
        <v>0</v>
      </c>
      <c r="AE38" s="1031">
        <f t="shared" si="49"/>
        <v>0</v>
      </c>
      <c r="AF38" s="1031">
        <v>0</v>
      </c>
      <c r="AG38" s="1448">
        <f t="shared" si="50"/>
        <v>0</v>
      </c>
      <c r="AH38" s="1448">
        <f t="shared" si="51"/>
        <v>0</v>
      </c>
      <c r="AI38" s="1032">
        <f t="shared" si="31"/>
        <v>0</v>
      </c>
      <c r="AJ38" s="1032">
        <f t="shared" si="32"/>
        <v>0</v>
      </c>
      <c r="AK38" s="49"/>
      <c r="AL38" s="49">
        <f t="shared" si="52"/>
        <v>0</v>
      </c>
      <c r="AM38" s="49">
        <f>-'[22]Table 5C1F-Lake Charles Charter'!AL38</f>
        <v>0</v>
      </c>
      <c r="AN38" s="49">
        <f>-'[21]Table 5C1F-Lake Charles Charter'!P38</f>
        <v>0</v>
      </c>
      <c r="AO38" s="49">
        <f t="shared" si="53"/>
        <v>0</v>
      </c>
      <c r="AP38" s="49"/>
    </row>
    <row r="39" spans="1:42">
      <c r="A39" s="975">
        <v>33</v>
      </c>
      <c r="B39" s="976" t="s">
        <v>134</v>
      </c>
      <c r="C39" s="1171">
        <f>'Table 8 2.1.12 MFP Funded'!X36</f>
        <v>0</v>
      </c>
      <c r="D39" s="984">
        <f>'Table 3 Levels 1&amp;2'!AL40</f>
        <v>5393.8471941993575</v>
      </c>
      <c r="E39" s="1074">
        <f t="shared" si="33"/>
        <v>0</v>
      </c>
      <c r="F39" s="1074">
        <f>'Table 4 Level 3'!P38</f>
        <v>655.31000000000006</v>
      </c>
      <c r="G39" s="1074">
        <f t="shared" si="34"/>
        <v>0</v>
      </c>
      <c r="H39" s="1037">
        <f t="shared" si="35"/>
        <v>0</v>
      </c>
      <c r="I39" s="1417">
        <f>'[1]Oct midyear Lake Charles Chtr'!K39</f>
        <v>0</v>
      </c>
      <c r="J39" s="1417">
        <f>'[1]Feb midyear Lake Charles Ch'!K39</f>
        <v>0</v>
      </c>
      <c r="K39" s="1417">
        <f t="shared" si="36"/>
        <v>0</v>
      </c>
      <c r="L39" s="1436">
        <f t="shared" si="37"/>
        <v>0</v>
      </c>
      <c r="M39" s="1084">
        <f t="shared" si="38"/>
        <v>0</v>
      </c>
      <c r="N39" s="1037">
        <f t="shared" si="39"/>
        <v>0</v>
      </c>
      <c r="O39" s="1037">
        <v>0</v>
      </c>
      <c r="P39" s="1037">
        <f t="shared" si="40"/>
        <v>0</v>
      </c>
      <c r="Q39" s="1037">
        <v>0</v>
      </c>
      <c r="R39" s="1037">
        <f t="shared" si="41"/>
        <v>0</v>
      </c>
      <c r="S39" s="1037">
        <f t="shared" si="42"/>
        <v>0</v>
      </c>
      <c r="T39" s="1029">
        <f>'[14]FY2012-13 Final'!K40</f>
        <v>2990</v>
      </c>
      <c r="U39" s="1031">
        <f t="shared" ref="U39:U70" si="54">C39*T39</f>
        <v>0</v>
      </c>
      <c r="V39" s="1464">
        <f>'[20]Oct midyear Lake Charles Chtr'!E39</f>
        <v>0</v>
      </c>
      <c r="W39" s="1443">
        <f t="shared" si="43"/>
        <v>0</v>
      </c>
      <c r="X39" s="1474">
        <f>'[20]Feb midyear Lake Charles Ch'!E39</f>
        <v>0</v>
      </c>
      <c r="Y39" s="1470">
        <f t="shared" si="44"/>
        <v>0</v>
      </c>
      <c r="Z39" s="1470">
        <f t="shared" si="45"/>
        <v>0</v>
      </c>
      <c r="AA39" s="1031">
        <f t="shared" si="46"/>
        <v>0</v>
      </c>
      <c r="AB39" s="1090">
        <f t="shared" si="47"/>
        <v>0</v>
      </c>
      <c r="AC39" s="1031">
        <f t="shared" si="48"/>
        <v>0</v>
      </c>
      <c r="AD39" s="1031">
        <v>0</v>
      </c>
      <c r="AE39" s="1031">
        <f t="shared" si="49"/>
        <v>0</v>
      </c>
      <c r="AF39" s="1031">
        <v>0</v>
      </c>
      <c r="AG39" s="1448">
        <f t="shared" si="50"/>
        <v>0</v>
      </c>
      <c r="AH39" s="1448">
        <f t="shared" si="51"/>
        <v>0</v>
      </c>
      <c r="AI39" s="1032">
        <f t="shared" ref="AI39:AI75" si="55">P39+AE39</f>
        <v>0</v>
      </c>
      <c r="AJ39" s="1032">
        <f t="shared" ref="AJ39:AJ75" si="56">S39+AH39</f>
        <v>0</v>
      </c>
      <c r="AK39" s="49"/>
      <c r="AL39" s="49">
        <f t="shared" si="52"/>
        <v>0</v>
      </c>
      <c r="AM39" s="49">
        <f>-'[22]Table 5C1F-Lake Charles Charter'!AL39</f>
        <v>0</v>
      </c>
      <c r="AN39" s="49">
        <f>-'[21]Table 5C1F-Lake Charles Charter'!P39</f>
        <v>0</v>
      </c>
      <c r="AO39" s="49">
        <f t="shared" si="53"/>
        <v>0</v>
      </c>
      <c r="AP39" s="49"/>
    </row>
    <row r="40" spans="1:42">
      <c r="A40" s="975">
        <v>34</v>
      </c>
      <c r="B40" s="976" t="s">
        <v>135</v>
      </c>
      <c r="C40" s="1171">
        <f>'Table 8 2.1.12 MFP Funded'!X37</f>
        <v>0</v>
      </c>
      <c r="D40" s="984">
        <f>'Table 3 Levels 1&amp;2'!AL41</f>
        <v>5864.3549473361072</v>
      </c>
      <c r="E40" s="1074">
        <f t="shared" si="33"/>
        <v>0</v>
      </c>
      <c r="F40" s="1074">
        <f>'Table 4 Level 3'!P39</f>
        <v>644.11000000000013</v>
      </c>
      <c r="G40" s="1074">
        <f t="shared" si="34"/>
        <v>0</v>
      </c>
      <c r="H40" s="1037">
        <f t="shared" si="35"/>
        <v>0</v>
      </c>
      <c r="I40" s="1417">
        <f>'[1]Oct midyear Lake Charles Chtr'!K40</f>
        <v>0</v>
      </c>
      <c r="J40" s="1417">
        <f>'[1]Feb midyear Lake Charles Ch'!K40</f>
        <v>0</v>
      </c>
      <c r="K40" s="1417">
        <f t="shared" si="36"/>
        <v>0</v>
      </c>
      <c r="L40" s="1436">
        <f t="shared" si="37"/>
        <v>0</v>
      </c>
      <c r="M40" s="1084">
        <f t="shared" si="38"/>
        <v>0</v>
      </c>
      <c r="N40" s="1037">
        <f t="shared" si="39"/>
        <v>0</v>
      </c>
      <c r="O40" s="1037">
        <v>0</v>
      </c>
      <c r="P40" s="1037">
        <f t="shared" si="40"/>
        <v>0</v>
      </c>
      <c r="Q40" s="1037">
        <v>0</v>
      </c>
      <c r="R40" s="1037">
        <f t="shared" si="41"/>
        <v>0</v>
      </c>
      <c r="S40" s="1037">
        <f t="shared" si="42"/>
        <v>0</v>
      </c>
      <c r="T40" s="1029">
        <f>'[14]FY2012-13 Final'!K41</f>
        <v>2768</v>
      </c>
      <c r="U40" s="1031">
        <f t="shared" si="54"/>
        <v>0</v>
      </c>
      <c r="V40" s="1464">
        <f>'[20]Oct midyear Lake Charles Chtr'!E40</f>
        <v>0</v>
      </c>
      <c r="W40" s="1443">
        <f t="shared" si="43"/>
        <v>0</v>
      </c>
      <c r="X40" s="1474">
        <f>'[20]Feb midyear Lake Charles Ch'!E40</f>
        <v>0</v>
      </c>
      <c r="Y40" s="1470">
        <f t="shared" si="44"/>
        <v>0</v>
      </c>
      <c r="Z40" s="1470">
        <f t="shared" si="45"/>
        <v>0</v>
      </c>
      <c r="AA40" s="1031">
        <f t="shared" si="46"/>
        <v>0</v>
      </c>
      <c r="AB40" s="1090">
        <f t="shared" si="47"/>
        <v>0</v>
      </c>
      <c r="AC40" s="1031">
        <f t="shared" si="48"/>
        <v>0</v>
      </c>
      <c r="AD40" s="1031">
        <v>0</v>
      </c>
      <c r="AE40" s="1031">
        <f t="shared" si="49"/>
        <v>0</v>
      </c>
      <c r="AF40" s="1031">
        <v>0</v>
      </c>
      <c r="AG40" s="1448">
        <f t="shared" si="50"/>
        <v>0</v>
      </c>
      <c r="AH40" s="1448">
        <f t="shared" si="51"/>
        <v>0</v>
      </c>
      <c r="AI40" s="1032">
        <f t="shared" si="55"/>
        <v>0</v>
      </c>
      <c r="AJ40" s="1032">
        <f t="shared" si="56"/>
        <v>0</v>
      </c>
      <c r="AK40" s="49"/>
      <c r="AL40" s="49">
        <f t="shared" si="52"/>
        <v>0</v>
      </c>
      <c r="AM40" s="49">
        <f>-'[22]Table 5C1F-Lake Charles Charter'!AL40</f>
        <v>0</v>
      </c>
      <c r="AN40" s="49">
        <f>-'[21]Table 5C1F-Lake Charles Charter'!P40</f>
        <v>0</v>
      </c>
      <c r="AO40" s="49">
        <f t="shared" si="53"/>
        <v>0</v>
      </c>
      <c r="AP40" s="49"/>
    </row>
    <row r="41" spans="1:42">
      <c r="A41" s="979">
        <v>35</v>
      </c>
      <c r="B41" s="980" t="s">
        <v>136</v>
      </c>
      <c r="C41" s="1172">
        <f>'Table 8 2.1.12 MFP Funded'!X38</f>
        <v>0</v>
      </c>
      <c r="D41" s="986">
        <f>'Table 3 Levels 1&amp;2'!AL42</f>
        <v>4848.8680115701454</v>
      </c>
      <c r="E41" s="1075">
        <f t="shared" si="33"/>
        <v>0</v>
      </c>
      <c r="F41" s="1075">
        <f>'Table 4 Level 3'!P40</f>
        <v>537.96</v>
      </c>
      <c r="G41" s="1075">
        <f t="shared" si="34"/>
        <v>0</v>
      </c>
      <c r="H41" s="1038">
        <f t="shared" si="35"/>
        <v>0</v>
      </c>
      <c r="I41" s="1418">
        <f>'[1]Oct midyear Lake Charles Chtr'!K41</f>
        <v>0</v>
      </c>
      <c r="J41" s="1418">
        <f>'[1]Feb midyear Lake Charles Ch'!K41</f>
        <v>0</v>
      </c>
      <c r="K41" s="1418">
        <f t="shared" si="36"/>
        <v>0</v>
      </c>
      <c r="L41" s="1437">
        <f t="shared" si="37"/>
        <v>0</v>
      </c>
      <c r="M41" s="1085">
        <f t="shared" si="38"/>
        <v>0</v>
      </c>
      <c r="N41" s="1038">
        <f t="shared" si="39"/>
        <v>0</v>
      </c>
      <c r="O41" s="1038">
        <v>0</v>
      </c>
      <c r="P41" s="1038">
        <f t="shared" si="40"/>
        <v>0</v>
      </c>
      <c r="Q41" s="1038">
        <v>0</v>
      </c>
      <c r="R41" s="1038">
        <f t="shared" si="41"/>
        <v>0</v>
      </c>
      <c r="S41" s="1038">
        <f t="shared" si="42"/>
        <v>0</v>
      </c>
      <c r="T41" s="1034">
        <f>'[14]FY2012-13 Final'!K42</f>
        <v>3611</v>
      </c>
      <c r="U41" s="1035">
        <f t="shared" si="54"/>
        <v>0</v>
      </c>
      <c r="V41" s="1465">
        <f>'[20]Oct midyear Lake Charles Chtr'!E41</f>
        <v>0</v>
      </c>
      <c r="W41" s="1445">
        <f t="shared" si="43"/>
        <v>0</v>
      </c>
      <c r="X41" s="1475">
        <f>'[20]Feb midyear Lake Charles Ch'!E41</f>
        <v>0</v>
      </c>
      <c r="Y41" s="1471">
        <f t="shared" si="44"/>
        <v>0</v>
      </c>
      <c r="Z41" s="1471">
        <f t="shared" si="45"/>
        <v>0</v>
      </c>
      <c r="AA41" s="1035">
        <f t="shared" si="46"/>
        <v>0</v>
      </c>
      <c r="AB41" s="1091">
        <f t="shared" si="47"/>
        <v>0</v>
      </c>
      <c r="AC41" s="1035">
        <f t="shared" si="48"/>
        <v>0</v>
      </c>
      <c r="AD41" s="1035">
        <v>0</v>
      </c>
      <c r="AE41" s="1035">
        <f t="shared" si="49"/>
        <v>0</v>
      </c>
      <c r="AF41" s="1035">
        <v>0</v>
      </c>
      <c r="AG41" s="1450">
        <f t="shared" si="50"/>
        <v>0</v>
      </c>
      <c r="AH41" s="1450">
        <f t="shared" si="51"/>
        <v>0</v>
      </c>
      <c r="AI41" s="1036">
        <f t="shared" si="55"/>
        <v>0</v>
      </c>
      <c r="AJ41" s="1036">
        <f t="shared" si="56"/>
        <v>0</v>
      </c>
      <c r="AK41" s="49"/>
      <c r="AL41" s="49">
        <f t="shared" si="52"/>
        <v>0</v>
      </c>
      <c r="AM41" s="49">
        <f>-'[22]Table 5C1F-Lake Charles Charter'!AL41</f>
        <v>0</v>
      </c>
      <c r="AN41" s="49">
        <f>-'[21]Table 5C1F-Lake Charles Charter'!P41</f>
        <v>0</v>
      </c>
      <c r="AO41" s="49">
        <f t="shared" si="53"/>
        <v>0</v>
      </c>
      <c r="AP41" s="49"/>
    </row>
    <row r="42" spans="1:42">
      <c r="A42" s="968">
        <v>36</v>
      </c>
      <c r="B42" s="969" t="s">
        <v>137</v>
      </c>
      <c r="C42" s="1173">
        <f>'Table 8 2.1.12 MFP Funded'!X39</f>
        <v>0</v>
      </c>
      <c r="D42" s="988">
        <f>'Table 3 Levels 1&amp;2'!AL43</f>
        <v>3442.7546828904692</v>
      </c>
      <c r="E42" s="1076">
        <f t="shared" si="33"/>
        <v>0</v>
      </c>
      <c r="F42" s="1076">
        <f>'Table 5B1_RSD_Orleans'!F78</f>
        <v>746.0335616438357</v>
      </c>
      <c r="G42" s="1076">
        <f t="shared" si="34"/>
        <v>0</v>
      </c>
      <c r="H42" s="1039">
        <f t="shared" si="35"/>
        <v>0</v>
      </c>
      <c r="I42" s="1419">
        <f>'[1]Oct midyear Lake Charles Chtr'!K42</f>
        <v>0</v>
      </c>
      <c r="J42" s="1419">
        <f>'[1]Feb midyear Lake Charles Ch'!K42</f>
        <v>0</v>
      </c>
      <c r="K42" s="1419">
        <f t="shared" si="36"/>
        <v>0</v>
      </c>
      <c r="L42" s="1211">
        <f t="shared" si="37"/>
        <v>0</v>
      </c>
      <c r="M42" s="1086">
        <f t="shared" si="38"/>
        <v>0</v>
      </c>
      <c r="N42" s="1039">
        <f t="shared" si="39"/>
        <v>0</v>
      </c>
      <c r="O42" s="1039">
        <v>0</v>
      </c>
      <c r="P42" s="1039">
        <f t="shared" si="40"/>
        <v>0</v>
      </c>
      <c r="Q42" s="1039">
        <v>0</v>
      </c>
      <c r="R42" s="1039">
        <f t="shared" si="41"/>
        <v>0</v>
      </c>
      <c r="S42" s="1039">
        <f t="shared" si="42"/>
        <v>0</v>
      </c>
      <c r="T42" s="1029">
        <f>'[14]FY2012-13 Final'!K43</f>
        <v>4884</v>
      </c>
      <c r="U42" s="973">
        <f t="shared" si="54"/>
        <v>0</v>
      </c>
      <c r="V42" s="1466">
        <f>'[20]Oct midyear Lake Charles Chtr'!E42</f>
        <v>0</v>
      </c>
      <c r="W42" s="1444">
        <f t="shared" si="43"/>
        <v>0</v>
      </c>
      <c r="X42" s="1466">
        <f>'[20]Feb midyear Lake Charles Ch'!E42</f>
        <v>0</v>
      </c>
      <c r="Y42" s="1444">
        <f t="shared" si="44"/>
        <v>0</v>
      </c>
      <c r="Z42" s="1444">
        <f t="shared" si="45"/>
        <v>0</v>
      </c>
      <c r="AA42" s="973">
        <f t="shared" si="46"/>
        <v>0</v>
      </c>
      <c r="AB42" s="1089">
        <f t="shared" si="47"/>
        <v>0</v>
      </c>
      <c r="AC42" s="973">
        <f t="shared" si="48"/>
        <v>0</v>
      </c>
      <c r="AD42" s="973">
        <v>0</v>
      </c>
      <c r="AE42" s="973">
        <f t="shared" si="49"/>
        <v>0</v>
      </c>
      <c r="AF42" s="973">
        <v>0</v>
      </c>
      <c r="AG42" s="1214">
        <f t="shared" si="50"/>
        <v>0</v>
      </c>
      <c r="AH42" s="1214">
        <f t="shared" si="51"/>
        <v>0</v>
      </c>
      <c r="AI42" s="974">
        <f t="shared" si="55"/>
        <v>0</v>
      </c>
      <c r="AJ42" s="974">
        <f t="shared" si="56"/>
        <v>0</v>
      </c>
      <c r="AK42" s="49"/>
      <c r="AL42" s="49">
        <f t="shared" si="52"/>
        <v>0</v>
      </c>
      <c r="AM42" s="49">
        <f>-'[22]Table 5C1F-Lake Charles Charter'!AL42</f>
        <v>0</v>
      </c>
      <c r="AN42" s="49">
        <f>-'[21]Table 5C1F-Lake Charles Charter'!P42</f>
        <v>0</v>
      </c>
      <c r="AO42" s="49">
        <f t="shared" si="53"/>
        <v>0</v>
      </c>
      <c r="AP42" s="49"/>
    </row>
    <row r="43" spans="1:42">
      <c r="A43" s="975">
        <v>37</v>
      </c>
      <c r="B43" s="976" t="s">
        <v>138</v>
      </c>
      <c r="C43" s="1171">
        <f>'Table 8 2.1.12 MFP Funded'!X40</f>
        <v>0</v>
      </c>
      <c r="D43" s="984">
        <f>'Table 3 Levels 1&amp;2'!AL44</f>
        <v>5492.0643232073926</v>
      </c>
      <c r="E43" s="1074">
        <f t="shared" si="33"/>
        <v>0</v>
      </c>
      <c r="F43" s="1074">
        <f>'Table 4 Level 3'!P42</f>
        <v>653.61</v>
      </c>
      <c r="G43" s="1074">
        <f t="shared" si="34"/>
        <v>0</v>
      </c>
      <c r="H43" s="1037">
        <f t="shared" si="35"/>
        <v>0</v>
      </c>
      <c r="I43" s="1417">
        <f>'[1]Oct midyear Lake Charles Chtr'!K43</f>
        <v>0</v>
      </c>
      <c r="J43" s="1417">
        <f>'[1]Feb midyear Lake Charles Ch'!K43</f>
        <v>0</v>
      </c>
      <c r="K43" s="1417">
        <f t="shared" si="36"/>
        <v>0</v>
      </c>
      <c r="L43" s="1436">
        <f t="shared" si="37"/>
        <v>0</v>
      </c>
      <c r="M43" s="1084">
        <f t="shared" si="38"/>
        <v>0</v>
      </c>
      <c r="N43" s="1037">
        <f t="shared" si="39"/>
        <v>0</v>
      </c>
      <c r="O43" s="1037">
        <v>0</v>
      </c>
      <c r="P43" s="1037">
        <f t="shared" si="40"/>
        <v>0</v>
      </c>
      <c r="Q43" s="1037">
        <v>0</v>
      </c>
      <c r="R43" s="1037">
        <f t="shared" si="41"/>
        <v>0</v>
      </c>
      <c r="S43" s="1037">
        <f t="shared" si="42"/>
        <v>0</v>
      </c>
      <c r="T43" s="1029">
        <f>'[14]FY2012-13 Final'!K44</f>
        <v>3128</v>
      </c>
      <c r="U43" s="1031">
        <f t="shared" si="54"/>
        <v>0</v>
      </c>
      <c r="V43" s="1464">
        <f>'[20]Oct midyear Lake Charles Chtr'!E43</f>
        <v>0</v>
      </c>
      <c r="W43" s="1443">
        <f t="shared" si="43"/>
        <v>0</v>
      </c>
      <c r="X43" s="1474">
        <f>'[20]Feb midyear Lake Charles Ch'!E43</f>
        <v>0</v>
      </c>
      <c r="Y43" s="1470">
        <f t="shared" si="44"/>
        <v>0</v>
      </c>
      <c r="Z43" s="1470">
        <f t="shared" si="45"/>
        <v>0</v>
      </c>
      <c r="AA43" s="1031">
        <f t="shared" si="46"/>
        <v>0</v>
      </c>
      <c r="AB43" s="1090">
        <f t="shared" si="47"/>
        <v>0</v>
      </c>
      <c r="AC43" s="1031">
        <f t="shared" si="48"/>
        <v>0</v>
      </c>
      <c r="AD43" s="1031">
        <v>0</v>
      </c>
      <c r="AE43" s="1031">
        <f t="shared" si="49"/>
        <v>0</v>
      </c>
      <c r="AF43" s="1031">
        <v>0</v>
      </c>
      <c r="AG43" s="1448">
        <f t="shared" si="50"/>
        <v>0</v>
      </c>
      <c r="AH43" s="1448">
        <f t="shared" si="51"/>
        <v>0</v>
      </c>
      <c r="AI43" s="1032">
        <f t="shared" si="55"/>
        <v>0</v>
      </c>
      <c r="AJ43" s="1032">
        <f t="shared" si="56"/>
        <v>0</v>
      </c>
      <c r="AK43" s="49"/>
      <c r="AL43" s="49">
        <f t="shared" si="52"/>
        <v>0</v>
      </c>
      <c r="AM43" s="49">
        <f>-'[22]Table 5C1F-Lake Charles Charter'!AL43</f>
        <v>0</v>
      </c>
      <c r="AN43" s="49">
        <f>-'[21]Table 5C1F-Lake Charles Charter'!P43</f>
        <v>0</v>
      </c>
      <c r="AO43" s="49">
        <f t="shared" si="53"/>
        <v>0</v>
      </c>
      <c r="AP43" s="49"/>
    </row>
    <row r="44" spans="1:42">
      <c r="A44" s="975">
        <v>38</v>
      </c>
      <c r="B44" s="976" t="s">
        <v>139</v>
      </c>
      <c r="C44" s="1171">
        <f>'Table 8 2.1.12 MFP Funded'!X41</f>
        <v>0</v>
      </c>
      <c r="D44" s="984">
        <f>'Table 3 Levels 1&amp;2'!AL45</f>
        <v>2296.9220537376964</v>
      </c>
      <c r="E44" s="1074">
        <f t="shared" si="33"/>
        <v>0</v>
      </c>
      <c r="F44" s="1074">
        <f>'Table 4 Level 3'!P43</f>
        <v>829.92000000000007</v>
      </c>
      <c r="G44" s="1074">
        <f t="shared" si="34"/>
        <v>0</v>
      </c>
      <c r="H44" s="1037">
        <f t="shared" si="35"/>
        <v>0</v>
      </c>
      <c r="I44" s="1417">
        <f>'[1]Oct midyear Lake Charles Chtr'!K44</f>
        <v>0</v>
      </c>
      <c r="J44" s="1417">
        <f>'[1]Feb midyear Lake Charles Ch'!K44</f>
        <v>0</v>
      </c>
      <c r="K44" s="1417">
        <f t="shared" si="36"/>
        <v>0</v>
      </c>
      <c r="L44" s="1436">
        <f t="shared" si="37"/>
        <v>0</v>
      </c>
      <c r="M44" s="1084">
        <f t="shared" si="38"/>
        <v>0</v>
      </c>
      <c r="N44" s="1037">
        <f t="shared" si="39"/>
        <v>0</v>
      </c>
      <c r="O44" s="1037">
        <v>0</v>
      </c>
      <c r="P44" s="1037">
        <f t="shared" si="40"/>
        <v>0</v>
      </c>
      <c r="Q44" s="1037">
        <v>0</v>
      </c>
      <c r="R44" s="1037">
        <f t="shared" si="41"/>
        <v>0</v>
      </c>
      <c r="S44" s="1037">
        <f t="shared" si="42"/>
        <v>0</v>
      </c>
      <c r="T44" s="1029">
        <f>'[14]FY2012-13 Final'!K45</f>
        <v>10932</v>
      </c>
      <c r="U44" s="1031">
        <f t="shared" si="54"/>
        <v>0</v>
      </c>
      <c r="V44" s="1464">
        <f>'[20]Oct midyear Lake Charles Chtr'!E44</f>
        <v>0</v>
      </c>
      <c r="W44" s="1443">
        <f t="shared" si="43"/>
        <v>0</v>
      </c>
      <c r="X44" s="1474">
        <f>'[20]Feb midyear Lake Charles Ch'!E44</f>
        <v>0</v>
      </c>
      <c r="Y44" s="1470">
        <f t="shared" si="44"/>
        <v>0</v>
      </c>
      <c r="Z44" s="1470">
        <f t="shared" si="45"/>
        <v>0</v>
      </c>
      <c r="AA44" s="1031">
        <f t="shared" si="46"/>
        <v>0</v>
      </c>
      <c r="AB44" s="1090">
        <f t="shared" si="47"/>
        <v>0</v>
      </c>
      <c r="AC44" s="1031">
        <f t="shared" si="48"/>
        <v>0</v>
      </c>
      <c r="AD44" s="1031">
        <v>0</v>
      </c>
      <c r="AE44" s="1031">
        <f t="shared" si="49"/>
        <v>0</v>
      </c>
      <c r="AF44" s="1031">
        <v>0</v>
      </c>
      <c r="AG44" s="1448">
        <f t="shared" si="50"/>
        <v>0</v>
      </c>
      <c r="AH44" s="1448">
        <f t="shared" si="51"/>
        <v>0</v>
      </c>
      <c r="AI44" s="1032">
        <f t="shared" si="55"/>
        <v>0</v>
      </c>
      <c r="AJ44" s="1032">
        <f t="shared" si="56"/>
        <v>0</v>
      </c>
      <c r="AK44" s="49"/>
      <c r="AL44" s="49">
        <f t="shared" si="52"/>
        <v>0</v>
      </c>
      <c r="AM44" s="49">
        <f>-'[22]Table 5C1F-Lake Charles Charter'!AL44</f>
        <v>0</v>
      </c>
      <c r="AN44" s="49">
        <f>-'[21]Table 5C1F-Lake Charles Charter'!P44</f>
        <v>0</v>
      </c>
      <c r="AO44" s="49">
        <f t="shared" si="53"/>
        <v>0</v>
      </c>
      <c r="AP44" s="49"/>
    </row>
    <row r="45" spans="1:42">
      <c r="A45" s="975">
        <v>39</v>
      </c>
      <c r="B45" s="976" t="s">
        <v>140</v>
      </c>
      <c r="C45" s="1171">
        <f>'Table 8 2.1.12 MFP Funded'!X42</f>
        <v>0</v>
      </c>
      <c r="D45" s="984">
        <f>'Table 3 Levels 1&amp;2'!AL46</f>
        <v>3692.59215316156</v>
      </c>
      <c r="E45" s="1074">
        <f t="shared" si="33"/>
        <v>0</v>
      </c>
      <c r="F45" s="1074">
        <f>'Table 5B2_RSD_LA'!F21</f>
        <v>779.65573042776441</v>
      </c>
      <c r="G45" s="1074">
        <f t="shared" si="34"/>
        <v>0</v>
      </c>
      <c r="H45" s="1037">
        <f t="shared" si="35"/>
        <v>0</v>
      </c>
      <c r="I45" s="1417">
        <f>'[1]Oct midyear Lake Charles Chtr'!K45</f>
        <v>0</v>
      </c>
      <c r="J45" s="1417">
        <f>'[1]Feb midyear Lake Charles Ch'!K45</f>
        <v>0</v>
      </c>
      <c r="K45" s="1417">
        <f t="shared" si="36"/>
        <v>0</v>
      </c>
      <c r="L45" s="1436">
        <f t="shared" si="37"/>
        <v>0</v>
      </c>
      <c r="M45" s="1084">
        <f t="shared" si="38"/>
        <v>0</v>
      </c>
      <c r="N45" s="1037">
        <f t="shared" si="39"/>
        <v>0</v>
      </c>
      <c r="O45" s="1037">
        <v>0</v>
      </c>
      <c r="P45" s="1037">
        <f t="shared" si="40"/>
        <v>0</v>
      </c>
      <c r="Q45" s="1037">
        <v>0</v>
      </c>
      <c r="R45" s="1037">
        <f t="shared" si="41"/>
        <v>0</v>
      </c>
      <c r="S45" s="1037">
        <f t="shared" si="42"/>
        <v>0</v>
      </c>
      <c r="T45" s="1029">
        <f>'[14]FY2012-13 Final'!K46</f>
        <v>4317</v>
      </c>
      <c r="U45" s="1031">
        <f t="shared" si="54"/>
        <v>0</v>
      </c>
      <c r="V45" s="1464">
        <f>'[20]Oct midyear Lake Charles Chtr'!E45</f>
        <v>0</v>
      </c>
      <c r="W45" s="1443">
        <f t="shared" si="43"/>
        <v>0</v>
      </c>
      <c r="X45" s="1474">
        <f>'[20]Feb midyear Lake Charles Ch'!E45</f>
        <v>0</v>
      </c>
      <c r="Y45" s="1470">
        <f t="shared" si="44"/>
        <v>0</v>
      </c>
      <c r="Z45" s="1470">
        <f t="shared" si="45"/>
        <v>0</v>
      </c>
      <c r="AA45" s="1031">
        <f t="shared" si="46"/>
        <v>0</v>
      </c>
      <c r="AB45" s="1090">
        <f t="shared" si="47"/>
        <v>0</v>
      </c>
      <c r="AC45" s="1031">
        <f t="shared" si="48"/>
        <v>0</v>
      </c>
      <c r="AD45" s="1031">
        <v>0</v>
      </c>
      <c r="AE45" s="1031">
        <f t="shared" si="49"/>
        <v>0</v>
      </c>
      <c r="AF45" s="1031">
        <v>0</v>
      </c>
      <c r="AG45" s="1448">
        <f t="shared" si="50"/>
        <v>0</v>
      </c>
      <c r="AH45" s="1448">
        <f t="shared" si="51"/>
        <v>0</v>
      </c>
      <c r="AI45" s="1032">
        <f t="shared" si="55"/>
        <v>0</v>
      </c>
      <c r="AJ45" s="1032">
        <f t="shared" si="56"/>
        <v>0</v>
      </c>
      <c r="AK45" s="49"/>
      <c r="AL45" s="49">
        <f t="shared" si="52"/>
        <v>0</v>
      </c>
      <c r="AM45" s="49">
        <f>-'[22]Table 5C1F-Lake Charles Charter'!AL45</f>
        <v>0</v>
      </c>
      <c r="AN45" s="49">
        <f>-'[21]Table 5C1F-Lake Charles Charter'!P45</f>
        <v>0</v>
      </c>
      <c r="AO45" s="49">
        <f t="shared" si="53"/>
        <v>0</v>
      </c>
      <c r="AP45" s="49"/>
    </row>
    <row r="46" spans="1:42">
      <c r="A46" s="979">
        <v>40</v>
      </c>
      <c r="B46" s="980" t="s">
        <v>141</v>
      </c>
      <c r="C46" s="1172">
        <f>'Table 8 2.1.12 MFP Funded'!X43</f>
        <v>0</v>
      </c>
      <c r="D46" s="986">
        <f>'Table 3 Levels 1&amp;2'!AL47</f>
        <v>4897.3087815908475</v>
      </c>
      <c r="E46" s="1075">
        <f t="shared" si="33"/>
        <v>0</v>
      </c>
      <c r="F46" s="1075">
        <f>'Table 4 Level 3'!P45</f>
        <v>700.2700000000001</v>
      </c>
      <c r="G46" s="1075">
        <f t="shared" si="34"/>
        <v>0</v>
      </c>
      <c r="H46" s="1038">
        <f t="shared" si="35"/>
        <v>0</v>
      </c>
      <c r="I46" s="1418">
        <f>'[1]Oct midyear Lake Charles Chtr'!K46</f>
        <v>0</v>
      </c>
      <c r="J46" s="1418">
        <f>'[1]Feb midyear Lake Charles Ch'!K46</f>
        <v>0</v>
      </c>
      <c r="K46" s="1418">
        <f t="shared" si="36"/>
        <v>0</v>
      </c>
      <c r="L46" s="1437">
        <f t="shared" si="37"/>
        <v>0</v>
      </c>
      <c r="M46" s="1085">
        <f t="shared" si="38"/>
        <v>0</v>
      </c>
      <c r="N46" s="1038">
        <f t="shared" si="39"/>
        <v>0</v>
      </c>
      <c r="O46" s="1038">
        <v>0</v>
      </c>
      <c r="P46" s="1038">
        <f t="shared" si="40"/>
        <v>0</v>
      </c>
      <c r="Q46" s="1038">
        <v>0</v>
      </c>
      <c r="R46" s="1038">
        <f t="shared" si="41"/>
        <v>0</v>
      </c>
      <c r="S46" s="1038">
        <f t="shared" si="42"/>
        <v>0</v>
      </c>
      <c r="T46" s="1034">
        <f>'[14]FY2012-13 Final'!K47</f>
        <v>2932</v>
      </c>
      <c r="U46" s="1035">
        <f t="shared" si="54"/>
        <v>0</v>
      </c>
      <c r="V46" s="1465">
        <f>'[20]Oct midyear Lake Charles Chtr'!E46</f>
        <v>0</v>
      </c>
      <c r="W46" s="1445">
        <f t="shared" si="43"/>
        <v>0</v>
      </c>
      <c r="X46" s="1475">
        <f>'[20]Feb midyear Lake Charles Ch'!E46</f>
        <v>0</v>
      </c>
      <c r="Y46" s="1471">
        <f t="shared" si="44"/>
        <v>0</v>
      </c>
      <c r="Z46" s="1471">
        <f t="shared" si="45"/>
        <v>0</v>
      </c>
      <c r="AA46" s="1035">
        <f t="shared" si="46"/>
        <v>0</v>
      </c>
      <c r="AB46" s="1091">
        <f t="shared" si="47"/>
        <v>0</v>
      </c>
      <c r="AC46" s="1035">
        <f t="shared" si="48"/>
        <v>0</v>
      </c>
      <c r="AD46" s="1035">
        <v>0</v>
      </c>
      <c r="AE46" s="1035">
        <f t="shared" si="49"/>
        <v>0</v>
      </c>
      <c r="AF46" s="1035">
        <v>0</v>
      </c>
      <c r="AG46" s="1450">
        <f t="shared" si="50"/>
        <v>0</v>
      </c>
      <c r="AH46" s="1450">
        <f t="shared" si="51"/>
        <v>0</v>
      </c>
      <c r="AI46" s="1036">
        <f t="shared" si="55"/>
        <v>0</v>
      </c>
      <c r="AJ46" s="1036">
        <f t="shared" si="56"/>
        <v>0</v>
      </c>
      <c r="AK46" s="49"/>
      <c r="AL46" s="49">
        <f t="shared" si="52"/>
        <v>0</v>
      </c>
      <c r="AM46" s="49">
        <f>-'[22]Table 5C1F-Lake Charles Charter'!AL46</f>
        <v>0</v>
      </c>
      <c r="AN46" s="49">
        <f>-'[21]Table 5C1F-Lake Charles Charter'!P46</f>
        <v>0</v>
      </c>
      <c r="AO46" s="49">
        <f t="shared" si="53"/>
        <v>0</v>
      </c>
      <c r="AP46" s="49"/>
    </row>
    <row r="47" spans="1:42">
      <c r="A47" s="968">
        <v>41</v>
      </c>
      <c r="B47" s="969" t="s">
        <v>142</v>
      </c>
      <c r="C47" s="1173">
        <f>'Table 8 2.1.12 MFP Funded'!X44</f>
        <v>0</v>
      </c>
      <c r="D47" s="988">
        <f>'Table 3 Levels 1&amp;2'!AL48</f>
        <v>1613.0487891737891</v>
      </c>
      <c r="E47" s="1076">
        <f t="shared" si="33"/>
        <v>0</v>
      </c>
      <c r="F47" s="1076">
        <f>'Table 4 Level 3'!P46</f>
        <v>886.22</v>
      </c>
      <c r="G47" s="1076">
        <f t="shared" si="34"/>
        <v>0</v>
      </c>
      <c r="H47" s="1039">
        <f t="shared" si="35"/>
        <v>0</v>
      </c>
      <c r="I47" s="1419">
        <f>'[1]Oct midyear Lake Charles Chtr'!K47</f>
        <v>0</v>
      </c>
      <c r="J47" s="1419">
        <f>'[1]Feb midyear Lake Charles Ch'!K47</f>
        <v>0</v>
      </c>
      <c r="K47" s="1419">
        <f t="shared" si="36"/>
        <v>0</v>
      </c>
      <c r="L47" s="1211">
        <f t="shared" si="37"/>
        <v>0</v>
      </c>
      <c r="M47" s="1086">
        <f t="shared" si="38"/>
        <v>0</v>
      </c>
      <c r="N47" s="1039">
        <f t="shared" si="39"/>
        <v>0</v>
      </c>
      <c r="O47" s="1039">
        <v>0</v>
      </c>
      <c r="P47" s="1039">
        <f t="shared" si="40"/>
        <v>0</v>
      </c>
      <c r="Q47" s="1039">
        <v>0</v>
      </c>
      <c r="R47" s="1039">
        <f t="shared" si="41"/>
        <v>0</v>
      </c>
      <c r="S47" s="1039">
        <f t="shared" si="42"/>
        <v>0</v>
      </c>
      <c r="T47" s="1029">
        <f>'[14]FY2012-13 Final'!K48</f>
        <v>12026</v>
      </c>
      <c r="U47" s="973">
        <f t="shared" si="54"/>
        <v>0</v>
      </c>
      <c r="V47" s="1466">
        <f>'[20]Oct midyear Lake Charles Chtr'!E47</f>
        <v>0</v>
      </c>
      <c r="W47" s="1444">
        <f t="shared" si="43"/>
        <v>0</v>
      </c>
      <c r="X47" s="1466">
        <f>'[20]Feb midyear Lake Charles Ch'!E47</f>
        <v>0</v>
      </c>
      <c r="Y47" s="1444">
        <f t="shared" si="44"/>
        <v>0</v>
      </c>
      <c r="Z47" s="1444">
        <f t="shared" si="45"/>
        <v>0</v>
      </c>
      <c r="AA47" s="973">
        <f t="shared" si="46"/>
        <v>0</v>
      </c>
      <c r="AB47" s="1089">
        <f t="shared" si="47"/>
        <v>0</v>
      </c>
      <c r="AC47" s="973">
        <f t="shared" si="48"/>
        <v>0</v>
      </c>
      <c r="AD47" s="973">
        <v>0</v>
      </c>
      <c r="AE47" s="973">
        <f t="shared" si="49"/>
        <v>0</v>
      </c>
      <c r="AF47" s="973">
        <v>0</v>
      </c>
      <c r="AG47" s="1214">
        <f t="shared" si="50"/>
        <v>0</v>
      </c>
      <c r="AH47" s="1214">
        <f t="shared" si="51"/>
        <v>0</v>
      </c>
      <c r="AI47" s="974">
        <f t="shared" si="55"/>
        <v>0</v>
      </c>
      <c r="AJ47" s="974">
        <f t="shared" si="56"/>
        <v>0</v>
      </c>
      <c r="AK47" s="49"/>
      <c r="AL47" s="49">
        <f t="shared" si="52"/>
        <v>0</v>
      </c>
      <c r="AM47" s="49">
        <f>-'[22]Table 5C1F-Lake Charles Charter'!AL47</f>
        <v>0</v>
      </c>
      <c r="AN47" s="49">
        <f>-'[21]Table 5C1F-Lake Charles Charter'!P47</f>
        <v>0</v>
      </c>
      <c r="AO47" s="49">
        <f t="shared" si="53"/>
        <v>0</v>
      </c>
      <c r="AP47" s="49"/>
    </row>
    <row r="48" spans="1:42">
      <c r="A48" s="975">
        <v>42</v>
      </c>
      <c r="B48" s="976" t="s">
        <v>143</v>
      </c>
      <c r="C48" s="1171">
        <f>'Table 8 2.1.12 MFP Funded'!X45</f>
        <v>0</v>
      </c>
      <c r="D48" s="984">
        <f>'Table 3 Levels 1&amp;2'!AL49</f>
        <v>5259.3837602759822</v>
      </c>
      <c r="E48" s="1074">
        <f t="shared" si="33"/>
        <v>0</v>
      </c>
      <c r="F48" s="1074">
        <f>'Table 4 Level 3'!P47</f>
        <v>534.28</v>
      </c>
      <c r="G48" s="1074">
        <f t="shared" si="34"/>
        <v>0</v>
      </c>
      <c r="H48" s="1037">
        <f t="shared" si="35"/>
        <v>0</v>
      </c>
      <c r="I48" s="1417">
        <f>'[1]Oct midyear Lake Charles Chtr'!K48</f>
        <v>0</v>
      </c>
      <c r="J48" s="1417">
        <f>'[1]Feb midyear Lake Charles Ch'!K48</f>
        <v>0</v>
      </c>
      <c r="K48" s="1417">
        <f t="shared" si="36"/>
        <v>0</v>
      </c>
      <c r="L48" s="1436">
        <f t="shared" si="37"/>
        <v>0</v>
      </c>
      <c r="M48" s="1084">
        <f t="shared" si="38"/>
        <v>0</v>
      </c>
      <c r="N48" s="1037">
        <f t="shared" si="39"/>
        <v>0</v>
      </c>
      <c r="O48" s="1037">
        <v>0</v>
      </c>
      <c r="P48" s="1037">
        <f t="shared" si="40"/>
        <v>0</v>
      </c>
      <c r="Q48" s="1037">
        <v>0</v>
      </c>
      <c r="R48" s="1037">
        <f t="shared" si="41"/>
        <v>0</v>
      </c>
      <c r="S48" s="1037">
        <f t="shared" si="42"/>
        <v>0</v>
      </c>
      <c r="T48" s="1029">
        <f>'[14]FY2012-13 Final'!K49</f>
        <v>2881</v>
      </c>
      <c r="U48" s="1031">
        <f t="shared" si="54"/>
        <v>0</v>
      </c>
      <c r="V48" s="1464">
        <f>'[20]Oct midyear Lake Charles Chtr'!E48</f>
        <v>0</v>
      </c>
      <c r="W48" s="1443">
        <f t="shared" si="43"/>
        <v>0</v>
      </c>
      <c r="X48" s="1474">
        <f>'[20]Feb midyear Lake Charles Ch'!E48</f>
        <v>0</v>
      </c>
      <c r="Y48" s="1470">
        <f t="shared" si="44"/>
        <v>0</v>
      </c>
      <c r="Z48" s="1470">
        <f t="shared" si="45"/>
        <v>0</v>
      </c>
      <c r="AA48" s="1031">
        <f t="shared" si="46"/>
        <v>0</v>
      </c>
      <c r="AB48" s="1090">
        <f t="shared" si="47"/>
        <v>0</v>
      </c>
      <c r="AC48" s="1031">
        <f t="shared" si="48"/>
        <v>0</v>
      </c>
      <c r="AD48" s="1031">
        <v>0</v>
      </c>
      <c r="AE48" s="1031">
        <f t="shared" si="49"/>
        <v>0</v>
      </c>
      <c r="AF48" s="1031">
        <v>0</v>
      </c>
      <c r="AG48" s="1448">
        <f t="shared" si="50"/>
        <v>0</v>
      </c>
      <c r="AH48" s="1448">
        <f t="shared" si="51"/>
        <v>0</v>
      </c>
      <c r="AI48" s="1032">
        <f t="shared" si="55"/>
        <v>0</v>
      </c>
      <c r="AJ48" s="1032">
        <f t="shared" si="56"/>
        <v>0</v>
      </c>
      <c r="AK48" s="49"/>
      <c r="AL48" s="49">
        <f t="shared" si="52"/>
        <v>0</v>
      </c>
      <c r="AM48" s="49">
        <f>-'[22]Table 5C1F-Lake Charles Charter'!AL48</f>
        <v>0</v>
      </c>
      <c r="AN48" s="49">
        <f>-'[21]Table 5C1F-Lake Charles Charter'!P48</f>
        <v>0</v>
      </c>
      <c r="AO48" s="49">
        <f t="shared" si="53"/>
        <v>0</v>
      </c>
      <c r="AP48" s="49"/>
    </row>
    <row r="49" spans="1:42">
      <c r="A49" s="975">
        <v>43</v>
      </c>
      <c r="B49" s="976" t="s">
        <v>144</v>
      </c>
      <c r="C49" s="1171">
        <f>'Table 8 2.1.12 MFP Funded'!X46</f>
        <v>0</v>
      </c>
      <c r="D49" s="984">
        <f>'Table 3 Levels 1&amp;2'!AL50</f>
        <v>5602.7225412254893</v>
      </c>
      <c r="E49" s="1074">
        <f t="shared" si="33"/>
        <v>0</v>
      </c>
      <c r="F49" s="1074">
        <f>'Table 4 Level 3'!P48</f>
        <v>574.6099999999999</v>
      </c>
      <c r="G49" s="1074">
        <f t="shared" si="34"/>
        <v>0</v>
      </c>
      <c r="H49" s="1037">
        <f t="shared" si="35"/>
        <v>0</v>
      </c>
      <c r="I49" s="1417">
        <f>'[1]Oct midyear Lake Charles Chtr'!K49</f>
        <v>0</v>
      </c>
      <c r="J49" s="1417">
        <f>'[1]Feb midyear Lake Charles Ch'!K49</f>
        <v>0</v>
      </c>
      <c r="K49" s="1417">
        <f t="shared" si="36"/>
        <v>0</v>
      </c>
      <c r="L49" s="1436">
        <f t="shared" si="37"/>
        <v>0</v>
      </c>
      <c r="M49" s="1084">
        <f t="shared" si="38"/>
        <v>0</v>
      </c>
      <c r="N49" s="1037">
        <f t="shared" si="39"/>
        <v>0</v>
      </c>
      <c r="O49" s="1037">
        <v>0</v>
      </c>
      <c r="P49" s="1037">
        <f t="shared" si="40"/>
        <v>0</v>
      </c>
      <c r="Q49" s="1037">
        <v>0</v>
      </c>
      <c r="R49" s="1037">
        <f t="shared" si="41"/>
        <v>0</v>
      </c>
      <c r="S49" s="1037">
        <f t="shared" si="42"/>
        <v>0</v>
      </c>
      <c r="T49" s="1029">
        <f>'[14]FY2012-13 Final'!K50</f>
        <v>5270</v>
      </c>
      <c r="U49" s="1031">
        <f t="shared" si="54"/>
        <v>0</v>
      </c>
      <c r="V49" s="1464">
        <f>'[20]Oct midyear Lake Charles Chtr'!E49</f>
        <v>0</v>
      </c>
      <c r="W49" s="1443">
        <f t="shared" si="43"/>
        <v>0</v>
      </c>
      <c r="X49" s="1474">
        <f>'[20]Feb midyear Lake Charles Ch'!E49</f>
        <v>0</v>
      </c>
      <c r="Y49" s="1470">
        <f t="shared" si="44"/>
        <v>0</v>
      </c>
      <c r="Z49" s="1470">
        <f t="shared" si="45"/>
        <v>0</v>
      </c>
      <c r="AA49" s="1031">
        <f t="shared" si="46"/>
        <v>0</v>
      </c>
      <c r="AB49" s="1090">
        <f t="shared" si="47"/>
        <v>0</v>
      </c>
      <c r="AC49" s="1031">
        <f t="shared" si="48"/>
        <v>0</v>
      </c>
      <c r="AD49" s="1031">
        <v>0</v>
      </c>
      <c r="AE49" s="1031">
        <f t="shared" si="49"/>
        <v>0</v>
      </c>
      <c r="AF49" s="1031">
        <v>0</v>
      </c>
      <c r="AG49" s="1448">
        <f t="shared" si="50"/>
        <v>0</v>
      </c>
      <c r="AH49" s="1448">
        <f t="shared" si="51"/>
        <v>0</v>
      </c>
      <c r="AI49" s="1032">
        <f t="shared" si="55"/>
        <v>0</v>
      </c>
      <c r="AJ49" s="1032">
        <f t="shared" si="56"/>
        <v>0</v>
      </c>
      <c r="AK49" s="49"/>
      <c r="AL49" s="49">
        <f t="shared" si="52"/>
        <v>0</v>
      </c>
      <c r="AM49" s="49">
        <f>-'[22]Table 5C1F-Lake Charles Charter'!AL49</f>
        <v>0</v>
      </c>
      <c r="AN49" s="49">
        <f>-'[21]Table 5C1F-Lake Charles Charter'!P49</f>
        <v>0</v>
      </c>
      <c r="AO49" s="49">
        <f t="shared" si="53"/>
        <v>0</v>
      </c>
      <c r="AP49" s="49"/>
    </row>
    <row r="50" spans="1:42">
      <c r="A50" s="975">
        <v>44</v>
      </c>
      <c r="B50" s="976" t="s">
        <v>145</v>
      </c>
      <c r="C50" s="1171">
        <f>'Table 8 2.1.12 MFP Funded'!X47</f>
        <v>0</v>
      </c>
      <c r="D50" s="984">
        <f>'Table 3 Levels 1&amp;2'!AL51</f>
        <v>4123.0310925034155</v>
      </c>
      <c r="E50" s="1074">
        <f t="shared" si="33"/>
        <v>0</v>
      </c>
      <c r="F50" s="1074">
        <f>'Table 4 Level 3'!P49</f>
        <v>663.16000000000008</v>
      </c>
      <c r="G50" s="1074">
        <f t="shared" si="34"/>
        <v>0</v>
      </c>
      <c r="H50" s="1037">
        <f t="shared" si="35"/>
        <v>0</v>
      </c>
      <c r="I50" s="1417">
        <f>'[1]Oct midyear Lake Charles Chtr'!K50</f>
        <v>0</v>
      </c>
      <c r="J50" s="1417">
        <f>'[1]Feb midyear Lake Charles Ch'!K50</f>
        <v>0</v>
      </c>
      <c r="K50" s="1417">
        <f t="shared" si="36"/>
        <v>0</v>
      </c>
      <c r="L50" s="1436">
        <f t="shared" si="37"/>
        <v>0</v>
      </c>
      <c r="M50" s="1084">
        <f t="shared" si="38"/>
        <v>0</v>
      </c>
      <c r="N50" s="1037">
        <f t="shared" si="39"/>
        <v>0</v>
      </c>
      <c r="O50" s="1037">
        <v>0</v>
      </c>
      <c r="P50" s="1037">
        <f t="shared" si="40"/>
        <v>0</v>
      </c>
      <c r="Q50" s="1037">
        <v>0</v>
      </c>
      <c r="R50" s="1037">
        <f t="shared" si="41"/>
        <v>0</v>
      </c>
      <c r="S50" s="1037">
        <f t="shared" si="42"/>
        <v>0</v>
      </c>
      <c r="T50" s="1029">
        <f>'[14]FY2012-13 Final'!K51</f>
        <v>4133</v>
      </c>
      <c r="U50" s="1031">
        <f t="shared" si="54"/>
        <v>0</v>
      </c>
      <c r="V50" s="1464">
        <f>'[20]Oct midyear Lake Charles Chtr'!E50</f>
        <v>0</v>
      </c>
      <c r="W50" s="1443">
        <f t="shared" si="43"/>
        <v>0</v>
      </c>
      <c r="X50" s="1474">
        <f>'[20]Feb midyear Lake Charles Ch'!E50</f>
        <v>0</v>
      </c>
      <c r="Y50" s="1470">
        <f t="shared" si="44"/>
        <v>0</v>
      </c>
      <c r="Z50" s="1470">
        <f t="shared" si="45"/>
        <v>0</v>
      </c>
      <c r="AA50" s="1031">
        <f t="shared" si="46"/>
        <v>0</v>
      </c>
      <c r="AB50" s="1090">
        <f t="shared" si="47"/>
        <v>0</v>
      </c>
      <c r="AC50" s="1031">
        <f t="shared" si="48"/>
        <v>0</v>
      </c>
      <c r="AD50" s="1031">
        <v>0</v>
      </c>
      <c r="AE50" s="1031">
        <f t="shared" si="49"/>
        <v>0</v>
      </c>
      <c r="AF50" s="1031">
        <v>0</v>
      </c>
      <c r="AG50" s="1448">
        <f t="shared" si="50"/>
        <v>0</v>
      </c>
      <c r="AH50" s="1448">
        <f t="shared" si="51"/>
        <v>0</v>
      </c>
      <c r="AI50" s="1032">
        <f t="shared" si="55"/>
        <v>0</v>
      </c>
      <c r="AJ50" s="1032">
        <f t="shared" si="56"/>
        <v>0</v>
      </c>
      <c r="AK50" s="49"/>
      <c r="AL50" s="49">
        <f t="shared" si="52"/>
        <v>0</v>
      </c>
      <c r="AM50" s="49">
        <f>-'[22]Table 5C1F-Lake Charles Charter'!AL50</f>
        <v>0</v>
      </c>
      <c r="AN50" s="49">
        <f>-'[21]Table 5C1F-Lake Charles Charter'!P50</f>
        <v>0</v>
      </c>
      <c r="AO50" s="49">
        <f t="shared" si="53"/>
        <v>0</v>
      </c>
      <c r="AP50" s="49"/>
    </row>
    <row r="51" spans="1:42">
      <c r="A51" s="979">
        <v>45</v>
      </c>
      <c r="B51" s="980" t="s">
        <v>146</v>
      </c>
      <c r="C51" s="1172">
        <f>'Table 8 2.1.12 MFP Funded'!X48</f>
        <v>0</v>
      </c>
      <c r="D51" s="986">
        <f>'Table 3 Levels 1&amp;2'!AL52</f>
        <v>2428.6757675555082</v>
      </c>
      <c r="E51" s="1075">
        <f t="shared" si="33"/>
        <v>0</v>
      </c>
      <c r="F51" s="1075">
        <f>'Table 4 Level 3'!P50</f>
        <v>753.96000000000015</v>
      </c>
      <c r="G51" s="1075">
        <f t="shared" si="34"/>
        <v>0</v>
      </c>
      <c r="H51" s="1038">
        <f t="shared" si="35"/>
        <v>0</v>
      </c>
      <c r="I51" s="1418">
        <f>'[1]Oct midyear Lake Charles Chtr'!K51</f>
        <v>0</v>
      </c>
      <c r="J51" s="1418">
        <f>'[1]Feb midyear Lake Charles Ch'!K51</f>
        <v>0</v>
      </c>
      <c r="K51" s="1418">
        <f t="shared" si="36"/>
        <v>0</v>
      </c>
      <c r="L51" s="1437">
        <f t="shared" si="37"/>
        <v>0</v>
      </c>
      <c r="M51" s="1085">
        <f t="shared" si="38"/>
        <v>0</v>
      </c>
      <c r="N51" s="1038">
        <f t="shared" si="39"/>
        <v>0</v>
      </c>
      <c r="O51" s="1038">
        <v>0</v>
      </c>
      <c r="P51" s="1038">
        <f t="shared" si="40"/>
        <v>0</v>
      </c>
      <c r="Q51" s="1038">
        <v>0</v>
      </c>
      <c r="R51" s="1038">
        <f t="shared" si="41"/>
        <v>0</v>
      </c>
      <c r="S51" s="1038">
        <f t="shared" si="42"/>
        <v>0</v>
      </c>
      <c r="T51" s="1034">
        <f>'[14]FY2012-13 Final'!K52</f>
        <v>12446</v>
      </c>
      <c r="U51" s="1035">
        <f t="shared" si="54"/>
        <v>0</v>
      </c>
      <c r="V51" s="1465">
        <f>'[20]Oct midyear Lake Charles Chtr'!E51</f>
        <v>0</v>
      </c>
      <c r="W51" s="1445">
        <f t="shared" si="43"/>
        <v>0</v>
      </c>
      <c r="X51" s="1475">
        <f>'[20]Feb midyear Lake Charles Ch'!E51</f>
        <v>0</v>
      </c>
      <c r="Y51" s="1471">
        <f t="shared" si="44"/>
        <v>0</v>
      </c>
      <c r="Z51" s="1471">
        <f t="shared" si="45"/>
        <v>0</v>
      </c>
      <c r="AA51" s="1035">
        <f t="shared" si="46"/>
        <v>0</v>
      </c>
      <c r="AB51" s="1091">
        <f t="shared" si="47"/>
        <v>0</v>
      </c>
      <c r="AC51" s="1035">
        <f t="shared" si="48"/>
        <v>0</v>
      </c>
      <c r="AD51" s="1035">
        <v>0</v>
      </c>
      <c r="AE51" s="1035">
        <f t="shared" si="49"/>
        <v>0</v>
      </c>
      <c r="AF51" s="1035">
        <v>0</v>
      </c>
      <c r="AG51" s="1450">
        <f t="shared" si="50"/>
        <v>0</v>
      </c>
      <c r="AH51" s="1450">
        <f t="shared" si="51"/>
        <v>0</v>
      </c>
      <c r="AI51" s="1036">
        <f t="shared" si="55"/>
        <v>0</v>
      </c>
      <c r="AJ51" s="1036">
        <f t="shared" si="56"/>
        <v>0</v>
      </c>
      <c r="AK51" s="49"/>
      <c r="AL51" s="49">
        <f t="shared" si="52"/>
        <v>0</v>
      </c>
      <c r="AM51" s="49">
        <f>-'[22]Table 5C1F-Lake Charles Charter'!AL51</f>
        <v>0</v>
      </c>
      <c r="AN51" s="49">
        <f>-'[21]Table 5C1F-Lake Charles Charter'!P51</f>
        <v>0</v>
      </c>
      <c r="AO51" s="49">
        <f t="shared" si="53"/>
        <v>0</v>
      </c>
      <c r="AP51" s="49"/>
    </row>
    <row r="52" spans="1:42">
      <c r="A52" s="968">
        <v>46</v>
      </c>
      <c r="B52" s="969" t="s">
        <v>147</v>
      </c>
      <c r="C52" s="1173">
        <f>'Table 8 2.1.12 MFP Funded'!X49</f>
        <v>0</v>
      </c>
      <c r="D52" s="988">
        <f>'Table 3 Levels 1&amp;2'!AL53</f>
        <v>5783.612845780598</v>
      </c>
      <c r="E52" s="1076">
        <f t="shared" si="33"/>
        <v>0</v>
      </c>
      <c r="F52" s="1076">
        <f>'Table 4 Level 3'!P51</f>
        <v>728.06</v>
      </c>
      <c r="G52" s="1076">
        <f t="shared" si="34"/>
        <v>0</v>
      </c>
      <c r="H52" s="1039">
        <f t="shared" si="35"/>
        <v>0</v>
      </c>
      <c r="I52" s="1419">
        <f>'[1]Oct midyear Lake Charles Chtr'!K52</f>
        <v>0</v>
      </c>
      <c r="J52" s="1419">
        <f>'[1]Feb midyear Lake Charles Ch'!K52</f>
        <v>0</v>
      </c>
      <c r="K52" s="1419">
        <f t="shared" si="36"/>
        <v>0</v>
      </c>
      <c r="L52" s="1211">
        <f t="shared" si="37"/>
        <v>0</v>
      </c>
      <c r="M52" s="1086">
        <f t="shared" si="38"/>
        <v>0</v>
      </c>
      <c r="N52" s="1039">
        <f t="shared" si="39"/>
        <v>0</v>
      </c>
      <c r="O52" s="1039">
        <v>0</v>
      </c>
      <c r="P52" s="1039">
        <f t="shared" si="40"/>
        <v>0</v>
      </c>
      <c r="Q52" s="1039">
        <v>0</v>
      </c>
      <c r="R52" s="1039">
        <f t="shared" si="41"/>
        <v>0</v>
      </c>
      <c r="S52" s="1039">
        <f t="shared" si="42"/>
        <v>0</v>
      </c>
      <c r="T52" s="1029">
        <f>'[14]FY2012-13 Final'!K53</f>
        <v>1976</v>
      </c>
      <c r="U52" s="973">
        <f t="shared" si="54"/>
        <v>0</v>
      </c>
      <c r="V52" s="1466">
        <f>'[20]Oct midyear Lake Charles Chtr'!E52</f>
        <v>0</v>
      </c>
      <c r="W52" s="1444">
        <f t="shared" si="43"/>
        <v>0</v>
      </c>
      <c r="X52" s="1466">
        <f>'[20]Feb midyear Lake Charles Ch'!E52</f>
        <v>0</v>
      </c>
      <c r="Y52" s="1444">
        <f t="shared" si="44"/>
        <v>0</v>
      </c>
      <c r="Z52" s="1444">
        <f t="shared" si="45"/>
        <v>0</v>
      </c>
      <c r="AA52" s="973">
        <f t="shared" si="46"/>
        <v>0</v>
      </c>
      <c r="AB52" s="1089">
        <f t="shared" si="47"/>
        <v>0</v>
      </c>
      <c r="AC52" s="973">
        <f t="shared" si="48"/>
        <v>0</v>
      </c>
      <c r="AD52" s="973">
        <v>0</v>
      </c>
      <c r="AE52" s="973">
        <f t="shared" si="49"/>
        <v>0</v>
      </c>
      <c r="AF52" s="973">
        <v>0</v>
      </c>
      <c r="AG52" s="1214">
        <f t="shared" si="50"/>
        <v>0</v>
      </c>
      <c r="AH52" s="1214">
        <f t="shared" si="51"/>
        <v>0</v>
      </c>
      <c r="AI52" s="974">
        <f t="shared" si="55"/>
        <v>0</v>
      </c>
      <c r="AJ52" s="974">
        <f t="shared" si="56"/>
        <v>0</v>
      </c>
      <c r="AK52" s="49"/>
      <c r="AL52" s="49">
        <f t="shared" si="52"/>
        <v>0</v>
      </c>
      <c r="AM52" s="49">
        <f>-'[22]Table 5C1F-Lake Charles Charter'!AL52</f>
        <v>0</v>
      </c>
      <c r="AN52" s="49">
        <f>-'[21]Table 5C1F-Lake Charles Charter'!P52</f>
        <v>0</v>
      </c>
      <c r="AO52" s="49">
        <f t="shared" si="53"/>
        <v>0</v>
      </c>
      <c r="AP52" s="49"/>
    </row>
    <row r="53" spans="1:42">
      <c r="A53" s="975">
        <v>47</v>
      </c>
      <c r="B53" s="976" t="s">
        <v>148</v>
      </c>
      <c r="C53" s="1171">
        <f>'Table 8 2.1.12 MFP Funded'!X50</f>
        <v>0</v>
      </c>
      <c r="D53" s="984">
        <f>'Table 3 Levels 1&amp;2'!AL54</f>
        <v>3209.8138023141523</v>
      </c>
      <c r="E53" s="1074">
        <f t="shared" si="33"/>
        <v>0</v>
      </c>
      <c r="F53" s="1074">
        <f>'Table 4 Level 3'!P52</f>
        <v>910.76</v>
      </c>
      <c r="G53" s="1074">
        <f t="shared" si="34"/>
        <v>0</v>
      </c>
      <c r="H53" s="1037">
        <f t="shared" si="35"/>
        <v>0</v>
      </c>
      <c r="I53" s="1417">
        <f>'[1]Oct midyear Lake Charles Chtr'!K53</f>
        <v>0</v>
      </c>
      <c r="J53" s="1417">
        <f>'[1]Feb midyear Lake Charles Ch'!K53</f>
        <v>0</v>
      </c>
      <c r="K53" s="1417">
        <f t="shared" si="36"/>
        <v>0</v>
      </c>
      <c r="L53" s="1436">
        <f t="shared" si="37"/>
        <v>0</v>
      </c>
      <c r="M53" s="1084">
        <f t="shared" si="38"/>
        <v>0</v>
      </c>
      <c r="N53" s="1037">
        <f t="shared" si="39"/>
        <v>0</v>
      </c>
      <c r="O53" s="1037">
        <v>0</v>
      </c>
      <c r="P53" s="1037">
        <f t="shared" si="40"/>
        <v>0</v>
      </c>
      <c r="Q53" s="1037">
        <v>0</v>
      </c>
      <c r="R53" s="1037">
        <f t="shared" si="41"/>
        <v>0</v>
      </c>
      <c r="S53" s="1037">
        <f t="shared" si="42"/>
        <v>0</v>
      </c>
      <c r="T53" s="1029">
        <f>'[14]FY2012-13 Final'!K54</f>
        <v>10067</v>
      </c>
      <c r="U53" s="1031">
        <f t="shared" si="54"/>
        <v>0</v>
      </c>
      <c r="V53" s="1464">
        <f>'[20]Oct midyear Lake Charles Chtr'!E53</f>
        <v>0</v>
      </c>
      <c r="W53" s="1443">
        <f t="shared" si="43"/>
        <v>0</v>
      </c>
      <c r="X53" s="1474">
        <f>'[20]Feb midyear Lake Charles Ch'!E53</f>
        <v>0</v>
      </c>
      <c r="Y53" s="1470">
        <f t="shared" si="44"/>
        <v>0</v>
      </c>
      <c r="Z53" s="1470">
        <f t="shared" si="45"/>
        <v>0</v>
      </c>
      <c r="AA53" s="1031">
        <f t="shared" si="46"/>
        <v>0</v>
      </c>
      <c r="AB53" s="1090">
        <f t="shared" si="47"/>
        <v>0</v>
      </c>
      <c r="AC53" s="1031">
        <f t="shared" si="48"/>
        <v>0</v>
      </c>
      <c r="AD53" s="1031">
        <v>0</v>
      </c>
      <c r="AE53" s="1031">
        <f t="shared" si="49"/>
        <v>0</v>
      </c>
      <c r="AF53" s="1031">
        <v>0</v>
      </c>
      <c r="AG53" s="1448">
        <f t="shared" si="50"/>
        <v>0</v>
      </c>
      <c r="AH53" s="1448">
        <f t="shared" si="51"/>
        <v>0</v>
      </c>
      <c r="AI53" s="1032">
        <f t="shared" si="55"/>
        <v>0</v>
      </c>
      <c r="AJ53" s="1032">
        <f t="shared" si="56"/>
        <v>0</v>
      </c>
      <c r="AK53" s="49"/>
      <c r="AL53" s="49">
        <f t="shared" si="52"/>
        <v>0</v>
      </c>
      <c r="AM53" s="49">
        <f>-'[22]Table 5C1F-Lake Charles Charter'!AL53</f>
        <v>0</v>
      </c>
      <c r="AN53" s="49">
        <f>-'[21]Table 5C1F-Lake Charles Charter'!P53</f>
        <v>0</v>
      </c>
      <c r="AO53" s="49">
        <f t="shared" si="53"/>
        <v>0</v>
      </c>
      <c r="AP53" s="49"/>
    </row>
    <row r="54" spans="1:42">
      <c r="A54" s="975">
        <v>48</v>
      </c>
      <c r="B54" s="976" t="s">
        <v>217</v>
      </c>
      <c r="C54" s="1171">
        <f>'Table 8 2.1.12 MFP Funded'!X51</f>
        <v>0</v>
      </c>
      <c r="D54" s="984">
        <f>'Table 3 Levels 1&amp;2'!AL55</f>
        <v>4278.1956772731837</v>
      </c>
      <c r="E54" s="1074">
        <f t="shared" si="33"/>
        <v>0</v>
      </c>
      <c r="F54" s="1074">
        <f>'Table 4 Level 3'!P53</f>
        <v>871.07</v>
      </c>
      <c r="G54" s="1074">
        <f t="shared" si="34"/>
        <v>0</v>
      </c>
      <c r="H54" s="1037">
        <f t="shared" si="35"/>
        <v>0</v>
      </c>
      <c r="I54" s="1417">
        <f>'[1]Oct midyear Lake Charles Chtr'!K54</f>
        <v>0</v>
      </c>
      <c r="J54" s="1417">
        <f>'[1]Feb midyear Lake Charles Ch'!K54</f>
        <v>0</v>
      </c>
      <c r="K54" s="1417">
        <f t="shared" si="36"/>
        <v>0</v>
      </c>
      <c r="L54" s="1436">
        <f t="shared" si="37"/>
        <v>0</v>
      </c>
      <c r="M54" s="1084">
        <f t="shared" si="38"/>
        <v>0</v>
      </c>
      <c r="N54" s="1037">
        <f t="shared" si="39"/>
        <v>0</v>
      </c>
      <c r="O54" s="1037">
        <v>0</v>
      </c>
      <c r="P54" s="1037">
        <f t="shared" si="40"/>
        <v>0</v>
      </c>
      <c r="Q54" s="1037">
        <v>0</v>
      </c>
      <c r="R54" s="1037">
        <f t="shared" si="41"/>
        <v>0</v>
      </c>
      <c r="S54" s="1037">
        <f t="shared" si="42"/>
        <v>0</v>
      </c>
      <c r="T54" s="1029">
        <f>'[14]FY2012-13 Final'!K55</f>
        <v>5849</v>
      </c>
      <c r="U54" s="1031">
        <f t="shared" si="54"/>
        <v>0</v>
      </c>
      <c r="V54" s="1464">
        <f>'[20]Oct midyear Lake Charles Chtr'!E54</f>
        <v>0</v>
      </c>
      <c r="W54" s="1443">
        <f t="shared" si="43"/>
        <v>0</v>
      </c>
      <c r="X54" s="1474">
        <f>'[20]Feb midyear Lake Charles Ch'!E54</f>
        <v>0</v>
      </c>
      <c r="Y54" s="1470">
        <f t="shared" si="44"/>
        <v>0</v>
      </c>
      <c r="Z54" s="1470">
        <f t="shared" si="45"/>
        <v>0</v>
      </c>
      <c r="AA54" s="1031">
        <f t="shared" si="46"/>
        <v>0</v>
      </c>
      <c r="AB54" s="1090">
        <f t="shared" si="47"/>
        <v>0</v>
      </c>
      <c r="AC54" s="1031">
        <f t="shared" si="48"/>
        <v>0</v>
      </c>
      <c r="AD54" s="1031">
        <v>0</v>
      </c>
      <c r="AE54" s="1031">
        <f t="shared" si="49"/>
        <v>0</v>
      </c>
      <c r="AF54" s="1031">
        <v>0</v>
      </c>
      <c r="AG54" s="1448">
        <f t="shared" si="50"/>
        <v>0</v>
      </c>
      <c r="AH54" s="1448">
        <f t="shared" si="51"/>
        <v>0</v>
      </c>
      <c r="AI54" s="1032">
        <f t="shared" si="55"/>
        <v>0</v>
      </c>
      <c r="AJ54" s="1032">
        <f t="shared" si="56"/>
        <v>0</v>
      </c>
      <c r="AK54" s="49"/>
      <c r="AL54" s="49">
        <f t="shared" si="52"/>
        <v>0</v>
      </c>
      <c r="AM54" s="49">
        <f>-'[22]Table 5C1F-Lake Charles Charter'!AL54</f>
        <v>0</v>
      </c>
      <c r="AN54" s="49">
        <f>-'[21]Table 5C1F-Lake Charles Charter'!P54</f>
        <v>0</v>
      </c>
      <c r="AO54" s="49">
        <f t="shared" si="53"/>
        <v>0</v>
      </c>
      <c r="AP54" s="49"/>
    </row>
    <row r="55" spans="1:42">
      <c r="A55" s="975">
        <v>49</v>
      </c>
      <c r="B55" s="976" t="s">
        <v>149</v>
      </c>
      <c r="C55" s="1171">
        <f>'Table 8 2.1.12 MFP Funded'!X52</f>
        <v>0</v>
      </c>
      <c r="D55" s="984">
        <f>'Table 3 Levels 1&amp;2'!AL56</f>
        <v>4819.172186397177</v>
      </c>
      <c r="E55" s="1074">
        <f t="shared" si="33"/>
        <v>0</v>
      </c>
      <c r="F55" s="1074">
        <f>'Table 4 Level 3'!P54</f>
        <v>574.43999999999994</v>
      </c>
      <c r="G55" s="1074">
        <f t="shared" si="34"/>
        <v>0</v>
      </c>
      <c r="H55" s="1037">
        <f t="shared" si="35"/>
        <v>0</v>
      </c>
      <c r="I55" s="1417">
        <f>'[1]Oct midyear Lake Charles Chtr'!K55</f>
        <v>0</v>
      </c>
      <c r="J55" s="1417">
        <f>'[1]Feb midyear Lake Charles Ch'!K55</f>
        <v>0</v>
      </c>
      <c r="K55" s="1417">
        <f t="shared" si="36"/>
        <v>0</v>
      </c>
      <c r="L55" s="1436">
        <f t="shared" si="37"/>
        <v>0</v>
      </c>
      <c r="M55" s="1084">
        <f t="shared" si="38"/>
        <v>0</v>
      </c>
      <c r="N55" s="1037">
        <f t="shared" si="39"/>
        <v>0</v>
      </c>
      <c r="O55" s="1037">
        <v>0</v>
      </c>
      <c r="P55" s="1037">
        <f t="shared" si="40"/>
        <v>0</v>
      </c>
      <c r="Q55" s="1037">
        <v>0</v>
      </c>
      <c r="R55" s="1037">
        <f t="shared" si="41"/>
        <v>0</v>
      </c>
      <c r="S55" s="1037">
        <f t="shared" si="42"/>
        <v>0</v>
      </c>
      <c r="T55" s="1029">
        <f>'[14]FY2012-13 Final'!K56</f>
        <v>2345</v>
      </c>
      <c r="U55" s="1031">
        <f t="shared" si="54"/>
        <v>0</v>
      </c>
      <c r="V55" s="1464">
        <f>'[20]Oct midyear Lake Charles Chtr'!E55</f>
        <v>0</v>
      </c>
      <c r="W55" s="1443">
        <f t="shared" si="43"/>
        <v>0</v>
      </c>
      <c r="X55" s="1474">
        <f>'[20]Feb midyear Lake Charles Ch'!E55</f>
        <v>0</v>
      </c>
      <c r="Y55" s="1470">
        <f t="shared" si="44"/>
        <v>0</v>
      </c>
      <c r="Z55" s="1470">
        <f t="shared" si="45"/>
        <v>0</v>
      </c>
      <c r="AA55" s="1031">
        <f t="shared" si="46"/>
        <v>0</v>
      </c>
      <c r="AB55" s="1090">
        <f t="shared" si="47"/>
        <v>0</v>
      </c>
      <c r="AC55" s="1031">
        <f t="shared" si="48"/>
        <v>0</v>
      </c>
      <c r="AD55" s="1031">
        <v>0</v>
      </c>
      <c r="AE55" s="1031">
        <f t="shared" si="49"/>
        <v>0</v>
      </c>
      <c r="AF55" s="1031">
        <v>0</v>
      </c>
      <c r="AG55" s="1448">
        <f t="shared" si="50"/>
        <v>0</v>
      </c>
      <c r="AH55" s="1448">
        <f t="shared" si="51"/>
        <v>0</v>
      </c>
      <c r="AI55" s="1032">
        <f t="shared" si="55"/>
        <v>0</v>
      </c>
      <c r="AJ55" s="1032">
        <f t="shared" si="56"/>
        <v>0</v>
      </c>
      <c r="AK55" s="49"/>
      <c r="AL55" s="49">
        <f t="shared" si="52"/>
        <v>0</v>
      </c>
      <c r="AM55" s="49">
        <f>-'[22]Table 5C1F-Lake Charles Charter'!AL55</f>
        <v>0</v>
      </c>
      <c r="AN55" s="49">
        <f>-'[21]Table 5C1F-Lake Charles Charter'!P55</f>
        <v>0</v>
      </c>
      <c r="AO55" s="49">
        <f t="shared" si="53"/>
        <v>0</v>
      </c>
      <c r="AP55" s="49"/>
    </row>
    <row r="56" spans="1:42">
      <c r="A56" s="979">
        <v>50</v>
      </c>
      <c r="B56" s="980" t="s">
        <v>150</v>
      </c>
      <c r="C56" s="1172">
        <f>'Table 8 2.1.12 MFP Funded'!X53</f>
        <v>0</v>
      </c>
      <c r="D56" s="986">
        <f>'Table 3 Levels 1&amp;2'!AL57</f>
        <v>5078.3381494368732</v>
      </c>
      <c r="E56" s="1075">
        <f t="shared" si="33"/>
        <v>0</v>
      </c>
      <c r="F56" s="1075">
        <f>'Table 4 Level 3'!P55</f>
        <v>634.46</v>
      </c>
      <c r="G56" s="1075">
        <f t="shared" si="34"/>
        <v>0</v>
      </c>
      <c r="H56" s="1038">
        <f t="shared" si="35"/>
        <v>0</v>
      </c>
      <c r="I56" s="1418">
        <f>'[1]Oct midyear Lake Charles Chtr'!K56</f>
        <v>0</v>
      </c>
      <c r="J56" s="1418">
        <f>'[1]Feb midyear Lake Charles Ch'!K56</f>
        <v>0</v>
      </c>
      <c r="K56" s="1418">
        <f t="shared" si="36"/>
        <v>0</v>
      </c>
      <c r="L56" s="1437">
        <f t="shared" si="37"/>
        <v>0</v>
      </c>
      <c r="M56" s="1085">
        <f t="shared" si="38"/>
        <v>0</v>
      </c>
      <c r="N56" s="1038">
        <f t="shared" si="39"/>
        <v>0</v>
      </c>
      <c r="O56" s="1038">
        <v>0</v>
      </c>
      <c r="P56" s="1038">
        <f t="shared" si="40"/>
        <v>0</v>
      </c>
      <c r="Q56" s="1038">
        <v>0</v>
      </c>
      <c r="R56" s="1038">
        <f t="shared" si="41"/>
        <v>0</v>
      </c>
      <c r="S56" s="1038">
        <f t="shared" si="42"/>
        <v>0</v>
      </c>
      <c r="T56" s="1034">
        <f>'[14]FY2012-13 Final'!K57</f>
        <v>2810</v>
      </c>
      <c r="U56" s="1035">
        <f t="shared" si="54"/>
        <v>0</v>
      </c>
      <c r="V56" s="1465">
        <f>'[20]Oct midyear Lake Charles Chtr'!E56</f>
        <v>0</v>
      </c>
      <c r="W56" s="1445">
        <f t="shared" si="43"/>
        <v>0</v>
      </c>
      <c r="X56" s="1475">
        <f>'[20]Feb midyear Lake Charles Ch'!E56</f>
        <v>0</v>
      </c>
      <c r="Y56" s="1471">
        <f t="shared" si="44"/>
        <v>0</v>
      </c>
      <c r="Z56" s="1471">
        <f t="shared" si="45"/>
        <v>0</v>
      </c>
      <c r="AA56" s="1035">
        <f t="shared" si="46"/>
        <v>0</v>
      </c>
      <c r="AB56" s="1091">
        <f t="shared" si="47"/>
        <v>0</v>
      </c>
      <c r="AC56" s="1035">
        <f t="shared" si="48"/>
        <v>0</v>
      </c>
      <c r="AD56" s="1035">
        <v>0</v>
      </c>
      <c r="AE56" s="1035">
        <f t="shared" si="49"/>
        <v>0</v>
      </c>
      <c r="AF56" s="1035">
        <v>0</v>
      </c>
      <c r="AG56" s="1450">
        <f t="shared" si="50"/>
        <v>0</v>
      </c>
      <c r="AH56" s="1450">
        <f t="shared" si="51"/>
        <v>0</v>
      </c>
      <c r="AI56" s="1036">
        <f t="shared" si="55"/>
        <v>0</v>
      </c>
      <c r="AJ56" s="1036">
        <f t="shared" si="56"/>
        <v>0</v>
      </c>
      <c r="AK56" s="49"/>
      <c r="AL56" s="49">
        <f t="shared" si="52"/>
        <v>0</v>
      </c>
      <c r="AM56" s="49">
        <f>-'[22]Table 5C1F-Lake Charles Charter'!AL56</f>
        <v>0</v>
      </c>
      <c r="AN56" s="49">
        <f>-'[21]Table 5C1F-Lake Charles Charter'!P56</f>
        <v>0</v>
      </c>
      <c r="AO56" s="49">
        <f t="shared" si="53"/>
        <v>0</v>
      </c>
      <c r="AP56" s="49"/>
    </row>
    <row r="57" spans="1:42">
      <c r="A57" s="968">
        <v>51</v>
      </c>
      <c r="B57" s="969" t="s">
        <v>151</v>
      </c>
      <c r="C57" s="1173">
        <f>'Table 8 2.1.12 MFP Funded'!X54</f>
        <v>0</v>
      </c>
      <c r="D57" s="988">
        <f>'Table 3 Levels 1&amp;2'!AL58</f>
        <v>4327.8748353683095</v>
      </c>
      <c r="E57" s="1076">
        <f t="shared" si="33"/>
        <v>0</v>
      </c>
      <c r="F57" s="1076">
        <f>'Table 4 Level 3'!P56</f>
        <v>706.66</v>
      </c>
      <c r="G57" s="1076">
        <f t="shared" si="34"/>
        <v>0</v>
      </c>
      <c r="H57" s="1039">
        <f t="shared" si="35"/>
        <v>0</v>
      </c>
      <c r="I57" s="1419">
        <f>'[1]Oct midyear Lake Charles Chtr'!K57</f>
        <v>0</v>
      </c>
      <c r="J57" s="1419">
        <f>'[1]Feb midyear Lake Charles Ch'!K57</f>
        <v>0</v>
      </c>
      <c r="K57" s="1419">
        <f t="shared" si="36"/>
        <v>0</v>
      </c>
      <c r="L57" s="1211">
        <f t="shared" si="37"/>
        <v>0</v>
      </c>
      <c r="M57" s="1086">
        <f t="shared" si="38"/>
        <v>0</v>
      </c>
      <c r="N57" s="1039">
        <f t="shared" si="39"/>
        <v>0</v>
      </c>
      <c r="O57" s="1039">
        <v>0</v>
      </c>
      <c r="P57" s="1039">
        <f t="shared" si="40"/>
        <v>0</v>
      </c>
      <c r="Q57" s="1039">
        <v>0</v>
      </c>
      <c r="R57" s="1039">
        <f t="shared" si="41"/>
        <v>0</v>
      </c>
      <c r="S57" s="1039">
        <f t="shared" si="42"/>
        <v>0</v>
      </c>
      <c r="T57" s="1029">
        <f>'[14]FY2012-13 Final'!K58</f>
        <v>4191</v>
      </c>
      <c r="U57" s="973">
        <f t="shared" si="54"/>
        <v>0</v>
      </c>
      <c r="V57" s="1466">
        <f>'[20]Oct midyear Lake Charles Chtr'!E57</f>
        <v>0</v>
      </c>
      <c r="W57" s="1444">
        <f t="shared" si="43"/>
        <v>0</v>
      </c>
      <c r="X57" s="1466">
        <f>'[20]Feb midyear Lake Charles Ch'!E57</f>
        <v>0</v>
      </c>
      <c r="Y57" s="1444">
        <f t="shared" si="44"/>
        <v>0</v>
      </c>
      <c r="Z57" s="1444">
        <f t="shared" si="45"/>
        <v>0</v>
      </c>
      <c r="AA57" s="973">
        <f t="shared" si="46"/>
        <v>0</v>
      </c>
      <c r="AB57" s="1089">
        <f t="shared" si="47"/>
        <v>0</v>
      </c>
      <c r="AC57" s="973">
        <f t="shared" si="48"/>
        <v>0</v>
      </c>
      <c r="AD57" s="973">
        <v>0</v>
      </c>
      <c r="AE57" s="973">
        <f t="shared" si="49"/>
        <v>0</v>
      </c>
      <c r="AF57" s="973">
        <v>0</v>
      </c>
      <c r="AG57" s="1214">
        <f t="shared" si="50"/>
        <v>0</v>
      </c>
      <c r="AH57" s="1214">
        <f t="shared" si="51"/>
        <v>0</v>
      </c>
      <c r="AI57" s="974">
        <f t="shared" si="55"/>
        <v>0</v>
      </c>
      <c r="AJ57" s="974">
        <f t="shared" si="56"/>
        <v>0</v>
      </c>
      <c r="AK57" s="49"/>
      <c r="AL57" s="49">
        <f t="shared" si="52"/>
        <v>0</v>
      </c>
      <c r="AM57" s="49">
        <f>-'[22]Table 5C1F-Lake Charles Charter'!AL57</f>
        <v>0</v>
      </c>
      <c r="AN57" s="49">
        <f>-'[21]Table 5C1F-Lake Charles Charter'!P57</f>
        <v>0</v>
      </c>
      <c r="AO57" s="49">
        <f t="shared" si="53"/>
        <v>0</v>
      </c>
      <c r="AP57" s="49"/>
    </row>
    <row r="58" spans="1:42">
      <c r="A58" s="975">
        <v>52</v>
      </c>
      <c r="B58" s="976" t="s">
        <v>152</v>
      </c>
      <c r="C58" s="1171">
        <f>'Table 8 2.1.12 MFP Funded'!X55</f>
        <v>0</v>
      </c>
      <c r="D58" s="984">
        <f>'Table 3 Levels 1&amp;2'!AL59</f>
        <v>4936.6461759855838</v>
      </c>
      <c r="E58" s="1074">
        <f t="shared" si="33"/>
        <v>0</v>
      </c>
      <c r="F58" s="1074">
        <f>'Table 4 Level 3'!P57</f>
        <v>658.37</v>
      </c>
      <c r="G58" s="1074">
        <f t="shared" si="34"/>
        <v>0</v>
      </c>
      <c r="H58" s="1037">
        <f t="shared" si="35"/>
        <v>0</v>
      </c>
      <c r="I58" s="1417">
        <f>'[1]Oct midyear Lake Charles Chtr'!K58</f>
        <v>0</v>
      </c>
      <c r="J58" s="1417">
        <f>'[1]Feb midyear Lake Charles Ch'!K58</f>
        <v>0</v>
      </c>
      <c r="K58" s="1417">
        <f t="shared" si="36"/>
        <v>0</v>
      </c>
      <c r="L58" s="1436">
        <f t="shared" si="37"/>
        <v>0</v>
      </c>
      <c r="M58" s="1084">
        <f t="shared" si="38"/>
        <v>0</v>
      </c>
      <c r="N58" s="1037">
        <f t="shared" si="39"/>
        <v>0</v>
      </c>
      <c r="O58" s="1037">
        <v>0</v>
      </c>
      <c r="P58" s="1037">
        <f t="shared" si="40"/>
        <v>0</v>
      </c>
      <c r="Q58" s="1037">
        <v>0</v>
      </c>
      <c r="R58" s="1037">
        <f t="shared" si="41"/>
        <v>0</v>
      </c>
      <c r="S58" s="1037">
        <f t="shared" si="42"/>
        <v>0</v>
      </c>
      <c r="T58" s="1029">
        <f>'[14]FY2012-13 Final'!K59</f>
        <v>4895</v>
      </c>
      <c r="U58" s="1031">
        <f t="shared" si="54"/>
        <v>0</v>
      </c>
      <c r="V58" s="1464">
        <f>'[20]Oct midyear Lake Charles Chtr'!E58</f>
        <v>0</v>
      </c>
      <c r="W58" s="1443">
        <f t="shared" si="43"/>
        <v>0</v>
      </c>
      <c r="X58" s="1474">
        <f>'[20]Feb midyear Lake Charles Ch'!E58</f>
        <v>0</v>
      </c>
      <c r="Y58" s="1470">
        <f t="shared" si="44"/>
        <v>0</v>
      </c>
      <c r="Z58" s="1470">
        <f t="shared" si="45"/>
        <v>0</v>
      </c>
      <c r="AA58" s="1031">
        <f t="shared" si="46"/>
        <v>0</v>
      </c>
      <c r="AB58" s="1090">
        <f t="shared" si="47"/>
        <v>0</v>
      </c>
      <c r="AC58" s="1031">
        <f t="shared" si="48"/>
        <v>0</v>
      </c>
      <c r="AD58" s="1031">
        <v>0</v>
      </c>
      <c r="AE58" s="1031">
        <f t="shared" si="49"/>
        <v>0</v>
      </c>
      <c r="AF58" s="1031">
        <v>0</v>
      </c>
      <c r="AG58" s="1448">
        <f t="shared" si="50"/>
        <v>0</v>
      </c>
      <c r="AH58" s="1448">
        <f t="shared" si="51"/>
        <v>0</v>
      </c>
      <c r="AI58" s="1032">
        <f t="shared" si="55"/>
        <v>0</v>
      </c>
      <c r="AJ58" s="1032">
        <f t="shared" si="56"/>
        <v>0</v>
      </c>
      <c r="AK58" s="49"/>
      <c r="AL58" s="49">
        <f t="shared" si="52"/>
        <v>0</v>
      </c>
      <c r="AM58" s="49">
        <f>-'[22]Table 5C1F-Lake Charles Charter'!AL58</f>
        <v>0</v>
      </c>
      <c r="AN58" s="49">
        <f>-'[21]Table 5C1F-Lake Charles Charter'!P58</f>
        <v>0</v>
      </c>
      <c r="AO58" s="49">
        <f t="shared" si="53"/>
        <v>0</v>
      </c>
      <c r="AP58" s="49"/>
    </row>
    <row r="59" spans="1:42">
      <c r="A59" s="975">
        <v>53</v>
      </c>
      <c r="B59" s="976" t="s">
        <v>153</v>
      </c>
      <c r="C59" s="1171">
        <f>'Table 8 2.1.12 MFP Funded'!X56</f>
        <v>0</v>
      </c>
      <c r="D59" s="984">
        <f>'Table 3 Levels 1&amp;2'!AL60</f>
        <v>4800.3207499962118</v>
      </c>
      <c r="E59" s="1074">
        <f t="shared" si="33"/>
        <v>0</v>
      </c>
      <c r="F59" s="1074">
        <f>'Table 4 Level 3'!P58</f>
        <v>689.74</v>
      </c>
      <c r="G59" s="1074">
        <f t="shared" si="34"/>
        <v>0</v>
      </c>
      <c r="H59" s="1037">
        <f t="shared" si="35"/>
        <v>0</v>
      </c>
      <c r="I59" s="1417">
        <f>'[1]Oct midyear Lake Charles Chtr'!K59</f>
        <v>0</v>
      </c>
      <c r="J59" s="1417">
        <f>'[1]Feb midyear Lake Charles Ch'!K59</f>
        <v>0</v>
      </c>
      <c r="K59" s="1417">
        <f t="shared" si="36"/>
        <v>0</v>
      </c>
      <c r="L59" s="1436">
        <f t="shared" si="37"/>
        <v>0</v>
      </c>
      <c r="M59" s="1084">
        <f t="shared" si="38"/>
        <v>0</v>
      </c>
      <c r="N59" s="1037">
        <f t="shared" si="39"/>
        <v>0</v>
      </c>
      <c r="O59" s="1037">
        <v>0</v>
      </c>
      <c r="P59" s="1037">
        <f t="shared" si="40"/>
        <v>0</v>
      </c>
      <c r="Q59" s="1037">
        <v>0</v>
      </c>
      <c r="R59" s="1037">
        <f t="shared" si="41"/>
        <v>0</v>
      </c>
      <c r="S59" s="1037">
        <f t="shared" si="42"/>
        <v>0</v>
      </c>
      <c r="T59" s="1029">
        <f>'[14]FY2012-13 Final'!K60</f>
        <v>1935</v>
      </c>
      <c r="U59" s="1031">
        <f t="shared" si="54"/>
        <v>0</v>
      </c>
      <c r="V59" s="1464">
        <f>'[20]Oct midyear Lake Charles Chtr'!E59</f>
        <v>0</v>
      </c>
      <c r="W59" s="1443">
        <f t="shared" si="43"/>
        <v>0</v>
      </c>
      <c r="X59" s="1474">
        <f>'[20]Feb midyear Lake Charles Ch'!E59</f>
        <v>0</v>
      </c>
      <c r="Y59" s="1470">
        <f t="shared" si="44"/>
        <v>0</v>
      </c>
      <c r="Z59" s="1470">
        <f t="shared" si="45"/>
        <v>0</v>
      </c>
      <c r="AA59" s="1031">
        <f t="shared" si="46"/>
        <v>0</v>
      </c>
      <c r="AB59" s="1090">
        <f t="shared" si="47"/>
        <v>0</v>
      </c>
      <c r="AC59" s="1031">
        <f t="shared" si="48"/>
        <v>0</v>
      </c>
      <c r="AD59" s="1031">
        <v>0</v>
      </c>
      <c r="AE59" s="1031">
        <f t="shared" si="49"/>
        <v>0</v>
      </c>
      <c r="AF59" s="1031">
        <v>0</v>
      </c>
      <c r="AG59" s="1448">
        <f t="shared" si="50"/>
        <v>0</v>
      </c>
      <c r="AH59" s="1448">
        <f t="shared" si="51"/>
        <v>0</v>
      </c>
      <c r="AI59" s="1032">
        <f t="shared" si="55"/>
        <v>0</v>
      </c>
      <c r="AJ59" s="1032">
        <f t="shared" si="56"/>
        <v>0</v>
      </c>
      <c r="AK59" s="49"/>
      <c r="AL59" s="49">
        <f t="shared" si="52"/>
        <v>0</v>
      </c>
      <c r="AM59" s="49">
        <f>-'[22]Table 5C1F-Lake Charles Charter'!AL59</f>
        <v>0</v>
      </c>
      <c r="AN59" s="49">
        <f>-'[21]Table 5C1F-Lake Charles Charter'!P59</f>
        <v>0</v>
      </c>
      <c r="AO59" s="49">
        <f t="shared" si="53"/>
        <v>0</v>
      </c>
      <c r="AP59" s="49"/>
    </row>
    <row r="60" spans="1:42">
      <c r="A60" s="975">
        <v>54</v>
      </c>
      <c r="B60" s="976" t="s">
        <v>154</v>
      </c>
      <c r="C60" s="1171">
        <f>'Table 8 2.1.12 MFP Funded'!X57</f>
        <v>0</v>
      </c>
      <c r="D60" s="984">
        <f>'Table 3 Levels 1&amp;2'!AL61</f>
        <v>6010.7753360515026</v>
      </c>
      <c r="E60" s="1074">
        <f t="shared" si="33"/>
        <v>0</v>
      </c>
      <c r="F60" s="1074">
        <f>'Table 4 Level 3'!P59</f>
        <v>951.45</v>
      </c>
      <c r="G60" s="1074">
        <f t="shared" si="34"/>
        <v>0</v>
      </c>
      <c r="H60" s="1037">
        <f t="shared" si="35"/>
        <v>0</v>
      </c>
      <c r="I60" s="1417">
        <f>'[1]Oct midyear Lake Charles Chtr'!K60</f>
        <v>0</v>
      </c>
      <c r="J60" s="1417">
        <f>'[1]Feb midyear Lake Charles Ch'!K60</f>
        <v>0</v>
      </c>
      <c r="K60" s="1417">
        <f t="shared" si="36"/>
        <v>0</v>
      </c>
      <c r="L60" s="1436">
        <f t="shared" si="37"/>
        <v>0</v>
      </c>
      <c r="M60" s="1084">
        <f t="shared" si="38"/>
        <v>0</v>
      </c>
      <c r="N60" s="1037">
        <f t="shared" si="39"/>
        <v>0</v>
      </c>
      <c r="O60" s="1037">
        <v>0</v>
      </c>
      <c r="P60" s="1037">
        <f t="shared" si="40"/>
        <v>0</v>
      </c>
      <c r="Q60" s="1037">
        <v>0</v>
      </c>
      <c r="R60" s="1037">
        <f t="shared" si="41"/>
        <v>0</v>
      </c>
      <c r="S60" s="1037">
        <f t="shared" si="42"/>
        <v>0</v>
      </c>
      <c r="T60" s="1029">
        <f>'[14]FY2012-13 Final'!K61</f>
        <v>3397</v>
      </c>
      <c r="U60" s="1031">
        <f t="shared" si="54"/>
        <v>0</v>
      </c>
      <c r="V60" s="1464">
        <f>'[20]Oct midyear Lake Charles Chtr'!E60</f>
        <v>0</v>
      </c>
      <c r="W60" s="1443">
        <f t="shared" si="43"/>
        <v>0</v>
      </c>
      <c r="X60" s="1474">
        <f>'[20]Feb midyear Lake Charles Ch'!E60</f>
        <v>0</v>
      </c>
      <c r="Y60" s="1470">
        <f t="shared" si="44"/>
        <v>0</v>
      </c>
      <c r="Z60" s="1470">
        <f t="shared" si="45"/>
        <v>0</v>
      </c>
      <c r="AA60" s="1031">
        <f t="shared" si="46"/>
        <v>0</v>
      </c>
      <c r="AB60" s="1090">
        <f t="shared" si="47"/>
        <v>0</v>
      </c>
      <c r="AC60" s="1031">
        <f t="shared" si="48"/>
        <v>0</v>
      </c>
      <c r="AD60" s="1031">
        <v>0</v>
      </c>
      <c r="AE60" s="1031">
        <f t="shared" si="49"/>
        <v>0</v>
      </c>
      <c r="AF60" s="1031">
        <v>0</v>
      </c>
      <c r="AG60" s="1448">
        <f t="shared" si="50"/>
        <v>0</v>
      </c>
      <c r="AH60" s="1448">
        <f t="shared" si="51"/>
        <v>0</v>
      </c>
      <c r="AI60" s="1032">
        <f t="shared" si="55"/>
        <v>0</v>
      </c>
      <c r="AJ60" s="1032">
        <f t="shared" si="56"/>
        <v>0</v>
      </c>
      <c r="AK60" s="49"/>
      <c r="AL60" s="49">
        <f t="shared" si="52"/>
        <v>0</v>
      </c>
      <c r="AM60" s="49">
        <f>-'[22]Table 5C1F-Lake Charles Charter'!AL60</f>
        <v>0</v>
      </c>
      <c r="AN60" s="49">
        <f>-'[21]Table 5C1F-Lake Charles Charter'!P60</f>
        <v>0</v>
      </c>
      <c r="AO60" s="49">
        <f t="shared" si="53"/>
        <v>0</v>
      </c>
      <c r="AP60" s="49"/>
    </row>
    <row r="61" spans="1:42">
      <c r="A61" s="979">
        <v>55</v>
      </c>
      <c r="B61" s="980" t="s">
        <v>155</v>
      </c>
      <c r="C61" s="1172">
        <f>'Table 8 2.1.12 MFP Funded'!X58</f>
        <v>0</v>
      </c>
      <c r="D61" s="986">
        <f>'Table 3 Levels 1&amp;2'!AL62</f>
        <v>4103.7453851303217</v>
      </c>
      <c r="E61" s="1075">
        <f t="shared" si="33"/>
        <v>0</v>
      </c>
      <c r="F61" s="1075">
        <f>'Table 4 Level 3'!P60</f>
        <v>795.14</v>
      </c>
      <c r="G61" s="1075">
        <f t="shared" si="34"/>
        <v>0</v>
      </c>
      <c r="H61" s="1038">
        <f t="shared" si="35"/>
        <v>0</v>
      </c>
      <c r="I61" s="1418">
        <f>'[1]Oct midyear Lake Charles Chtr'!K61</f>
        <v>0</v>
      </c>
      <c r="J61" s="1418">
        <f>'[1]Feb midyear Lake Charles Ch'!K61</f>
        <v>0</v>
      </c>
      <c r="K61" s="1418">
        <f t="shared" si="36"/>
        <v>0</v>
      </c>
      <c r="L61" s="1437">
        <f t="shared" si="37"/>
        <v>0</v>
      </c>
      <c r="M61" s="1085">
        <f t="shared" si="38"/>
        <v>0</v>
      </c>
      <c r="N61" s="1038">
        <f t="shared" si="39"/>
        <v>0</v>
      </c>
      <c r="O61" s="1038">
        <v>0</v>
      </c>
      <c r="P61" s="1038">
        <f t="shared" si="40"/>
        <v>0</v>
      </c>
      <c r="Q61" s="1038">
        <v>0</v>
      </c>
      <c r="R61" s="1038">
        <f t="shared" si="41"/>
        <v>0</v>
      </c>
      <c r="S61" s="1038">
        <f t="shared" si="42"/>
        <v>0</v>
      </c>
      <c r="T61" s="1034">
        <f>'[14]FY2012-13 Final'!K62</f>
        <v>3139</v>
      </c>
      <c r="U61" s="1035">
        <f t="shared" si="54"/>
        <v>0</v>
      </c>
      <c r="V61" s="1465">
        <f>'[20]Oct midyear Lake Charles Chtr'!E61</f>
        <v>0</v>
      </c>
      <c r="W61" s="1445">
        <f t="shared" si="43"/>
        <v>0</v>
      </c>
      <c r="X61" s="1475">
        <f>'[20]Feb midyear Lake Charles Ch'!E61</f>
        <v>0</v>
      </c>
      <c r="Y61" s="1471">
        <f t="shared" si="44"/>
        <v>0</v>
      </c>
      <c r="Z61" s="1471">
        <f t="shared" si="45"/>
        <v>0</v>
      </c>
      <c r="AA61" s="1035">
        <f t="shared" si="46"/>
        <v>0</v>
      </c>
      <c r="AB61" s="1091">
        <f t="shared" si="47"/>
        <v>0</v>
      </c>
      <c r="AC61" s="1035">
        <f t="shared" si="48"/>
        <v>0</v>
      </c>
      <c r="AD61" s="1035">
        <v>0</v>
      </c>
      <c r="AE61" s="1035">
        <f t="shared" si="49"/>
        <v>0</v>
      </c>
      <c r="AF61" s="1035">
        <v>0</v>
      </c>
      <c r="AG61" s="1450">
        <f t="shared" si="50"/>
        <v>0</v>
      </c>
      <c r="AH61" s="1450">
        <f t="shared" si="51"/>
        <v>0</v>
      </c>
      <c r="AI61" s="1036">
        <f t="shared" si="55"/>
        <v>0</v>
      </c>
      <c r="AJ61" s="1036">
        <f t="shared" si="56"/>
        <v>0</v>
      </c>
      <c r="AK61" s="49"/>
      <c r="AL61" s="49">
        <f t="shared" si="52"/>
        <v>0</v>
      </c>
      <c r="AM61" s="49">
        <f>-'[22]Table 5C1F-Lake Charles Charter'!AL61</f>
        <v>0</v>
      </c>
      <c r="AN61" s="49">
        <f>-'[21]Table 5C1F-Lake Charles Charter'!P61</f>
        <v>0</v>
      </c>
      <c r="AO61" s="49">
        <f t="shared" si="53"/>
        <v>0</v>
      </c>
      <c r="AP61" s="49"/>
    </row>
    <row r="62" spans="1:42">
      <c r="A62" s="968">
        <v>56</v>
      </c>
      <c r="B62" s="969" t="s">
        <v>156</v>
      </c>
      <c r="C62" s="1173">
        <f>'Table 8 2.1.12 MFP Funded'!X59</f>
        <v>0</v>
      </c>
      <c r="D62" s="988">
        <f>'Table 3 Levels 1&amp;2'!AL63</f>
        <v>5076.2407002640311</v>
      </c>
      <c r="E62" s="1076">
        <f t="shared" si="33"/>
        <v>0</v>
      </c>
      <c r="F62" s="1076">
        <f>'Table 4 Level 3'!P61</f>
        <v>614.66000000000008</v>
      </c>
      <c r="G62" s="1076">
        <f t="shared" si="34"/>
        <v>0</v>
      </c>
      <c r="H62" s="1039">
        <f t="shared" si="35"/>
        <v>0</v>
      </c>
      <c r="I62" s="1419">
        <f>'[1]Oct midyear Lake Charles Chtr'!K62</f>
        <v>0</v>
      </c>
      <c r="J62" s="1419">
        <f>'[1]Feb midyear Lake Charles Ch'!K62</f>
        <v>0</v>
      </c>
      <c r="K62" s="1419">
        <f t="shared" si="36"/>
        <v>0</v>
      </c>
      <c r="L62" s="1211">
        <f t="shared" si="37"/>
        <v>0</v>
      </c>
      <c r="M62" s="1086">
        <f t="shared" si="38"/>
        <v>0</v>
      </c>
      <c r="N62" s="1039">
        <f t="shared" si="39"/>
        <v>0</v>
      </c>
      <c r="O62" s="1039">
        <v>0</v>
      </c>
      <c r="P62" s="1039">
        <f t="shared" si="40"/>
        <v>0</v>
      </c>
      <c r="Q62" s="1039">
        <v>0</v>
      </c>
      <c r="R62" s="1039">
        <f t="shared" si="41"/>
        <v>0</v>
      </c>
      <c r="S62" s="1039">
        <f t="shared" si="42"/>
        <v>0</v>
      </c>
      <c r="T62" s="1029">
        <f>'[14]FY2012-13 Final'!K63</f>
        <v>2781</v>
      </c>
      <c r="U62" s="973">
        <f t="shared" si="54"/>
        <v>0</v>
      </c>
      <c r="V62" s="1466">
        <f>'[20]Oct midyear Lake Charles Chtr'!E62</f>
        <v>0</v>
      </c>
      <c r="W62" s="1444">
        <f t="shared" si="43"/>
        <v>0</v>
      </c>
      <c r="X62" s="1466">
        <f>'[20]Feb midyear Lake Charles Ch'!E62</f>
        <v>0</v>
      </c>
      <c r="Y62" s="1444">
        <f t="shared" si="44"/>
        <v>0</v>
      </c>
      <c r="Z62" s="1444">
        <f t="shared" si="45"/>
        <v>0</v>
      </c>
      <c r="AA62" s="973">
        <f t="shared" si="46"/>
        <v>0</v>
      </c>
      <c r="AB62" s="1089">
        <f t="shared" si="47"/>
        <v>0</v>
      </c>
      <c r="AC62" s="973">
        <f t="shared" si="48"/>
        <v>0</v>
      </c>
      <c r="AD62" s="973">
        <v>0</v>
      </c>
      <c r="AE62" s="973">
        <f t="shared" si="49"/>
        <v>0</v>
      </c>
      <c r="AF62" s="973">
        <v>0</v>
      </c>
      <c r="AG62" s="1214">
        <f t="shared" si="50"/>
        <v>0</v>
      </c>
      <c r="AH62" s="1214">
        <f t="shared" si="51"/>
        <v>0</v>
      </c>
      <c r="AI62" s="974">
        <f t="shared" si="55"/>
        <v>0</v>
      </c>
      <c r="AJ62" s="974">
        <f t="shared" si="56"/>
        <v>0</v>
      </c>
      <c r="AK62" s="49"/>
      <c r="AL62" s="49">
        <f t="shared" si="52"/>
        <v>0</v>
      </c>
      <c r="AM62" s="49">
        <f>-'[22]Table 5C1F-Lake Charles Charter'!AL62</f>
        <v>0</v>
      </c>
      <c r="AN62" s="49">
        <f>-'[21]Table 5C1F-Lake Charles Charter'!P62</f>
        <v>0</v>
      </c>
      <c r="AO62" s="49">
        <f t="shared" si="53"/>
        <v>0</v>
      </c>
      <c r="AP62" s="49"/>
    </row>
    <row r="63" spans="1:42">
      <c r="A63" s="975">
        <v>57</v>
      </c>
      <c r="B63" s="976" t="s">
        <v>157</v>
      </c>
      <c r="C63" s="1171">
        <f>'Table 8 2.1.12 MFP Funded'!X60</f>
        <v>0</v>
      </c>
      <c r="D63" s="984">
        <f>'Table 3 Levels 1&amp;2'!AL64</f>
        <v>4409.0708210621269</v>
      </c>
      <c r="E63" s="1074">
        <f t="shared" si="33"/>
        <v>0</v>
      </c>
      <c r="F63" s="1074">
        <f>'Table 4 Level 3'!P62</f>
        <v>764.51</v>
      </c>
      <c r="G63" s="1074">
        <f t="shared" si="34"/>
        <v>0</v>
      </c>
      <c r="H63" s="1037">
        <f t="shared" si="35"/>
        <v>0</v>
      </c>
      <c r="I63" s="1417">
        <f>'[1]Oct midyear Lake Charles Chtr'!K63</f>
        <v>0</v>
      </c>
      <c r="J63" s="1417">
        <f>'[1]Feb midyear Lake Charles Ch'!K63</f>
        <v>0</v>
      </c>
      <c r="K63" s="1417">
        <f t="shared" si="36"/>
        <v>0</v>
      </c>
      <c r="L63" s="1436">
        <f t="shared" si="37"/>
        <v>0</v>
      </c>
      <c r="M63" s="1084">
        <f t="shared" si="38"/>
        <v>0</v>
      </c>
      <c r="N63" s="1037">
        <f t="shared" si="39"/>
        <v>0</v>
      </c>
      <c r="O63" s="1037">
        <v>0</v>
      </c>
      <c r="P63" s="1037">
        <f t="shared" si="40"/>
        <v>0</v>
      </c>
      <c r="Q63" s="1037">
        <v>0</v>
      </c>
      <c r="R63" s="1037">
        <f t="shared" si="41"/>
        <v>0</v>
      </c>
      <c r="S63" s="1037">
        <f t="shared" si="42"/>
        <v>0</v>
      </c>
      <c r="T63" s="1029">
        <f>'[14]FY2012-13 Final'!K64</f>
        <v>2991</v>
      </c>
      <c r="U63" s="1031">
        <f t="shared" si="54"/>
        <v>0</v>
      </c>
      <c r="V63" s="1464">
        <f>'[20]Oct midyear Lake Charles Chtr'!E63</f>
        <v>0</v>
      </c>
      <c r="W63" s="1443">
        <f t="shared" si="43"/>
        <v>0</v>
      </c>
      <c r="X63" s="1474">
        <f>'[20]Feb midyear Lake Charles Ch'!E63</f>
        <v>0</v>
      </c>
      <c r="Y63" s="1470">
        <f t="shared" si="44"/>
        <v>0</v>
      </c>
      <c r="Z63" s="1470">
        <f t="shared" si="45"/>
        <v>0</v>
      </c>
      <c r="AA63" s="1031">
        <f t="shared" si="46"/>
        <v>0</v>
      </c>
      <c r="AB63" s="1090">
        <f t="shared" si="47"/>
        <v>0</v>
      </c>
      <c r="AC63" s="1031">
        <f t="shared" si="48"/>
        <v>0</v>
      </c>
      <c r="AD63" s="1031">
        <v>0</v>
      </c>
      <c r="AE63" s="1031">
        <f t="shared" si="49"/>
        <v>0</v>
      </c>
      <c r="AF63" s="1031">
        <v>0</v>
      </c>
      <c r="AG63" s="1448">
        <f t="shared" si="50"/>
        <v>0</v>
      </c>
      <c r="AH63" s="1448">
        <f t="shared" si="51"/>
        <v>0</v>
      </c>
      <c r="AI63" s="1032">
        <f t="shared" si="55"/>
        <v>0</v>
      </c>
      <c r="AJ63" s="1032">
        <f t="shared" si="56"/>
        <v>0</v>
      </c>
      <c r="AK63" s="49"/>
      <c r="AL63" s="49">
        <f t="shared" si="52"/>
        <v>0</v>
      </c>
      <c r="AM63" s="49">
        <f>-'[22]Table 5C1F-Lake Charles Charter'!AL63</f>
        <v>0</v>
      </c>
      <c r="AN63" s="49">
        <f>-'[21]Table 5C1F-Lake Charles Charter'!P63</f>
        <v>0</v>
      </c>
      <c r="AO63" s="49">
        <f t="shared" si="53"/>
        <v>0</v>
      </c>
      <c r="AP63" s="49"/>
    </row>
    <row r="64" spans="1:42">
      <c r="A64" s="975">
        <v>58</v>
      </c>
      <c r="B64" s="976" t="s">
        <v>158</v>
      </c>
      <c r="C64" s="1171">
        <f>'Table 8 2.1.12 MFP Funded'!X61</f>
        <v>0</v>
      </c>
      <c r="D64" s="984">
        <f>'Table 3 Levels 1&amp;2'!AL65</f>
        <v>5341.4512666086594</v>
      </c>
      <c r="E64" s="1074">
        <f t="shared" si="33"/>
        <v>0</v>
      </c>
      <c r="F64" s="1074">
        <f>'Table 4 Level 3'!P63</f>
        <v>697.04</v>
      </c>
      <c r="G64" s="1074">
        <f t="shared" si="34"/>
        <v>0</v>
      </c>
      <c r="H64" s="1037">
        <f t="shared" si="35"/>
        <v>0</v>
      </c>
      <c r="I64" s="1417">
        <f>'[1]Oct midyear Lake Charles Chtr'!K64</f>
        <v>0</v>
      </c>
      <c r="J64" s="1417">
        <f>'[1]Feb midyear Lake Charles Ch'!K64</f>
        <v>0</v>
      </c>
      <c r="K64" s="1417">
        <f t="shared" si="36"/>
        <v>0</v>
      </c>
      <c r="L64" s="1436">
        <f t="shared" si="37"/>
        <v>0</v>
      </c>
      <c r="M64" s="1084">
        <f t="shared" si="38"/>
        <v>0</v>
      </c>
      <c r="N64" s="1037">
        <f t="shared" si="39"/>
        <v>0</v>
      </c>
      <c r="O64" s="1037">
        <v>0</v>
      </c>
      <c r="P64" s="1037">
        <f t="shared" si="40"/>
        <v>0</v>
      </c>
      <c r="Q64" s="1037">
        <v>0</v>
      </c>
      <c r="R64" s="1037">
        <f t="shared" si="41"/>
        <v>0</v>
      </c>
      <c r="S64" s="1037">
        <f t="shared" si="42"/>
        <v>0</v>
      </c>
      <c r="T64" s="1029">
        <f>'[14]FY2012-13 Final'!K65</f>
        <v>2057</v>
      </c>
      <c r="U64" s="1031">
        <f t="shared" si="54"/>
        <v>0</v>
      </c>
      <c r="V64" s="1464">
        <f>'[20]Oct midyear Lake Charles Chtr'!E64</f>
        <v>0</v>
      </c>
      <c r="W64" s="1443">
        <f t="shared" si="43"/>
        <v>0</v>
      </c>
      <c r="X64" s="1474">
        <f>'[20]Feb midyear Lake Charles Ch'!E64</f>
        <v>0</v>
      </c>
      <c r="Y64" s="1470">
        <f t="shared" si="44"/>
        <v>0</v>
      </c>
      <c r="Z64" s="1470">
        <f t="shared" si="45"/>
        <v>0</v>
      </c>
      <c r="AA64" s="1031">
        <f t="shared" si="46"/>
        <v>0</v>
      </c>
      <c r="AB64" s="1090">
        <f t="shared" si="47"/>
        <v>0</v>
      </c>
      <c r="AC64" s="1031">
        <f t="shared" si="48"/>
        <v>0</v>
      </c>
      <c r="AD64" s="1031">
        <v>0</v>
      </c>
      <c r="AE64" s="1031">
        <f t="shared" si="49"/>
        <v>0</v>
      </c>
      <c r="AF64" s="1031">
        <v>0</v>
      </c>
      <c r="AG64" s="1448">
        <f t="shared" si="50"/>
        <v>0</v>
      </c>
      <c r="AH64" s="1448">
        <f t="shared" si="51"/>
        <v>0</v>
      </c>
      <c r="AI64" s="1032">
        <f t="shared" si="55"/>
        <v>0</v>
      </c>
      <c r="AJ64" s="1032">
        <f t="shared" si="56"/>
        <v>0</v>
      </c>
      <c r="AK64" s="49"/>
      <c r="AL64" s="49">
        <f t="shared" si="52"/>
        <v>0</v>
      </c>
      <c r="AM64" s="49">
        <f>-'[22]Table 5C1F-Lake Charles Charter'!AL64</f>
        <v>0</v>
      </c>
      <c r="AN64" s="49">
        <f>-'[21]Table 5C1F-Lake Charles Charter'!P64</f>
        <v>0</v>
      </c>
      <c r="AO64" s="49">
        <f t="shared" si="53"/>
        <v>0</v>
      </c>
      <c r="AP64" s="49"/>
    </row>
    <row r="65" spans="1:44">
      <c r="A65" s="975">
        <v>59</v>
      </c>
      <c r="B65" s="976" t="s">
        <v>159</v>
      </c>
      <c r="C65" s="1171">
        <f>'Table 8 2.1.12 MFP Funded'!X62</f>
        <v>0</v>
      </c>
      <c r="D65" s="984">
        <f>'Table 3 Levels 1&amp;2'!AL66</f>
        <v>6342.1695127641487</v>
      </c>
      <c r="E65" s="1074">
        <f t="shared" si="33"/>
        <v>0</v>
      </c>
      <c r="F65" s="1074">
        <f>'Table 4 Level 3'!P64</f>
        <v>689.52</v>
      </c>
      <c r="G65" s="1074">
        <f t="shared" si="34"/>
        <v>0</v>
      </c>
      <c r="H65" s="1037">
        <f t="shared" si="35"/>
        <v>0</v>
      </c>
      <c r="I65" s="1417">
        <f>'[1]Oct midyear Lake Charles Chtr'!K65</f>
        <v>0</v>
      </c>
      <c r="J65" s="1417">
        <f>'[1]Feb midyear Lake Charles Ch'!K65</f>
        <v>0</v>
      </c>
      <c r="K65" s="1417">
        <f t="shared" si="36"/>
        <v>0</v>
      </c>
      <c r="L65" s="1436">
        <f t="shared" si="37"/>
        <v>0</v>
      </c>
      <c r="M65" s="1084">
        <f t="shared" si="38"/>
        <v>0</v>
      </c>
      <c r="N65" s="1037">
        <f t="shared" si="39"/>
        <v>0</v>
      </c>
      <c r="O65" s="1037">
        <v>0</v>
      </c>
      <c r="P65" s="1037">
        <f t="shared" si="40"/>
        <v>0</v>
      </c>
      <c r="Q65" s="1037">
        <v>0</v>
      </c>
      <c r="R65" s="1037">
        <f t="shared" si="41"/>
        <v>0</v>
      </c>
      <c r="S65" s="1037">
        <f t="shared" si="42"/>
        <v>0</v>
      </c>
      <c r="T65" s="1029">
        <f>'[14]FY2012-13 Final'!K66</f>
        <v>1530</v>
      </c>
      <c r="U65" s="1031">
        <f t="shared" si="54"/>
        <v>0</v>
      </c>
      <c r="V65" s="1464">
        <f>'[20]Oct midyear Lake Charles Chtr'!E65</f>
        <v>0</v>
      </c>
      <c r="W65" s="1443">
        <f t="shared" si="43"/>
        <v>0</v>
      </c>
      <c r="X65" s="1474">
        <f>'[20]Feb midyear Lake Charles Ch'!E65</f>
        <v>0</v>
      </c>
      <c r="Y65" s="1470">
        <f t="shared" si="44"/>
        <v>0</v>
      </c>
      <c r="Z65" s="1470">
        <f t="shared" si="45"/>
        <v>0</v>
      </c>
      <c r="AA65" s="1031">
        <f t="shared" si="46"/>
        <v>0</v>
      </c>
      <c r="AB65" s="1090">
        <f t="shared" si="47"/>
        <v>0</v>
      </c>
      <c r="AC65" s="1031">
        <f t="shared" si="48"/>
        <v>0</v>
      </c>
      <c r="AD65" s="1031">
        <v>0</v>
      </c>
      <c r="AE65" s="1031">
        <f t="shared" si="49"/>
        <v>0</v>
      </c>
      <c r="AF65" s="1031">
        <v>0</v>
      </c>
      <c r="AG65" s="1448">
        <f t="shared" si="50"/>
        <v>0</v>
      </c>
      <c r="AH65" s="1448">
        <f t="shared" si="51"/>
        <v>0</v>
      </c>
      <c r="AI65" s="1032">
        <f t="shared" si="55"/>
        <v>0</v>
      </c>
      <c r="AJ65" s="1032">
        <f t="shared" si="56"/>
        <v>0</v>
      </c>
      <c r="AK65" s="49"/>
      <c r="AL65" s="49">
        <f t="shared" si="52"/>
        <v>0</v>
      </c>
      <c r="AM65" s="49">
        <f>-'[22]Table 5C1F-Lake Charles Charter'!AL65</f>
        <v>0</v>
      </c>
      <c r="AN65" s="49">
        <f>-'[21]Table 5C1F-Lake Charles Charter'!P65</f>
        <v>0</v>
      </c>
      <c r="AO65" s="49">
        <f t="shared" si="53"/>
        <v>0</v>
      </c>
      <c r="AP65" s="49"/>
    </row>
    <row r="66" spans="1:44">
      <c r="A66" s="979">
        <v>60</v>
      </c>
      <c r="B66" s="980" t="s">
        <v>160</v>
      </c>
      <c r="C66" s="1172">
        <f>'Table 8 2.1.12 MFP Funded'!X63</f>
        <v>0</v>
      </c>
      <c r="D66" s="986">
        <f>'Table 3 Levels 1&amp;2'!AL67</f>
        <v>4836.7830262372299</v>
      </c>
      <c r="E66" s="1075">
        <f t="shared" si="33"/>
        <v>0</v>
      </c>
      <c r="F66" s="1075">
        <f>'Table 4 Level 3'!P65</f>
        <v>594.04</v>
      </c>
      <c r="G66" s="1075">
        <f t="shared" si="34"/>
        <v>0</v>
      </c>
      <c r="H66" s="1038">
        <f t="shared" si="35"/>
        <v>0</v>
      </c>
      <c r="I66" s="1418">
        <f>'[1]Oct midyear Lake Charles Chtr'!K66</f>
        <v>0</v>
      </c>
      <c r="J66" s="1418">
        <f>'[1]Feb midyear Lake Charles Ch'!K66</f>
        <v>0</v>
      </c>
      <c r="K66" s="1418">
        <f t="shared" si="36"/>
        <v>0</v>
      </c>
      <c r="L66" s="1437">
        <f t="shared" si="37"/>
        <v>0</v>
      </c>
      <c r="M66" s="1085">
        <f t="shared" si="38"/>
        <v>0</v>
      </c>
      <c r="N66" s="1038">
        <f t="shared" si="39"/>
        <v>0</v>
      </c>
      <c r="O66" s="1038">
        <v>0</v>
      </c>
      <c r="P66" s="1038">
        <f t="shared" si="40"/>
        <v>0</v>
      </c>
      <c r="Q66" s="1038">
        <v>0</v>
      </c>
      <c r="R66" s="1038">
        <f t="shared" si="41"/>
        <v>0</v>
      </c>
      <c r="S66" s="1038">
        <f t="shared" si="42"/>
        <v>0</v>
      </c>
      <c r="T66" s="1034">
        <f>'[14]FY2012-13 Final'!K67</f>
        <v>3925</v>
      </c>
      <c r="U66" s="1035">
        <f t="shared" si="54"/>
        <v>0</v>
      </c>
      <c r="V66" s="1465">
        <f>'[20]Oct midyear Lake Charles Chtr'!E66</f>
        <v>0</v>
      </c>
      <c r="W66" s="1445">
        <f t="shared" si="43"/>
        <v>0</v>
      </c>
      <c r="X66" s="1475">
        <f>'[20]Feb midyear Lake Charles Ch'!E66</f>
        <v>0</v>
      </c>
      <c r="Y66" s="1471">
        <f t="shared" si="44"/>
        <v>0</v>
      </c>
      <c r="Z66" s="1471">
        <f t="shared" si="45"/>
        <v>0</v>
      </c>
      <c r="AA66" s="1035">
        <f t="shared" si="46"/>
        <v>0</v>
      </c>
      <c r="AB66" s="1091">
        <f t="shared" si="47"/>
        <v>0</v>
      </c>
      <c r="AC66" s="1035">
        <f t="shared" si="48"/>
        <v>0</v>
      </c>
      <c r="AD66" s="1035">
        <v>0</v>
      </c>
      <c r="AE66" s="1035">
        <f t="shared" si="49"/>
        <v>0</v>
      </c>
      <c r="AF66" s="1035">
        <v>0</v>
      </c>
      <c r="AG66" s="1450">
        <f t="shared" si="50"/>
        <v>0</v>
      </c>
      <c r="AH66" s="1450">
        <f t="shared" si="51"/>
        <v>0</v>
      </c>
      <c r="AI66" s="1036">
        <f t="shared" si="55"/>
        <v>0</v>
      </c>
      <c r="AJ66" s="1036">
        <f t="shared" si="56"/>
        <v>0</v>
      </c>
      <c r="AK66" s="49"/>
      <c r="AL66" s="49">
        <f t="shared" si="52"/>
        <v>0</v>
      </c>
      <c r="AM66" s="49">
        <f>-'[22]Table 5C1F-Lake Charles Charter'!AL66</f>
        <v>0</v>
      </c>
      <c r="AN66" s="49">
        <f>-'[21]Table 5C1F-Lake Charles Charter'!P66</f>
        <v>0</v>
      </c>
      <c r="AO66" s="49">
        <f t="shared" si="53"/>
        <v>0</v>
      </c>
      <c r="AP66" s="49"/>
    </row>
    <row r="67" spans="1:44">
      <c r="A67" s="968">
        <v>61</v>
      </c>
      <c r="B67" s="969" t="s">
        <v>161</v>
      </c>
      <c r="C67" s="1173">
        <f>'Table 8 2.1.12 MFP Funded'!X64</f>
        <v>0</v>
      </c>
      <c r="D67" s="988">
        <f>'Table 3 Levels 1&amp;2'!AL68</f>
        <v>3068.5254213785697</v>
      </c>
      <c r="E67" s="1076">
        <f t="shared" si="33"/>
        <v>0</v>
      </c>
      <c r="F67" s="1076">
        <f>'Table 4 Level 3'!P66</f>
        <v>833.70999999999992</v>
      </c>
      <c r="G67" s="1076">
        <f t="shared" si="34"/>
        <v>0</v>
      </c>
      <c r="H67" s="1039">
        <f t="shared" si="35"/>
        <v>0</v>
      </c>
      <c r="I67" s="1419">
        <f>'[1]Oct midyear Lake Charles Chtr'!K67</f>
        <v>0</v>
      </c>
      <c r="J67" s="1419">
        <f>'[1]Feb midyear Lake Charles Ch'!K67</f>
        <v>0</v>
      </c>
      <c r="K67" s="1419">
        <f t="shared" si="36"/>
        <v>0</v>
      </c>
      <c r="L67" s="1211">
        <f t="shared" si="37"/>
        <v>0</v>
      </c>
      <c r="M67" s="1086">
        <f t="shared" si="38"/>
        <v>0</v>
      </c>
      <c r="N67" s="1039">
        <f t="shared" si="39"/>
        <v>0</v>
      </c>
      <c r="O67" s="1039">
        <v>0</v>
      </c>
      <c r="P67" s="1039">
        <f t="shared" si="40"/>
        <v>0</v>
      </c>
      <c r="Q67" s="1039">
        <v>0</v>
      </c>
      <c r="R67" s="1039">
        <f t="shared" si="41"/>
        <v>0</v>
      </c>
      <c r="S67" s="1039">
        <f t="shared" si="42"/>
        <v>0</v>
      </c>
      <c r="T67" s="1029">
        <f>'[14]FY2012-13 Final'!K68</f>
        <v>6698</v>
      </c>
      <c r="U67" s="973">
        <f t="shared" si="54"/>
        <v>0</v>
      </c>
      <c r="V67" s="1466">
        <f>'[20]Oct midyear Lake Charles Chtr'!E67</f>
        <v>0</v>
      </c>
      <c r="W67" s="1444">
        <f t="shared" si="43"/>
        <v>0</v>
      </c>
      <c r="X67" s="1466">
        <f>'[20]Feb midyear Lake Charles Ch'!E67</f>
        <v>0</v>
      </c>
      <c r="Y67" s="1444">
        <f t="shared" si="44"/>
        <v>0</v>
      </c>
      <c r="Z67" s="1444">
        <f t="shared" si="45"/>
        <v>0</v>
      </c>
      <c r="AA67" s="973">
        <f t="shared" si="46"/>
        <v>0</v>
      </c>
      <c r="AB67" s="1089">
        <f t="shared" si="47"/>
        <v>0</v>
      </c>
      <c r="AC67" s="973">
        <f t="shared" si="48"/>
        <v>0</v>
      </c>
      <c r="AD67" s="973">
        <v>0</v>
      </c>
      <c r="AE67" s="973">
        <f t="shared" si="49"/>
        <v>0</v>
      </c>
      <c r="AF67" s="973">
        <v>0</v>
      </c>
      <c r="AG67" s="1214">
        <f t="shared" si="50"/>
        <v>0</v>
      </c>
      <c r="AH67" s="1214">
        <f t="shared" si="51"/>
        <v>0</v>
      </c>
      <c r="AI67" s="974">
        <f t="shared" si="55"/>
        <v>0</v>
      </c>
      <c r="AJ67" s="974">
        <f t="shared" si="56"/>
        <v>0</v>
      </c>
      <c r="AK67" s="49"/>
      <c r="AL67" s="49">
        <f t="shared" si="52"/>
        <v>0</v>
      </c>
      <c r="AM67" s="49">
        <f>-'[22]Table 5C1F-Lake Charles Charter'!AL67</f>
        <v>0</v>
      </c>
      <c r="AN67" s="49">
        <f>-'[21]Table 5C1F-Lake Charles Charter'!P67</f>
        <v>0</v>
      </c>
      <c r="AO67" s="49">
        <f t="shared" si="53"/>
        <v>0</v>
      </c>
      <c r="AP67" s="49"/>
    </row>
    <row r="68" spans="1:44">
      <c r="A68" s="975">
        <v>62</v>
      </c>
      <c r="B68" s="976" t="s">
        <v>162</v>
      </c>
      <c r="C68" s="1171">
        <f>'Table 8 2.1.12 MFP Funded'!X65</f>
        <v>0</v>
      </c>
      <c r="D68" s="984">
        <f>'Table 3 Levels 1&amp;2'!AL69</f>
        <v>5577.0282124990472</v>
      </c>
      <c r="E68" s="1074">
        <f t="shared" si="33"/>
        <v>0</v>
      </c>
      <c r="F68" s="1074">
        <f>'Table 4 Level 3'!P67</f>
        <v>516.08000000000004</v>
      </c>
      <c r="G68" s="1074">
        <f t="shared" si="34"/>
        <v>0</v>
      </c>
      <c r="H68" s="1037">
        <f t="shared" si="35"/>
        <v>0</v>
      </c>
      <c r="I68" s="1417">
        <f>'[1]Oct midyear Lake Charles Chtr'!K68</f>
        <v>0</v>
      </c>
      <c r="J68" s="1417">
        <f>'[1]Feb midyear Lake Charles Ch'!K68</f>
        <v>0</v>
      </c>
      <c r="K68" s="1417">
        <f t="shared" si="36"/>
        <v>0</v>
      </c>
      <c r="L68" s="1436">
        <f t="shared" si="37"/>
        <v>0</v>
      </c>
      <c r="M68" s="1084">
        <f t="shared" si="38"/>
        <v>0</v>
      </c>
      <c r="N68" s="1037">
        <f t="shared" si="39"/>
        <v>0</v>
      </c>
      <c r="O68" s="1037">
        <v>0</v>
      </c>
      <c r="P68" s="1037">
        <f t="shared" si="40"/>
        <v>0</v>
      </c>
      <c r="Q68" s="1037">
        <v>0</v>
      </c>
      <c r="R68" s="1037">
        <f t="shared" si="41"/>
        <v>0</v>
      </c>
      <c r="S68" s="1037">
        <f t="shared" si="42"/>
        <v>0</v>
      </c>
      <c r="T68" s="1029">
        <f>'[14]FY2012-13 Final'!K69</f>
        <v>1785</v>
      </c>
      <c r="U68" s="1031">
        <f t="shared" si="54"/>
        <v>0</v>
      </c>
      <c r="V68" s="1464">
        <f>'[20]Oct midyear Lake Charles Chtr'!E68</f>
        <v>0</v>
      </c>
      <c r="W68" s="1443">
        <f t="shared" si="43"/>
        <v>0</v>
      </c>
      <c r="X68" s="1474">
        <f>'[20]Feb midyear Lake Charles Ch'!E68</f>
        <v>0</v>
      </c>
      <c r="Y68" s="1470">
        <f t="shared" si="44"/>
        <v>0</v>
      </c>
      <c r="Z68" s="1470">
        <f t="shared" si="45"/>
        <v>0</v>
      </c>
      <c r="AA68" s="1031">
        <f t="shared" si="46"/>
        <v>0</v>
      </c>
      <c r="AB68" s="1090">
        <f t="shared" si="47"/>
        <v>0</v>
      </c>
      <c r="AC68" s="1031">
        <f t="shared" si="48"/>
        <v>0</v>
      </c>
      <c r="AD68" s="1031">
        <v>0</v>
      </c>
      <c r="AE68" s="1031">
        <f t="shared" si="49"/>
        <v>0</v>
      </c>
      <c r="AF68" s="1031">
        <v>0</v>
      </c>
      <c r="AG68" s="1448">
        <f t="shared" si="50"/>
        <v>0</v>
      </c>
      <c r="AH68" s="1448">
        <f t="shared" si="51"/>
        <v>0</v>
      </c>
      <c r="AI68" s="1032">
        <f t="shared" si="55"/>
        <v>0</v>
      </c>
      <c r="AJ68" s="1032">
        <f t="shared" si="56"/>
        <v>0</v>
      </c>
      <c r="AK68" s="49"/>
      <c r="AL68" s="49">
        <f t="shared" si="52"/>
        <v>0</v>
      </c>
      <c r="AM68" s="49">
        <f>-'[22]Table 5C1F-Lake Charles Charter'!AL68</f>
        <v>0</v>
      </c>
      <c r="AN68" s="49">
        <f>-'[21]Table 5C1F-Lake Charles Charter'!P68</f>
        <v>0</v>
      </c>
      <c r="AO68" s="49">
        <f t="shared" si="53"/>
        <v>0</v>
      </c>
      <c r="AP68" s="49"/>
    </row>
    <row r="69" spans="1:44">
      <c r="A69" s="975">
        <v>63</v>
      </c>
      <c r="B69" s="976" t="s">
        <v>163</v>
      </c>
      <c r="C69" s="1171">
        <f>'Table 8 2.1.12 MFP Funded'!X66</f>
        <v>0</v>
      </c>
      <c r="D69" s="984">
        <f>'Table 3 Levels 1&amp;2'!AL70</f>
        <v>4427.207711317601</v>
      </c>
      <c r="E69" s="1074">
        <f t="shared" si="33"/>
        <v>0</v>
      </c>
      <c r="F69" s="1074">
        <f>'Table 4 Level 3'!P68</f>
        <v>756.79</v>
      </c>
      <c r="G69" s="1074">
        <f t="shared" si="34"/>
        <v>0</v>
      </c>
      <c r="H69" s="1037">
        <f t="shared" si="35"/>
        <v>0</v>
      </c>
      <c r="I69" s="1417">
        <f>'[1]Oct midyear Lake Charles Chtr'!K69</f>
        <v>0</v>
      </c>
      <c r="J69" s="1417">
        <f>'[1]Feb midyear Lake Charles Ch'!K69</f>
        <v>0</v>
      </c>
      <c r="K69" s="1417">
        <f t="shared" si="36"/>
        <v>0</v>
      </c>
      <c r="L69" s="1436">
        <f t="shared" si="37"/>
        <v>0</v>
      </c>
      <c r="M69" s="1084">
        <f t="shared" si="38"/>
        <v>0</v>
      </c>
      <c r="N69" s="1037">
        <f t="shared" si="39"/>
        <v>0</v>
      </c>
      <c r="O69" s="1037">
        <v>0</v>
      </c>
      <c r="P69" s="1037">
        <f t="shared" si="40"/>
        <v>0</v>
      </c>
      <c r="Q69" s="1037">
        <v>0</v>
      </c>
      <c r="R69" s="1037">
        <f t="shared" si="41"/>
        <v>0</v>
      </c>
      <c r="S69" s="1037">
        <f t="shared" si="42"/>
        <v>0</v>
      </c>
      <c r="T69" s="1029">
        <f>'[14]FY2012-13 Final'!K70</f>
        <v>7190</v>
      </c>
      <c r="U69" s="1031">
        <f t="shared" si="54"/>
        <v>0</v>
      </c>
      <c r="V69" s="1464">
        <f>'[20]Oct midyear Lake Charles Chtr'!E69</f>
        <v>0</v>
      </c>
      <c r="W69" s="1443">
        <f t="shared" si="43"/>
        <v>0</v>
      </c>
      <c r="X69" s="1474">
        <f>'[20]Feb midyear Lake Charles Ch'!E69</f>
        <v>0</v>
      </c>
      <c r="Y69" s="1470">
        <f t="shared" si="44"/>
        <v>0</v>
      </c>
      <c r="Z69" s="1470">
        <f t="shared" si="45"/>
        <v>0</v>
      </c>
      <c r="AA69" s="1031">
        <f t="shared" si="46"/>
        <v>0</v>
      </c>
      <c r="AB69" s="1090">
        <f t="shared" si="47"/>
        <v>0</v>
      </c>
      <c r="AC69" s="1031">
        <f t="shared" si="48"/>
        <v>0</v>
      </c>
      <c r="AD69" s="1031">
        <v>0</v>
      </c>
      <c r="AE69" s="1031">
        <f t="shared" si="49"/>
        <v>0</v>
      </c>
      <c r="AF69" s="1031">
        <v>0</v>
      </c>
      <c r="AG69" s="1448">
        <f t="shared" si="50"/>
        <v>0</v>
      </c>
      <c r="AH69" s="1448">
        <f t="shared" si="51"/>
        <v>0</v>
      </c>
      <c r="AI69" s="1032">
        <f t="shared" si="55"/>
        <v>0</v>
      </c>
      <c r="AJ69" s="1032">
        <f t="shared" si="56"/>
        <v>0</v>
      </c>
      <c r="AK69" s="49"/>
      <c r="AL69" s="49">
        <f t="shared" si="52"/>
        <v>0</v>
      </c>
      <c r="AM69" s="49">
        <f>-'[22]Table 5C1F-Lake Charles Charter'!AL69</f>
        <v>0</v>
      </c>
      <c r="AN69" s="49">
        <f>-'[21]Table 5C1F-Lake Charles Charter'!P69</f>
        <v>0</v>
      </c>
      <c r="AO69" s="49">
        <f t="shared" si="53"/>
        <v>0</v>
      </c>
      <c r="AP69" s="49"/>
    </row>
    <row r="70" spans="1:44">
      <c r="A70" s="975">
        <v>64</v>
      </c>
      <c r="B70" s="976" t="s">
        <v>164</v>
      </c>
      <c r="C70" s="1171">
        <f>'Table 8 2.1.12 MFP Funded'!X67</f>
        <v>0</v>
      </c>
      <c r="D70" s="984">
        <f>'Table 3 Levels 1&amp;2'!AL71</f>
        <v>5888.4725850181812</v>
      </c>
      <c r="E70" s="1074">
        <f t="shared" si="33"/>
        <v>0</v>
      </c>
      <c r="F70" s="1074">
        <f>'Table 4 Level 3'!P69</f>
        <v>592.66</v>
      </c>
      <c r="G70" s="1074">
        <f t="shared" si="34"/>
        <v>0</v>
      </c>
      <c r="H70" s="1037">
        <f t="shared" si="35"/>
        <v>0</v>
      </c>
      <c r="I70" s="1417">
        <f>'[1]Oct midyear Lake Charles Chtr'!K70</f>
        <v>0</v>
      </c>
      <c r="J70" s="1417">
        <f>'[1]Feb midyear Lake Charles Ch'!K70</f>
        <v>0</v>
      </c>
      <c r="K70" s="1417">
        <f t="shared" si="36"/>
        <v>0</v>
      </c>
      <c r="L70" s="1436">
        <f t="shared" si="37"/>
        <v>0</v>
      </c>
      <c r="M70" s="1084">
        <f t="shared" si="38"/>
        <v>0</v>
      </c>
      <c r="N70" s="1037">
        <f t="shared" si="39"/>
        <v>0</v>
      </c>
      <c r="O70" s="1037">
        <v>0</v>
      </c>
      <c r="P70" s="1037">
        <f t="shared" si="40"/>
        <v>0</v>
      </c>
      <c r="Q70" s="1037">
        <v>0</v>
      </c>
      <c r="R70" s="1037">
        <f t="shared" si="41"/>
        <v>0</v>
      </c>
      <c r="S70" s="1037">
        <f t="shared" si="42"/>
        <v>0</v>
      </c>
      <c r="T70" s="1029">
        <f>'[14]FY2012-13 Final'!K71</f>
        <v>2702</v>
      </c>
      <c r="U70" s="1031">
        <f t="shared" si="54"/>
        <v>0</v>
      </c>
      <c r="V70" s="1464">
        <f>'[20]Oct midyear Lake Charles Chtr'!E70</f>
        <v>0</v>
      </c>
      <c r="W70" s="1443">
        <f t="shared" si="43"/>
        <v>0</v>
      </c>
      <c r="X70" s="1474">
        <f>'[20]Feb midyear Lake Charles Ch'!E70</f>
        <v>0</v>
      </c>
      <c r="Y70" s="1470">
        <f t="shared" si="44"/>
        <v>0</v>
      </c>
      <c r="Z70" s="1470">
        <f t="shared" si="45"/>
        <v>0</v>
      </c>
      <c r="AA70" s="1031">
        <f t="shared" si="46"/>
        <v>0</v>
      </c>
      <c r="AB70" s="1090">
        <f t="shared" si="47"/>
        <v>0</v>
      </c>
      <c r="AC70" s="1031">
        <f t="shared" si="48"/>
        <v>0</v>
      </c>
      <c r="AD70" s="1031">
        <v>0</v>
      </c>
      <c r="AE70" s="1031">
        <f t="shared" si="49"/>
        <v>0</v>
      </c>
      <c r="AF70" s="1031">
        <v>0</v>
      </c>
      <c r="AG70" s="1448">
        <f t="shared" si="50"/>
        <v>0</v>
      </c>
      <c r="AH70" s="1448">
        <f t="shared" si="51"/>
        <v>0</v>
      </c>
      <c r="AI70" s="1032">
        <f t="shared" si="55"/>
        <v>0</v>
      </c>
      <c r="AJ70" s="1032">
        <f t="shared" si="56"/>
        <v>0</v>
      </c>
      <c r="AK70" s="49"/>
      <c r="AL70" s="49">
        <f t="shared" si="52"/>
        <v>0</v>
      </c>
      <c r="AM70" s="49">
        <f>-'[22]Table 5C1F-Lake Charles Charter'!AL70</f>
        <v>0</v>
      </c>
      <c r="AN70" s="49">
        <f>-'[21]Table 5C1F-Lake Charles Charter'!P70</f>
        <v>0</v>
      </c>
      <c r="AO70" s="49">
        <f t="shared" si="53"/>
        <v>0</v>
      </c>
      <c r="AP70" s="49"/>
    </row>
    <row r="71" spans="1:44">
      <c r="A71" s="979">
        <v>65</v>
      </c>
      <c r="B71" s="980" t="s">
        <v>165</v>
      </c>
      <c r="C71" s="1172">
        <f>'Table 8 2.1.12 MFP Funded'!X68</f>
        <v>0</v>
      </c>
      <c r="D71" s="986">
        <f>'Table 3 Levels 1&amp;2'!AL72</f>
        <v>4583.9609010774066</v>
      </c>
      <c r="E71" s="1075">
        <f t="shared" si="33"/>
        <v>0</v>
      </c>
      <c r="F71" s="1075">
        <f>'Table 4 Level 3'!P70</f>
        <v>829.12</v>
      </c>
      <c r="G71" s="1075">
        <f t="shared" si="34"/>
        <v>0</v>
      </c>
      <c r="H71" s="1038">
        <f t="shared" si="35"/>
        <v>0</v>
      </c>
      <c r="I71" s="1418">
        <f>'[1]Oct midyear Lake Charles Chtr'!K71</f>
        <v>0</v>
      </c>
      <c r="J71" s="1418">
        <f>'[1]Feb midyear Lake Charles Ch'!K71</f>
        <v>0</v>
      </c>
      <c r="K71" s="1418">
        <f t="shared" si="36"/>
        <v>0</v>
      </c>
      <c r="L71" s="1437">
        <f t="shared" si="37"/>
        <v>0</v>
      </c>
      <c r="M71" s="1085">
        <f t="shared" si="38"/>
        <v>0</v>
      </c>
      <c r="N71" s="1038">
        <f t="shared" si="39"/>
        <v>0</v>
      </c>
      <c r="O71" s="1038">
        <v>0</v>
      </c>
      <c r="P71" s="1038">
        <f t="shared" si="40"/>
        <v>0</v>
      </c>
      <c r="Q71" s="1038">
        <v>0</v>
      </c>
      <c r="R71" s="1038">
        <f t="shared" si="41"/>
        <v>0</v>
      </c>
      <c r="S71" s="1038">
        <f t="shared" si="42"/>
        <v>0</v>
      </c>
      <c r="T71" s="1034">
        <f>'[14]FY2012-13 Final'!K72</f>
        <v>4936</v>
      </c>
      <c r="U71" s="1035">
        <f t="shared" ref="U71:U75" si="57">C71*T71</f>
        <v>0</v>
      </c>
      <c r="V71" s="1465">
        <f>'[20]Oct midyear Lake Charles Chtr'!E71</f>
        <v>0</v>
      </c>
      <c r="W71" s="1445">
        <f t="shared" si="43"/>
        <v>0</v>
      </c>
      <c r="X71" s="1475">
        <f>'[20]Feb midyear Lake Charles Ch'!E71</f>
        <v>0</v>
      </c>
      <c r="Y71" s="1471">
        <f t="shared" si="44"/>
        <v>0</v>
      </c>
      <c r="Z71" s="1471">
        <f t="shared" si="45"/>
        <v>0</v>
      </c>
      <c r="AA71" s="1035">
        <f t="shared" si="46"/>
        <v>0</v>
      </c>
      <c r="AB71" s="1091">
        <f t="shared" si="47"/>
        <v>0</v>
      </c>
      <c r="AC71" s="1035">
        <f t="shared" si="48"/>
        <v>0</v>
      </c>
      <c r="AD71" s="1035">
        <v>0</v>
      </c>
      <c r="AE71" s="1035">
        <f t="shared" si="49"/>
        <v>0</v>
      </c>
      <c r="AF71" s="1035">
        <v>0</v>
      </c>
      <c r="AG71" s="1450">
        <f t="shared" si="50"/>
        <v>0</v>
      </c>
      <c r="AH71" s="1450">
        <f t="shared" si="51"/>
        <v>0</v>
      </c>
      <c r="AI71" s="1036">
        <f t="shared" si="55"/>
        <v>0</v>
      </c>
      <c r="AJ71" s="1036">
        <f t="shared" si="56"/>
        <v>0</v>
      </c>
      <c r="AK71" s="49"/>
      <c r="AL71" s="49">
        <f t="shared" si="52"/>
        <v>0</v>
      </c>
      <c r="AM71" s="49">
        <f>-'[22]Table 5C1F-Lake Charles Charter'!AL71</f>
        <v>0</v>
      </c>
      <c r="AN71" s="49">
        <f>-'[21]Table 5C1F-Lake Charles Charter'!P71</f>
        <v>0</v>
      </c>
      <c r="AO71" s="49">
        <f t="shared" si="53"/>
        <v>0</v>
      </c>
      <c r="AP71" s="49"/>
    </row>
    <row r="72" spans="1:44">
      <c r="A72" s="968">
        <v>66</v>
      </c>
      <c r="B72" s="969" t="s">
        <v>166</v>
      </c>
      <c r="C72" s="1173">
        <f>'Table 8 2.1.12 MFP Funded'!X69</f>
        <v>0</v>
      </c>
      <c r="D72" s="988">
        <f>'Table 3 Levels 1&amp;2'!AL73</f>
        <v>6262.4784859426345</v>
      </c>
      <c r="E72" s="1076">
        <f t="shared" ref="E72:E75" si="58">C72*D72</f>
        <v>0</v>
      </c>
      <c r="F72" s="1076">
        <f>'Table 4 Level 3'!P71</f>
        <v>730.06</v>
      </c>
      <c r="G72" s="1076">
        <f t="shared" ref="G72:G75" si="59">C72*F72</f>
        <v>0</v>
      </c>
      <c r="H72" s="1039">
        <f t="shared" ref="H72:H75" si="60">E72+G72</f>
        <v>0</v>
      </c>
      <c r="I72" s="1419">
        <f>'[1]Oct midyear Lake Charles Chtr'!K72</f>
        <v>0</v>
      </c>
      <c r="J72" s="1419">
        <f>'[1]Feb midyear Lake Charles Ch'!K72</f>
        <v>0</v>
      </c>
      <c r="K72" s="1419">
        <f t="shared" ref="K72:K76" si="61">I72+J72</f>
        <v>0</v>
      </c>
      <c r="L72" s="1211">
        <f t="shared" ref="L72:L76" si="62">H72+K72</f>
        <v>0</v>
      </c>
      <c r="M72" s="1086">
        <f t="shared" ref="M72:M76" si="63">-(0.25%*L72)</f>
        <v>0</v>
      </c>
      <c r="N72" s="1039">
        <f t="shared" ref="N72:N76" si="64">SUM(L72:M72)</f>
        <v>0</v>
      </c>
      <c r="O72" s="1039">
        <v>0</v>
      </c>
      <c r="P72" s="1039">
        <f t="shared" ref="P72:P75" si="65">SUM(N72:O72)</f>
        <v>0</v>
      </c>
      <c r="Q72" s="1039">
        <v>0</v>
      </c>
      <c r="R72" s="1039">
        <f t="shared" ref="R72:R75" si="66">P72-Q72</f>
        <v>0</v>
      </c>
      <c r="S72" s="1039">
        <f t="shared" ref="S72:S75" si="67">R72/2</f>
        <v>0</v>
      </c>
      <c r="T72" s="1029">
        <f>'[14]FY2012-13 Final'!K73</f>
        <v>3528</v>
      </c>
      <c r="U72" s="973">
        <f t="shared" si="57"/>
        <v>0</v>
      </c>
      <c r="V72" s="1466">
        <f>'[20]Oct midyear Lake Charles Chtr'!E72</f>
        <v>0</v>
      </c>
      <c r="W72" s="1444">
        <f t="shared" ref="W72:W75" si="68">V72*T72</f>
        <v>0</v>
      </c>
      <c r="X72" s="1466">
        <f>'[20]Feb midyear Lake Charles Ch'!E72</f>
        <v>0</v>
      </c>
      <c r="Y72" s="1444">
        <f t="shared" ref="Y72:Y75" si="69">X72*(T72*0.5)</f>
        <v>0</v>
      </c>
      <c r="Z72" s="1444">
        <f t="shared" ref="Z72:Z75" si="70">W72+Y72</f>
        <v>0</v>
      </c>
      <c r="AA72" s="973">
        <f t="shared" ref="AA72:AA75" si="71">U72+Z72</f>
        <v>0</v>
      </c>
      <c r="AB72" s="1089">
        <f t="shared" ref="AB72:AB75" si="72">-(0.25%*AA72)</f>
        <v>0</v>
      </c>
      <c r="AC72" s="973">
        <f t="shared" ref="AC72:AC75" si="73">SUM(AA72:AB72)</f>
        <v>0</v>
      </c>
      <c r="AD72" s="973">
        <v>0</v>
      </c>
      <c r="AE72" s="973">
        <f t="shared" ref="AE72:AE75" si="74">SUM(AC72:AD72)</f>
        <v>0</v>
      </c>
      <c r="AF72" s="973">
        <v>0</v>
      </c>
      <c r="AG72" s="1214">
        <f t="shared" ref="AG72:AG75" si="75">AE72-AF72</f>
        <v>0</v>
      </c>
      <c r="AH72" s="1214">
        <f t="shared" ref="AH72:AH75" si="76">AG72/2</f>
        <v>0</v>
      </c>
      <c r="AI72" s="974">
        <f t="shared" si="55"/>
        <v>0</v>
      </c>
      <c r="AJ72" s="974">
        <f t="shared" si="56"/>
        <v>0</v>
      </c>
      <c r="AK72" s="49"/>
      <c r="AL72" s="49">
        <f t="shared" ref="AL72:AL75" si="77">AB72</f>
        <v>0</v>
      </c>
      <c r="AM72" s="49">
        <f>-'[22]Table 5C1F-Lake Charles Charter'!AL72</f>
        <v>0</v>
      </c>
      <c r="AN72" s="49">
        <f>-'[21]Table 5C1F-Lake Charles Charter'!P72</f>
        <v>0</v>
      </c>
      <c r="AO72" s="49">
        <f t="shared" ref="AO72:AO75" si="78">SUM(AL72:AM72)</f>
        <v>0</v>
      </c>
      <c r="AP72" s="49"/>
    </row>
    <row r="73" spans="1:44">
      <c r="A73" s="975">
        <v>67</v>
      </c>
      <c r="B73" s="976" t="s">
        <v>33</v>
      </c>
      <c r="C73" s="1171">
        <f>'Table 8 2.1.12 MFP Funded'!X70</f>
        <v>0</v>
      </c>
      <c r="D73" s="984">
        <f>'Table 3 Levels 1&amp;2'!AL74</f>
        <v>5059.3528695821524</v>
      </c>
      <c r="E73" s="1074">
        <f t="shared" si="58"/>
        <v>0</v>
      </c>
      <c r="F73" s="1074">
        <f>'Table 4 Level 3'!P72</f>
        <v>715.61</v>
      </c>
      <c r="G73" s="1074">
        <f t="shared" si="59"/>
        <v>0</v>
      </c>
      <c r="H73" s="1037">
        <f t="shared" si="60"/>
        <v>0</v>
      </c>
      <c r="I73" s="1417">
        <f>'[1]Oct midyear Lake Charles Chtr'!K73</f>
        <v>0</v>
      </c>
      <c r="J73" s="1417">
        <f>'[1]Feb midyear Lake Charles Ch'!K73</f>
        <v>0</v>
      </c>
      <c r="K73" s="1417">
        <f t="shared" si="61"/>
        <v>0</v>
      </c>
      <c r="L73" s="1436">
        <f t="shared" si="62"/>
        <v>0</v>
      </c>
      <c r="M73" s="1084">
        <f t="shared" si="63"/>
        <v>0</v>
      </c>
      <c r="N73" s="1037">
        <f t="shared" si="64"/>
        <v>0</v>
      </c>
      <c r="O73" s="1037">
        <v>0</v>
      </c>
      <c r="P73" s="1037">
        <f t="shared" si="65"/>
        <v>0</v>
      </c>
      <c r="Q73" s="1037">
        <v>0</v>
      </c>
      <c r="R73" s="1037">
        <f t="shared" si="66"/>
        <v>0</v>
      </c>
      <c r="S73" s="1037">
        <f t="shared" si="67"/>
        <v>0</v>
      </c>
      <c r="T73" s="1029">
        <f>'[14]FY2012-13 Final'!K74</f>
        <v>5055</v>
      </c>
      <c r="U73" s="1031">
        <f t="shared" si="57"/>
        <v>0</v>
      </c>
      <c r="V73" s="1464">
        <f>'[20]Oct midyear Lake Charles Chtr'!E73</f>
        <v>0</v>
      </c>
      <c r="W73" s="1443">
        <f t="shared" si="68"/>
        <v>0</v>
      </c>
      <c r="X73" s="1474">
        <f>'[20]Feb midyear Lake Charles Ch'!E73</f>
        <v>0</v>
      </c>
      <c r="Y73" s="1470">
        <f t="shared" si="69"/>
        <v>0</v>
      </c>
      <c r="Z73" s="1470">
        <f t="shared" si="70"/>
        <v>0</v>
      </c>
      <c r="AA73" s="1031">
        <f t="shared" si="71"/>
        <v>0</v>
      </c>
      <c r="AB73" s="1090">
        <f t="shared" si="72"/>
        <v>0</v>
      </c>
      <c r="AC73" s="1031">
        <f t="shared" si="73"/>
        <v>0</v>
      </c>
      <c r="AD73" s="1031">
        <v>0</v>
      </c>
      <c r="AE73" s="1031">
        <f t="shared" si="74"/>
        <v>0</v>
      </c>
      <c r="AF73" s="1031">
        <v>0</v>
      </c>
      <c r="AG73" s="1448">
        <f t="shared" si="75"/>
        <v>0</v>
      </c>
      <c r="AH73" s="1448">
        <f t="shared" si="76"/>
        <v>0</v>
      </c>
      <c r="AI73" s="1032">
        <f t="shared" si="55"/>
        <v>0</v>
      </c>
      <c r="AJ73" s="1032">
        <f t="shared" si="56"/>
        <v>0</v>
      </c>
      <c r="AK73" s="49"/>
      <c r="AL73" s="49">
        <f t="shared" si="77"/>
        <v>0</v>
      </c>
      <c r="AM73" s="49">
        <f>-'[22]Table 5C1F-Lake Charles Charter'!AL73</f>
        <v>0</v>
      </c>
      <c r="AN73" s="49">
        <f>-'[21]Table 5C1F-Lake Charles Charter'!P73</f>
        <v>0</v>
      </c>
      <c r="AO73" s="49">
        <f t="shared" si="78"/>
        <v>0</v>
      </c>
      <c r="AP73" s="49"/>
    </row>
    <row r="74" spans="1:44">
      <c r="A74" s="975">
        <v>68</v>
      </c>
      <c r="B74" s="976" t="s">
        <v>31</v>
      </c>
      <c r="C74" s="1171">
        <f>'Table 8 2.1.12 MFP Funded'!X71</f>
        <v>0</v>
      </c>
      <c r="D74" s="984">
        <f>'Table 3 Levels 1&amp;2'!AL75</f>
        <v>5863.2815891318614</v>
      </c>
      <c r="E74" s="1074">
        <f t="shared" si="58"/>
        <v>0</v>
      </c>
      <c r="F74" s="1074">
        <f>'Table 4 Level 3'!P73</f>
        <v>798.7</v>
      </c>
      <c r="G74" s="1074">
        <f t="shared" si="59"/>
        <v>0</v>
      </c>
      <c r="H74" s="1037">
        <f t="shared" si="60"/>
        <v>0</v>
      </c>
      <c r="I74" s="1417">
        <f>'[1]Oct midyear Lake Charles Chtr'!K74</f>
        <v>0</v>
      </c>
      <c r="J74" s="1417">
        <f>'[1]Feb midyear Lake Charles Ch'!K74</f>
        <v>0</v>
      </c>
      <c r="K74" s="1417">
        <f t="shared" si="61"/>
        <v>0</v>
      </c>
      <c r="L74" s="1436">
        <f t="shared" si="62"/>
        <v>0</v>
      </c>
      <c r="M74" s="1084">
        <f t="shared" si="63"/>
        <v>0</v>
      </c>
      <c r="N74" s="1037">
        <f t="shared" si="64"/>
        <v>0</v>
      </c>
      <c r="O74" s="1037">
        <v>0</v>
      </c>
      <c r="P74" s="1037">
        <f t="shared" si="65"/>
        <v>0</v>
      </c>
      <c r="Q74" s="1037">
        <v>0</v>
      </c>
      <c r="R74" s="1037">
        <f t="shared" si="66"/>
        <v>0</v>
      </c>
      <c r="S74" s="1037">
        <f t="shared" si="67"/>
        <v>0</v>
      </c>
      <c r="T74" s="1029">
        <f>'[14]FY2012-13 Final'!K75</f>
        <v>2809</v>
      </c>
      <c r="U74" s="1031">
        <f t="shared" si="57"/>
        <v>0</v>
      </c>
      <c r="V74" s="1464">
        <f>'[20]Oct midyear Lake Charles Chtr'!E74</f>
        <v>0</v>
      </c>
      <c r="W74" s="1443">
        <f t="shared" si="68"/>
        <v>0</v>
      </c>
      <c r="X74" s="1474">
        <f>'[20]Feb midyear Lake Charles Ch'!E74</f>
        <v>0</v>
      </c>
      <c r="Y74" s="1470">
        <f t="shared" si="69"/>
        <v>0</v>
      </c>
      <c r="Z74" s="1470">
        <f t="shared" si="70"/>
        <v>0</v>
      </c>
      <c r="AA74" s="1031">
        <f t="shared" si="71"/>
        <v>0</v>
      </c>
      <c r="AB74" s="1090">
        <f t="shared" si="72"/>
        <v>0</v>
      </c>
      <c r="AC74" s="1031">
        <f t="shared" si="73"/>
        <v>0</v>
      </c>
      <c r="AD74" s="1031">
        <v>0</v>
      </c>
      <c r="AE74" s="1031">
        <f t="shared" si="74"/>
        <v>0</v>
      </c>
      <c r="AF74" s="1031">
        <v>0</v>
      </c>
      <c r="AG74" s="1448">
        <f t="shared" si="75"/>
        <v>0</v>
      </c>
      <c r="AH74" s="1448">
        <f t="shared" si="76"/>
        <v>0</v>
      </c>
      <c r="AI74" s="1032">
        <f t="shared" si="55"/>
        <v>0</v>
      </c>
      <c r="AJ74" s="1032">
        <f t="shared" si="56"/>
        <v>0</v>
      </c>
      <c r="AK74" s="49"/>
      <c r="AL74" s="49">
        <f t="shared" si="77"/>
        <v>0</v>
      </c>
      <c r="AM74" s="49">
        <f>-'[22]Table 5C1F-Lake Charles Charter'!AL74</f>
        <v>0</v>
      </c>
      <c r="AN74" s="49">
        <f>-'[21]Table 5C1F-Lake Charles Charter'!P74</f>
        <v>0</v>
      </c>
      <c r="AO74" s="49">
        <f t="shared" si="78"/>
        <v>0</v>
      </c>
      <c r="AP74" s="49"/>
    </row>
    <row r="75" spans="1:44">
      <c r="A75" s="989">
        <v>69</v>
      </c>
      <c r="B75" s="990" t="s">
        <v>229</v>
      </c>
      <c r="C75" s="1174">
        <f>'Table 8 2.1.12 MFP Funded'!X72</f>
        <v>0</v>
      </c>
      <c r="D75" s="992">
        <f>'Table 3 Levels 1&amp;2'!AL76</f>
        <v>5520.7940729790862</v>
      </c>
      <c r="E75" s="1077">
        <f t="shared" si="58"/>
        <v>0</v>
      </c>
      <c r="F75" s="1077">
        <f>'Table 4 Level 3'!P74</f>
        <v>705.67</v>
      </c>
      <c r="G75" s="1077">
        <f t="shared" si="59"/>
        <v>0</v>
      </c>
      <c r="H75" s="1040">
        <f t="shared" si="60"/>
        <v>0</v>
      </c>
      <c r="I75" s="1420">
        <f>'[1]Oct midyear Lake Charles Chtr'!K75</f>
        <v>0</v>
      </c>
      <c r="J75" s="1420">
        <f>'[1]Feb midyear Lake Charles Ch'!K75</f>
        <v>0</v>
      </c>
      <c r="K75" s="1420">
        <f t="shared" si="61"/>
        <v>0</v>
      </c>
      <c r="L75" s="1438">
        <f t="shared" si="62"/>
        <v>0</v>
      </c>
      <c r="M75" s="1087">
        <f t="shared" si="63"/>
        <v>0</v>
      </c>
      <c r="N75" s="1040">
        <f t="shared" si="64"/>
        <v>0</v>
      </c>
      <c r="O75" s="1040">
        <v>0</v>
      </c>
      <c r="P75" s="1040">
        <f t="shared" si="65"/>
        <v>0</v>
      </c>
      <c r="Q75" s="1040">
        <v>0</v>
      </c>
      <c r="R75" s="1040">
        <f t="shared" si="66"/>
        <v>0</v>
      </c>
      <c r="S75" s="1040">
        <f t="shared" si="67"/>
        <v>0</v>
      </c>
      <c r="T75" s="1029">
        <f>'[14]FY2012-13 Final'!K76</f>
        <v>3329</v>
      </c>
      <c r="U75" s="1041">
        <f t="shared" si="57"/>
        <v>0</v>
      </c>
      <c r="V75" s="1467">
        <f>'[20]Oct midyear Lake Charles Chtr'!E75</f>
        <v>0</v>
      </c>
      <c r="W75" s="1446">
        <f t="shared" si="68"/>
        <v>0</v>
      </c>
      <c r="X75" s="1476">
        <f>'[20]Feb midyear Lake Charles Ch'!E75</f>
        <v>0</v>
      </c>
      <c r="Y75" s="1472">
        <f t="shared" si="69"/>
        <v>0</v>
      </c>
      <c r="Z75" s="1472">
        <f t="shared" si="70"/>
        <v>0</v>
      </c>
      <c r="AA75" s="1041">
        <f t="shared" si="71"/>
        <v>0</v>
      </c>
      <c r="AB75" s="1092">
        <f t="shared" si="72"/>
        <v>0</v>
      </c>
      <c r="AC75" s="1041">
        <f t="shared" si="73"/>
        <v>0</v>
      </c>
      <c r="AD75" s="1041">
        <v>0</v>
      </c>
      <c r="AE75" s="1041">
        <f t="shared" si="74"/>
        <v>0</v>
      </c>
      <c r="AF75" s="1041">
        <v>0</v>
      </c>
      <c r="AG75" s="1041">
        <f t="shared" si="75"/>
        <v>0</v>
      </c>
      <c r="AH75" s="1041">
        <f t="shared" si="76"/>
        <v>0</v>
      </c>
      <c r="AI75" s="1042">
        <f t="shared" si="55"/>
        <v>0</v>
      </c>
      <c r="AJ75" s="1042">
        <f t="shared" si="56"/>
        <v>0</v>
      </c>
      <c r="AK75" s="49"/>
      <c r="AL75" s="49">
        <f t="shared" si="77"/>
        <v>0</v>
      </c>
      <c r="AM75" s="49">
        <f>-'[22]Table 5C1F-Lake Charles Charter'!AL75</f>
        <v>0</v>
      </c>
      <c r="AN75" s="49">
        <f>-'[21]Table 5C1F-Lake Charles Charter'!P75</f>
        <v>0</v>
      </c>
      <c r="AO75" s="49">
        <f t="shared" si="78"/>
        <v>0</v>
      </c>
      <c r="AP75" s="49"/>
    </row>
    <row r="76" spans="1:44" ht="13.5" thickBot="1">
      <c r="A76" s="993"/>
      <c r="B76" s="994" t="s">
        <v>167</v>
      </c>
      <c r="C76" s="995">
        <f>SUM(C7:C75)</f>
        <v>640</v>
      </c>
      <c r="D76" s="996">
        <f>'Table 3 Levels 1&amp;2'!AL77</f>
        <v>4336.5032257801222</v>
      </c>
      <c r="E76" s="1078">
        <f>SUM(E7:E75)</f>
        <v>2770293.5643767011</v>
      </c>
      <c r="F76" s="1078">
        <f>'Table 4 Level 3'!P75</f>
        <v>703.90028204588873</v>
      </c>
      <c r="G76" s="1078">
        <f t="shared" ref="G76:R76" si="79">SUM(G7:G75)</f>
        <v>389622.4</v>
      </c>
      <c r="H76" s="997">
        <f t="shared" si="79"/>
        <v>3159915.9643767006</v>
      </c>
      <c r="I76" s="1421">
        <f t="shared" si="79"/>
        <v>674237.85302287003</v>
      </c>
      <c r="J76" s="1421">
        <f t="shared" ref="J76" si="80">SUM(J7:J75)</f>
        <v>-56674.510154363838</v>
      </c>
      <c r="K76" s="1421">
        <f t="shared" si="61"/>
        <v>617563.34286850621</v>
      </c>
      <c r="L76" s="1212">
        <f t="shared" si="62"/>
        <v>3777479.307245207</v>
      </c>
      <c r="M76" s="1088">
        <f t="shared" si="63"/>
        <v>-9443.6982681130175</v>
      </c>
      <c r="N76" s="997">
        <f t="shared" si="64"/>
        <v>3768035.6089770938</v>
      </c>
      <c r="O76" s="997">
        <f t="shared" si="79"/>
        <v>0</v>
      </c>
      <c r="P76" s="997">
        <f t="shared" si="79"/>
        <v>3768035.6089770938</v>
      </c>
      <c r="Q76" s="997">
        <f t="shared" si="79"/>
        <v>2922722</v>
      </c>
      <c r="R76" s="997">
        <f t="shared" si="79"/>
        <v>845313.60897709383</v>
      </c>
      <c r="S76" s="997">
        <f>SUM(S7:S75)</f>
        <v>422656.80448854691</v>
      </c>
      <c r="T76" s="1043"/>
      <c r="U76" s="998">
        <f t="shared" ref="U76:AJ76" si="81">SUM(U7:U75)</f>
        <v>2807846</v>
      </c>
      <c r="V76" s="1357">
        <f>SUM(V7:V75)</f>
        <v>138</v>
      </c>
      <c r="W76" s="1352">
        <f t="shared" ref="W76:AA76" si="82">SUM(W7:W75)</f>
        <v>611464</v>
      </c>
      <c r="X76" s="1484">
        <f>SUM(X7:X75)</f>
        <v>-23</v>
      </c>
      <c r="Y76" s="1486">
        <f>SUM(Y7:Y75)</f>
        <v>-50542.5</v>
      </c>
      <c r="Z76" s="1486">
        <f>SUM(Z7:Z75)</f>
        <v>560921.5</v>
      </c>
      <c r="AA76" s="1352">
        <f t="shared" si="82"/>
        <v>3368767.5</v>
      </c>
      <c r="AB76" s="1093">
        <f t="shared" si="81"/>
        <v>-8421.9187500000007</v>
      </c>
      <c r="AC76" s="998">
        <f t="shared" si="81"/>
        <v>3360345.5812499998</v>
      </c>
      <c r="AD76" s="998">
        <f t="shared" si="81"/>
        <v>0</v>
      </c>
      <c r="AE76" s="998">
        <f t="shared" si="81"/>
        <v>3360345.5812499998</v>
      </c>
      <c r="AF76" s="998">
        <f t="shared" si="81"/>
        <v>2594664</v>
      </c>
      <c r="AG76" s="998">
        <f t="shared" si="81"/>
        <v>765681.58124999981</v>
      </c>
      <c r="AH76" s="998">
        <f t="shared" si="81"/>
        <v>382840.79062499991</v>
      </c>
      <c r="AI76" s="999">
        <f t="shared" si="81"/>
        <v>7128381.1902270932</v>
      </c>
      <c r="AJ76" s="999">
        <f t="shared" si="81"/>
        <v>805497.59511354682</v>
      </c>
      <c r="AK76" s="49"/>
      <c r="AL76" s="49">
        <f>SUM(AL7:AL75)</f>
        <v>-8421.9187500000007</v>
      </c>
      <c r="AM76" s="49">
        <f>SUM(AM7:AM75)</f>
        <v>8414.2537499999999</v>
      </c>
      <c r="AN76" s="49">
        <f t="shared" ref="AN76:AO76" si="83">SUM(AN7:AN75)</f>
        <v>6887.3774999999996</v>
      </c>
      <c r="AO76" s="49">
        <f t="shared" si="83"/>
        <v>-7.6650000000008731</v>
      </c>
      <c r="AP76" s="49"/>
    </row>
    <row r="77" spans="1:44" ht="13.5" hidden="1" thickTop="1">
      <c r="D77">
        <f>'Table 3 Levels 1&amp;2'!AL77</f>
        <v>4336.5032257801222</v>
      </c>
      <c r="I77" s="8"/>
      <c r="J77" s="8"/>
      <c r="K77" s="8"/>
      <c r="L77" s="1424"/>
      <c r="AP77" s="1542"/>
      <c r="AQ77" s="1542"/>
      <c r="AR77" s="1542"/>
    </row>
    <row r="78" spans="1:44" hidden="1">
      <c r="M78" s="804" t="s">
        <v>1416</v>
      </c>
      <c r="N78" s="49">
        <f>M76</f>
        <v>-9443.6982681130175</v>
      </c>
    </row>
    <row r="79" spans="1:44" hidden="1">
      <c r="M79" s="804" t="s">
        <v>1274</v>
      </c>
      <c r="N79" s="49">
        <f>-'[22]Table 5C1F-Lake Charles Charter'!$N$78</f>
        <v>9405.1622183074833</v>
      </c>
    </row>
    <row r="80" spans="1:44" hidden="1">
      <c r="M80" s="804" t="s">
        <v>1275</v>
      </c>
      <c r="N80" s="49">
        <f>-'[21]Table 5C1F-Lake Charles Charter'!$I$76</f>
        <v>7867.6204754306082</v>
      </c>
    </row>
    <row r="81" spans="13:14" hidden="1">
      <c r="M81" s="804" t="s">
        <v>1276</v>
      </c>
      <c r="N81" s="49">
        <f>SUM(N78:N79)</f>
        <v>-38.536049805534276</v>
      </c>
    </row>
    <row r="82" spans="13:14" hidden="1"/>
    <row r="83" spans="13:14" hidden="1"/>
    <row r="84" spans="13:14" ht="13.5" thickTop="1"/>
  </sheetData>
  <mergeCells count="35">
    <mergeCell ref="A2:B4"/>
    <mergeCell ref="C2:S2"/>
    <mergeCell ref="T2:AH2"/>
    <mergeCell ref="L3:L4"/>
    <mergeCell ref="V3:V4"/>
    <mergeCell ref="W3:W4"/>
    <mergeCell ref="AA3:AA4"/>
    <mergeCell ref="Q3:Q4"/>
    <mergeCell ref="R3:R4"/>
    <mergeCell ref="Y3:Y4"/>
    <mergeCell ref="Z3:Z4"/>
    <mergeCell ref="U3:U4"/>
    <mergeCell ref="AC3:AC4"/>
    <mergeCell ref="AD3:AD4"/>
    <mergeCell ref="AE3:AE4"/>
    <mergeCell ref="H3:H4"/>
    <mergeCell ref="X3:X4"/>
    <mergeCell ref="P3:P4"/>
    <mergeCell ref="S3:S4"/>
    <mergeCell ref="T3:T4"/>
    <mergeCell ref="C3:C4"/>
    <mergeCell ref="D3:D4"/>
    <mergeCell ref="E3:E4"/>
    <mergeCell ref="F3:F4"/>
    <mergeCell ref="G3:G4"/>
    <mergeCell ref="N3:N4"/>
    <mergeCell ref="O3:O4"/>
    <mergeCell ref="I3:I4"/>
    <mergeCell ref="J3:J4"/>
    <mergeCell ref="K3:K4"/>
    <mergeCell ref="AF3:AF4"/>
    <mergeCell ref="AG3:AG4"/>
    <mergeCell ref="AH3:AH4"/>
    <mergeCell ref="AI2:AI4"/>
    <mergeCell ref="AJ2:AJ4"/>
  </mergeCells>
  <pageMargins left="0.38" right="0.42" top="0.75" bottom="0.75" header="0.3" footer="0.3"/>
  <pageSetup paperSize="5" scale="60" firstPageNumber="60" orientation="portrait" useFirstPageNumber="1" r:id="rId1"/>
  <headerFooter>
    <oddHeader>&amp;L&amp;"Arial,Bold"&amp;20Table 5C1-F: FY2012-13 MFP Budget Letter
Lake Charles Charter Academy (May 2013)</oddHeader>
    <oddFooter>&amp;R&amp;P</oddFooter>
  </headerFooter>
  <colBreaks count="3" manualBreakCount="3">
    <brk id="12" min="1" max="75" man="1"/>
    <brk id="19" max="1048575" man="1"/>
    <brk id="29" min="1" max="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4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0.140625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2" bestFit="1" customWidth="1"/>
    <col min="15" max="15" width="13.42578125" bestFit="1" customWidth="1"/>
    <col min="16" max="18" width="14" customWidth="1"/>
    <col min="19" max="19" width="9" bestFit="1" customWidth="1"/>
    <col min="20" max="20" width="15.42578125" bestFit="1" customWidth="1"/>
    <col min="21" max="21" width="10.140625" bestFit="1" customWidth="1"/>
    <col min="22" max="26" width="13.42578125" customWidth="1"/>
    <col min="27" max="27" width="12" bestFit="1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3.28515625" customWidth="1"/>
    <col min="38" max="41" width="0" hidden="1" customWidth="1"/>
    <col min="44" max="44" width="10.5703125" bestFit="1" customWidth="1"/>
  </cols>
  <sheetData>
    <row r="1" spans="1:42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2" ht="45" customHeight="1">
      <c r="A2" s="2021" t="s">
        <v>1007</v>
      </c>
      <c r="B2" s="2022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2" ht="123.75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1917" t="s">
        <v>1265</v>
      </c>
      <c r="U3" s="2033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409" t="s">
        <v>724</v>
      </c>
      <c r="AC3" s="1917" t="s">
        <v>725</v>
      </c>
      <c r="AD3" s="1917" t="s">
        <v>990</v>
      </c>
      <c r="AE3" s="1917" t="s">
        <v>1122</v>
      </c>
      <c r="AF3" s="2033" t="s">
        <v>1330</v>
      </c>
      <c r="AG3" s="2033" t="s">
        <v>1403</v>
      </c>
      <c r="AH3" s="2033" t="s">
        <v>1217</v>
      </c>
      <c r="AI3" s="1915"/>
      <c r="AJ3" s="1915"/>
    </row>
    <row r="4" spans="1:42" ht="36.75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91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K4" s="1581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2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</row>
    <row r="6" spans="1:42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2">
      <c r="A7" s="968">
        <v>1</v>
      </c>
      <c r="B7" s="969" t="s">
        <v>102</v>
      </c>
      <c r="C7" s="970"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JS Clark Academy'!K7</f>
        <v>0</v>
      </c>
      <c r="J7" s="1414">
        <f>'[1]Feb midyear JS Clark Academy'!K7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Final'!K8</f>
        <v>2115</v>
      </c>
      <c r="U7" s="973">
        <f t="shared" ref="U7:U38" si="30">C7*T7</f>
        <v>0</v>
      </c>
      <c r="V7" s="1354">
        <f>'[20]Oct midyear JS Clark Academy'!E7</f>
        <v>0</v>
      </c>
      <c r="W7" s="1444">
        <f>V7*T7</f>
        <v>0</v>
      </c>
      <c r="X7" s="1466">
        <f>'[20]Feb midyear JS Clark Academy'!E7</f>
        <v>0</v>
      </c>
      <c r="Y7" s="1444">
        <f>X7*(T7*0.5)</f>
        <v>0</v>
      </c>
      <c r="Z7" s="1444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f>AE7/12</f>
        <v>0</v>
      </c>
      <c r="AG7" s="973">
        <f>AE7-AF7</f>
        <v>0</v>
      </c>
      <c r="AH7" s="973">
        <f>AG7/2</f>
        <v>0</v>
      </c>
      <c r="AI7" s="974">
        <f>P7+AE7</f>
        <v>0</v>
      </c>
      <c r="AJ7" s="974">
        <f t="shared" ref="AJ7:AJ38" si="31">S7+AH7</f>
        <v>0</v>
      </c>
      <c r="AL7" s="49">
        <f>AB7</f>
        <v>0</v>
      </c>
      <c r="AM7" s="49">
        <f>-'[22]Table 5C1G-JS Clark Academy'!AL7</f>
        <v>0</v>
      </c>
      <c r="AN7" s="49">
        <f>-'[21]Table 5C1G-JS Clark Academy'!P7</f>
        <v>0</v>
      </c>
      <c r="AO7" s="49">
        <f>SUM(AL7:AM7)</f>
        <v>0</v>
      </c>
      <c r="AP7" s="49"/>
    </row>
    <row r="8" spans="1:42">
      <c r="A8" s="975">
        <v>2</v>
      </c>
      <c r="B8" s="976" t="s">
        <v>103</v>
      </c>
      <c r="C8" s="1168">
        <v>0</v>
      </c>
      <c r="D8" s="978">
        <f>'Table 3 Levels 1&amp;2'!AL9</f>
        <v>6149.545926426621</v>
      </c>
      <c r="E8" s="1072">
        <f t="shared" ref="E8:E71" si="32">C8*D8</f>
        <v>0</v>
      </c>
      <c r="F8" s="1072">
        <f>'Table 4 Level 3'!P7</f>
        <v>842.32</v>
      </c>
      <c r="G8" s="1072">
        <f t="shared" ref="G8:G71" si="33">C8*F8</f>
        <v>0</v>
      </c>
      <c r="H8" s="1030">
        <f t="shared" ref="H8:H71" si="34">E8+G8</f>
        <v>0</v>
      </c>
      <c r="I8" s="1415">
        <f>'[1]Oct midyear JS Clark Academy'!K8</f>
        <v>0</v>
      </c>
      <c r="J8" s="1415">
        <f>'[1]Feb midyear JS Clark Academy'!K8</f>
        <v>0</v>
      </c>
      <c r="K8" s="1415">
        <f t="shared" ref="K8:K71" si="35">I8+J8</f>
        <v>0</v>
      </c>
      <c r="L8" s="1434">
        <f t="shared" ref="L8:L71" si="36">H8+K8</f>
        <v>0</v>
      </c>
      <c r="M8" s="1082">
        <f t="shared" ref="M8:M71" si="37">-(0.25%*L8)</f>
        <v>0</v>
      </c>
      <c r="N8" s="1030">
        <f t="shared" ref="N8:N71" si="38">SUM(L8:M8)</f>
        <v>0</v>
      </c>
      <c r="O8" s="1030">
        <v>0</v>
      </c>
      <c r="P8" s="1030">
        <f t="shared" ref="P8:P71" si="39">SUM(N8:O8)</f>
        <v>0</v>
      </c>
      <c r="Q8" s="1030">
        <v>0</v>
      </c>
      <c r="R8" s="1030">
        <f t="shared" ref="R8:R71" si="40">P8-Q8</f>
        <v>0</v>
      </c>
      <c r="S8" s="1030">
        <f t="shared" ref="S8:S71" si="41">R8/2</f>
        <v>0</v>
      </c>
      <c r="T8" s="1029">
        <f>'[14]FY2012-13 Final'!K9</f>
        <v>2584</v>
      </c>
      <c r="U8" s="1031">
        <f t="shared" si="30"/>
        <v>0</v>
      </c>
      <c r="V8" s="1464">
        <f>'[20]Oct midyear JS Clark Academy'!E8</f>
        <v>0</v>
      </c>
      <c r="W8" s="1443">
        <f t="shared" ref="W8:W71" si="42">V8*T8</f>
        <v>0</v>
      </c>
      <c r="X8" s="1474">
        <f>'[20]Feb midyear JS Clark Academy'!E8</f>
        <v>0</v>
      </c>
      <c r="Y8" s="1470">
        <f t="shared" ref="Y8:Y71" si="43">X8*(T8*0.5)</f>
        <v>0</v>
      </c>
      <c r="Z8" s="1470">
        <f t="shared" ref="Z8:Z71" si="44">W8+Y8</f>
        <v>0</v>
      </c>
      <c r="AA8" s="1031">
        <f t="shared" ref="AA8:AA71" si="45">U8+Z8</f>
        <v>0</v>
      </c>
      <c r="AB8" s="1090">
        <f t="shared" ref="AB8:AB71" si="46">-(0.25%*AA8)</f>
        <v>0</v>
      </c>
      <c r="AC8" s="1031">
        <f t="shared" ref="AC8:AC71" si="47">SUM(AA8:AB8)</f>
        <v>0</v>
      </c>
      <c r="AD8" s="1031">
        <v>0</v>
      </c>
      <c r="AE8" s="1031">
        <f t="shared" ref="AE8:AE71" si="48">SUM(AC8:AD8)</f>
        <v>0</v>
      </c>
      <c r="AF8" s="1031">
        <f t="shared" ref="AF8:AF71" si="49">AE8/12</f>
        <v>0</v>
      </c>
      <c r="AG8" s="1031">
        <f t="shared" ref="AG8:AG71" si="50">AE8-AF8</f>
        <v>0</v>
      </c>
      <c r="AH8" s="1031">
        <f t="shared" ref="AH8:AH71" si="51">AG8/2</f>
        <v>0</v>
      </c>
      <c r="AI8" s="1032">
        <f t="shared" ref="AI8:AI38" si="52">P8+AE8</f>
        <v>0</v>
      </c>
      <c r="AJ8" s="1032">
        <f t="shared" si="31"/>
        <v>0</v>
      </c>
      <c r="AL8" s="49">
        <f t="shared" ref="AL8:AL71" si="53">AB8</f>
        <v>0</v>
      </c>
      <c r="AM8" s="49">
        <f>-'[22]Table 5C1G-JS Clark Academy'!AL8</f>
        <v>0</v>
      </c>
      <c r="AN8" s="49">
        <f>-'[21]Table 5C1G-JS Clark Academy'!P8</f>
        <v>0</v>
      </c>
      <c r="AO8" s="49">
        <f t="shared" ref="AO8:AO71" si="54">SUM(AL8:AM8)</f>
        <v>0</v>
      </c>
      <c r="AP8" s="49"/>
    </row>
    <row r="9" spans="1:42">
      <c r="A9" s="975">
        <v>3</v>
      </c>
      <c r="B9" s="976" t="s">
        <v>104</v>
      </c>
      <c r="C9" s="1168">
        <v>0</v>
      </c>
      <c r="D9" s="978">
        <f>'Table 3 Levels 1&amp;2'!AL10</f>
        <v>4340.9401078757892</v>
      </c>
      <c r="E9" s="1072">
        <f t="shared" si="32"/>
        <v>0</v>
      </c>
      <c r="F9" s="1072">
        <f>'Table 4 Level 3'!P8</f>
        <v>596.84</v>
      </c>
      <c r="G9" s="1072">
        <f t="shared" si="33"/>
        <v>0</v>
      </c>
      <c r="H9" s="1030">
        <f t="shared" si="34"/>
        <v>0</v>
      </c>
      <c r="I9" s="1415">
        <f>'[1]Oct midyear JS Clark Academy'!K9</f>
        <v>0</v>
      </c>
      <c r="J9" s="1415">
        <f>'[1]Feb midyear JS Clark Academy'!K9</f>
        <v>0</v>
      </c>
      <c r="K9" s="1415">
        <f t="shared" si="35"/>
        <v>0</v>
      </c>
      <c r="L9" s="1434">
        <f t="shared" si="36"/>
        <v>0</v>
      </c>
      <c r="M9" s="1082">
        <f t="shared" si="37"/>
        <v>0</v>
      </c>
      <c r="N9" s="1030">
        <f t="shared" si="38"/>
        <v>0</v>
      </c>
      <c r="O9" s="1030">
        <v>0</v>
      </c>
      <c r="P9" s="1030">
        <f t="shared" si="39"/>
        <v>0</v>
      </c>
      <c r="Q9" s="1030">
        <v>0</v>
      </c>
      <c r="R9" s="1030">
        <f t="shared" si="40"/>
        <v>0</v>
      </c>
      <c r="S9" s="1030">
        <f t="shared" si="41"/>
        <v>0</v>
      </c>
      <c r="T9" s="1029">
        <f>'[14]FY2012-13 Final'!K10</f>
        <v>4977</v>
      </c>
      <c r="U9" s="1031">
        <f t="shared" si="30"/>
        <v>0</v>
      </c>
      <c r="V9" s="1464">
        <f>'[20]Oct midyear JS Clark Academy'!E9</f>
        <v>0</v>
      </c>
      <c r="W9" s="1443">
        <f t="shared" si="42"/>
        <v>0</v>
      </c>
      <c r="X9" s="1474">
        <f>'[20]Feb midyear JS Clark Academy'!E9</f>
        <v>0</v>
      </c>
      <c r="Y9" s="1470">
        <f t="shared" si="43"/>
        <v>0</v>
      </c>
      <c r="Z9" s="1470">
        <f t="shared" si="44"/>
        <v>0</v>
      </c>
      <c r="AA9" s="1031">
        <f t="shared" si="45"/>
        <v>0</v>
      </c>
      <c r="AB9" s="1090">
        <f t="shared" si="46"/>
        <v>0</v>
      </c>
      <c r="AC9" s="1031">
        <f t="shared" si="47"/>
        <v>0</v>
      </c>
      <c r="AD9" s="1031">
        <v>0</v>
      </c>
      <c r="AE9" s="1031">
        <f t="shared" si="48"/>
        <v>0</v>
      </c>
      <c r="AF9" s="1031">
        <f t="shared" si="49"/>
        <v>0</v>
      </c>
      <c r="AG9" s="1031">
        <f t="shared" si="50"/>
        <v>0</v>
      </c>
      <c r="AH9" s="1031">
        <f t="shared" si="51"/>
        <v>0</v>
      </c>
      <c r="AI9" s="1032">
        <f t="shared" si="52"/>
        <v>0</v>
      </c>
      <c r="AJ9" s="1032">
        <f t="shared" si="31"/>
        <v>0</v>
      </c>
      <c r="AL9" s="49">
        <f t="shared" si="53"/>
        <v>0</v>
      </c>
      <c r="AM9" s="49">
        <f>-'[22]Table 5C1G-JS Clark Academy'!AL9</f>
        <v>0</v>
      </c>
      <c r="AN9" s="49">
        <f>-'[21]Table 5C1G-JS Clark Academy'!P9</f>
        <v>0</v>
      </c>
      <c r="AO9" s="49">
        <f t="shared" si="54"/>
        <v>0</v>
      </c>
      <c r="AP9" s="49"/>
    </row>
    <row r="10" spans="1:42">
      <c r="A10" s="975">
        <v>4</v>
      </c>
      <c r="B10" s="976" t="s">
        <v>105</v>
      </c>
      <c r="C10" s="1168">
        <v>0</v>
      </c>
      <c r="D10" s="978">
        <f>'Table 3 Levels 1&amp;2'!AL11</f>
        <v>6077.3708498182023</v>
      </c>
      <c r="E10" s="1072">
        <f t="shared" si="32"/>
        <v>0</v>
      </c>
      <c r="F10" s="1072">
        <f>'Table 4 Level 3'!P9</f>
        <v>585.76</v>
      </c>
      <c r="G10" s="1072">
        <f t="shared" si="33"/>
        <v>0</v>
      </c>
      <c r="H10" s="1030">
        <f t="shared" si="34"/>
        <v>0</v>
      </c>
      <c r="I10" s="1415">
        <f>'[1]Oct midyear JS Clark Academy'!K10</f>
        <v>0</v>
      </c>
      <c r="J10" s="1415">
        <f>'[1]Feb midyear JS Clark Academy'!K10</f>
        <v>0</v>
      </c>
      <c r="K10" s="1415">
        <f t="shared" si="35"/>
        <v>0</v>
      </c>
      <c r="L10" s="1434">
        <f t="shared" si="36"/>
        <v>0</v>
      </c>
      <c r="M10" s="1082">
        <f t="shared" si="37"/>
        <v>0</v>
      </c>
      <c r="N10" s="1030">
        <f t="shared" si="38"/>
        <v>0</v>
      </c>
      <c r="O10" s="1030">
        <v>0</v>
      </c>
      <c r="P10" s="1030">
        <f t="shared" si="39"/>
        <v>0</v>
      </c>
      <c r="Q10" s="1030">
        <v>0</v>
      </c>
      <c r="R10" s="1030">
        <f t="shared" si="40"/>
        <v>0</v>
      </c>
      <c r="S10" s="1030">
        <f t="shared" si="41"/>
        <v>0</v>
      </c>
      <c r="T10" s="1029">
        <f>'[14]FY2012-13 Final'!K11</f>
        <v>3455</v>
      </c>
      <c r="U10" s="1031">
        <f t="shared" si="30"/>
        <v>0</v>
      </c>
      <c r="V10" s="1464">
        <f>'[20]Oct midyear JS Clark Academy'!E10</f>
        <v>0</v>
      </c>
      <c r="W10" s="1443">
        <f t="shared" si="42"/>
        <v>0</v>
      </c>
      <c r="X10" s="1474">
        <f>'[20]Feb midyear JS Clark Academy'!E10</f>
        <v>0</v>
      </c>
      <c r="Y10" s="1470">
        <f t="shared" si="43"/>
        <v>0</v>
      </c>
      <c r="Z10" s="1470">
        <f t="shared" si="44"/>
        <v>0</v>
      </c>
      <c r="AA10" s="1031">
        <f t="shared" si="45"/>
        <v>0</v>
      </c>
      <c r="AB10" s="1090">
        <f t="shared" si="46"/>
        <v>0</v>
      </c>
      <c r="AC10" s="1031">
        <f t="shared" si="47"/>
        <v>0</v>
      </c>
      <c r="AD10" s="1031">
        <v>0</v>
      </c>
      <c r="AE10" s="1031">
        <f t="shared" si="48"/>
        <v>0</v>
      </c>
      <c r="AF10" s="1031">
        <f t="shared" si="49"/>
        <v>0</v>
      </c>
      <c r="AG10" s="1031">
        <f t="shared" si="50"/>
        <v>0</v>
      </c>
      <c r="AH10" s="1031">
        <f t="shared" si="51"/>
        <v>0</v>
      </c>
      <c r="AI10" s="1032">
        <f t="shared" si="52"/>
        <v>0</v>
      </c>
      <c r="AJ10" s="1032">
        <f t="shared" si="31"/>
        <v>0</v>
      </c>
      <c r="AL10" s="49">
        <f t="shared" si="53"/>
        <v>0</v>
      </c>
      <c r="AM10" s="49">
        <f>-'[22]Table 5C1G-JS Clark Academy'!AL10</f>
        <v>0</v>
      </c>
      <c r="AN10" s="49">
        <f>-'[21]Table 5C1G-JS Clark Academy'!P10</f>
        <v>0</v>
      </c>
      <c r="AO10" s="49">
        <f t="shared" si="54"/>
        <v>0</v>
      </c>
      <c r="AP10" s="49"/>
    </row>
    <row r="11" spans="1:42">
      <c r="A11" s="979">
        <v>5</v>
      </c>
      <c r="B11" s="980" t="s">
        <v>106</v>
      </c>
      <c r="C11" s="1169">
        <v>0</v>
      </c>
      <c r="D11" s="982">
        <f>'Table 3 Levels 1&amp;2'!AL12</f>
        <v>4878.1095033692254</v>
      </c>
      <c r="E11" s="1073">
        <f t="shared" si="32"/>
        <v>0</v>
      </c>
      <c r="F11" s="1073">
        <f>'Table 4 Level 3'!P10</f>
        <v>555.91</v>
      </c>
      <c r="G11" s="1073">
        <f t="shared" si="33"/>
        <v>0</v>
      </c>
      <c r="H11" s="1033">
        <f t="shared" si="34"/>
        <v>0</v>
      </c>
      <c r="I11" s="1416">
        <f>'[1]Oct midyear JS Clark Academy'!K11</f>
        <v>0</v>
      </c>
      <c r="J11" s="1416">
        <f>'[1]Feb midyear JS Clark Academy'!K11</f>
        <v>0</v>
      </c>
      <c r="K11" s="1416">
        <f t="shared" si="35"/>
        <v>0</v>
      </c>
      <c r="L11" s="1435">
        <f t="shared" si="36"/>
        <v>0</v>
      </c>
      <c r="M11" s="1083">
        <f t="shared" si="37"/>
        <v>0</v>
      </c>
      <c r="N11" s="1033">
        <f t="shared" si="38"/>
        <v>0</v>
      </c>
      <c r="O11" s="1033">
        <v>0</v>
      </c>
      <c r="P11" s="1033">
        <f t="shared" si="39"/>
        <v>0</v>
      </c>
      <c r="Q11" s="1033">
        <v>0</v>
      </c>
      <c r="R11" s="1033">
        <f t="shared" si="40"/>
        <v>0</v>
      </c>
      <c r="S11" s="1033">
        <f t="shared" si="41"/>
        <v>0</v>
      </c>
      <c r="T11" s="1034">
        <f>'[14]FY2012-13 Final'!K12</f>
        <v>1515</v>
      </c>
      <c r="U11" s="1035">
        <f t="shared" si="30"/>
        <v>0</v>
      </c>
      <c r="V11" s="1465">
        <f>'[20]Oct midyear JS Clark Academy'!E11</f>
        <v>0</v>
      </c>
      <c r="W11" s="1445">
        <f t="shared" si="42"/>
        <v>0</v>
      </c>
      <c r="X11" s="1475">
        <f>'[20]Feb midyear JS Clark Academy'!E11</f>
        <v>0</v>
      </c>
      <c r="Y11" s="1471">
        <f t="shared" si="43"/>
        <v>0</v>
      </c>
      <c r="Z11" s="1471">
        <f t="shared" si="44"/>
        <v>0</v>
      </c>
      <c r="AA11" s="1035">
        <f t="shared" si="45"/>
        <v>0</v>
      </c>
      <c r="AB11" s="1091">
        <f t="shared" si="46"/>
        <v>0</v>
      </c>
      <c r="AC11" s="1035">
        <f t="shared" si="47"/>
        <v>0</v>
      </c>
      <c r="AD11" s="1035">
        <v>0</v>
      </c>
      <c r="AE11" s="1035">
        <f t="shared" si="48"/>
        <v>0</v>
      </c>
      <c r="AF11" s="1035">
        <f t="shared" si="49"/>
        <v>0</v>
      </c>
      <c r="AG11" s="1035">
        <f t="shared" si="50"/>
        <v>0</v>
      </c>
      <c r="AH11" s="1035">
        <f t="shared" si="51"/>
        <v>0</v>
      </c>
      <c r="AI11" s="1036">
        <f t="shared" si="52"/>
        <v>0</v>
      </c>
      <c r="AJ11" s="1036">
        <f t="shared" si="31"/>
        <v>0</v>
      </c>
      <c r="AL11" s="49">
        <f t="shared" si="53"/>
        <v>0</v>
      </c>
      <c r="AM11" s="49">
        <f>-'[22]Table 5C1G-JS Clark Academy'!AL11</f>
        <v>0</v>
      </c>
      <c r="AN11" s="49">
        <f>-'[21]Table 5C1G-JS Clark Academy'!P11</f>
        <v>0</v>
      </c>
      <c r="AO11" s="49">
        <f t="shared" si="54"/>
        <v>0</v>
      </c>
      <c r="AP11" s="49"/>
    </row>
    <row r="12" spans="1:42">
      <c r="A12" s="968">
        <v>6</v>
      </c>
      <c r="B12" s="969" t="s">
        <v>107</v>
      </c>
      <c r="C12" s="1170">
        <v>0</v>
      </c>
      <c r="D12" s="971">
        <f>'Table 3 Levels 1&amp;2'!AL13</f>
        <v>5550.1901239384006</v>
      </c>
      <c r="E12" s="1071">
        <f t="shared" si="32"/>
        <v>0</v>
      </c>
      <c r="F12" s="1071">
        <f>'Table 4 Level 3'!P11</f>
        <v>545.4799999999999</v>
      </c>
      <c r="G12" s="1071">
        <f t="shared" si="33"/>
        <v>0</v>
      </c>
      <c r="H12" s="972">
        <f t="shared" si="34"/>
        <v>0</v>
      </c>
      <c r="I12" s="1414">
        <f>'[1]Oct midyear JS Clark Academy'!K12</f>
        <v>0</v>
      </c>
      <c r="J12" s="1414">
        <f>'[1]Feb midyear JS Clark Academy'!K12</f>
        <v>0</v>
      </c>
      <c r="K12" s="1414">
        <f t="shared" si="35"/>
        <v>0</v>
      </c>
      <c r="L12" s="1213">
        <f t="shared" si="36"/>
        <v>0</v>
      </c>
      <c r="M12" s="1081">
        <f t="shared" si="37"/>
        <v>0</v>
      </c>
      <c r="N12" s="972">
        <f t="shared" si="38"/>
        <v>0</v>
      </c>
      <c r="O12" s="972">
        <v>0</v>
      </c>
      <c r="P12" s="972">
        <f t="shared" si="39"/>
        <v>0</v>
      </c>
      <c r="Q12" s="972">
        <v>0</v>
      </c>
      <c r="R12" s="972">
        <f t="shared" si="40"/>
        <v>0</v>
      </c>
      <c r="S12" s="972">
        <f t="shared" si="41"/>
        <v>0</v>
      </c>
      <c r="T12" s="1029">
        <f>'[14]FY2012-13 Final'!K13</f>
        <v>3579</v>
      </c>
      <c r="U12" s="973">
        <f t="shared" si="30"/>
        <v>0</v>
      </c>
      <c r="V12" s="1466">
        <f>'[20]Oct midyear JS Clark Academy'!E12</f>
        <v>0</v>
      </c>
      <c r="W12" s="1444">
        <f t="shared" si="42"/>
        <v>0</v>
      </c>
      <c r="X12" s="1466">
        <f>'[20]Feb midyear JS Clark Academy'!E12</f>
        <v>0</v>
      </c>
      <c r="Y12" s="1444">
        <f t="shared" si="43"/>
        <v>0</v>
      </c>
      <c r="Z12" s="1444">
        <f t="shared" si="44"/>
        <v>0</v>
      </c>
      <c r="AA12" s="973">
        <f t="shared" si="45"/>
        <v>0</v>
      </c>
      <c r="AB12" s="1089">
        <f t="shared" si="46"/>
        <v>0</v>
      </c>
      <c r="AC12" s="973">
        <f t="shared" si="47"/>
        <v>0</v>
      </c>
      <c r="AD12" s="973">
        <v>0</v>
      </c>
      <c r="AE12" s="973">
        <f t="shared" si="48"/>
        <v>0</v>
      </c>
      <c r="AF12" s="973">
        <f t="shared" si="49"/>
        <v>0</v>
      </c>
      <c r="AG12" s="973">
        <f t="shared" si="50"/>
        <v>0</v>
      </c>
      <c r="AH12" s="973">
        <f t="shared" si="51"/>
        <v>0</v>
      </c>
      <c r="AI12" s="974">
        <f t="shared" si="52"/>
        <v>0</v>
      </c>
      <c r="AJ12" s="974">
        <f t="shared" si="31"/>
        <v>0</v>
      </c>
      <c r="AL12" s="49">
        <f t="shared" si="53"/>
        <v>0</v>
      </c>
      <c r="AM12" s="49">
        <f>-'[22]Table 5C1G-JS Clark Academy'!AL12</f>
        <v>0</v>
      </c>
      <c r="AN12" s="49">
        <f>-'[21]Table 5C1G-JS Clark Academy'!P12</f>
        <v>0</v>
      </c>
      <c r="AO12" s="49">
        <f t="shared" si="54"/>
        <v>0</v>
      </c>
      <c r="AP12" s="49"/>
    </row>
    <row r="13" spans="1:42">
      <c r="A13" s="975">
        <v>7</v>
      </c>
      <c r="B13" s="976" t="s">
        <v>108</v>
      </c>
      <c r="C13" s="1168">
        <v>0</v>
      </c>
      <c r="D13" s="978">
        <f>'Table 3 Levels 1&amp;2'!AL14</f>
        <v>1550.5347159603245</v>
      </c>
      <c r="E13" s="1072">
        <f t="shared" si="32"/>
        <v>0</v>
      </c>
      <c r="F13" s="1072">
        <f>'Table 4 Level 3'!P12</f>
        <v>756.91999999999985</v>
      </c>
      <c r="G13" s="1072">
        <f t="shared" si="33"/>
        <v>0</v>
      </c>
      <c r="H13" s="1030">
        <f t="shared" si="34"/>
        <v>0</v>
      </c>
      <c r="I13" s="1415">
        <f>'[1]Oct midyear JS Clark Academy'!K13</f>
        <v>0</v>
      </c>
      <c r="J13" s="1415">
        <f>'[1]Feb midyear JS Clark Academy'!K13</f>
        <v>0</v>
      </c>
      <c r="K13" s="1415">
        <f t="shared" si="35"/>
        <v>0</v>
      </c>
      <c r="L13" s="1434">
        <f t="shared" si="36"/>
        <v>0</v>
      </c>
      <c r="M13" s="1082">
        <f t="shared" si="37"/>
        <v>0</v>
      </c>
      <c r="N13" s="1030">
        <f t="shared" si="38"/>
        <v>0</v>
      </c>
      <c r="O13" s="1030">
        <v>0</v>
      </c>
      <c r="P13" s="1030">
        <f t="shared" si="39"/>
        <v>0</v>
      </c>
      <c r="Q13" s="1030">
        <v>0</v>
      </c>
      <c r="R13" s="1030">
        <f t="shared" si="40"/>
        <v>0</v>
      </c>
      <c r="S13" s="1030">
        <f t="shared" si="41"/>
        <v>0</v>
      </c>
      <c r="T13" s="1029">
        <f>'[14]FY2012-13 Final'!K14</f>
        <v>12483</v>
      </c>
      <c r="U13" s="1031">
        <f t="shared" si="30"/>
        <v>0</v>
      </c>
      <c r="V13" s="1464">
        <f>'[20]Oct midyear JS Clark Academy'!E13</f>
        <v>0</v>
      </c>
      <c r="W13" s="1443">
        <f t="shared" si="42"/>
        <v>0</v>
      </c>
      <c r="X13" s="1474">
        <f>'[20]Feb midyear JS Clark Academy'!E13</f>
        <v>0</v>
      </c>
      <c r="Y13" s="1470">
        <f t="shared" si="43"/>
        <v>0</v>
      </c>
      <c r="Z13" s="1470">
        <f t="shared" si="44"/>
        <v>0</v>
      </c>
      <c r="AA13" s="1031">
        <f t="shared" si="45"/>
        <v>0</v>
      </c>
      <c r="AB13" s="1090">
        <f t="shared" si="46"/>
        <v>0</v>
      </c>
      <c r="AC13" s="1031">
        <f t="shared" si="47"/>
        <v>0</v>
      </c>
      <c r="AD13" s="1031">
        <v>0</v>
      </c>
      <c r="AE13" s="1031">
        <f t="shared" si="48"/>
        <v>0</v>
      </c>
      <c r="AF13" s="1031">
        <f t="shared" si="49"/>
        <v>0</v>
      </c>
      <c r="AG13" s="1031">
        <f t="shared" si="50"/>
        <v>0</v>
      </c>
      <c r="AH13" s="1031">
        <f t="shared" si="51"/>
        <v>0</v>
      </c>
      <c r="AI13" s="1032">
        <f t="shared" si="52"/>
        <v>0</v>
      </c>
      <c r="AJ13" s="1032">
        <f t="shared" si="31"/>
        <v>0</v>
      </c>
      <c r="AL13" s="49">
        <f t="shared" si="53"/>
        <v>0</v>
      </c>
      <c r="AM13" s="49">
        <f>-'[22]Table 5C1G-JS Clark Academy'!AL13</f>
        <v>0</v>
      </c>
      <c r="AN13" s="49">
        <f>-'[21]Table 5C1G-JS Clark Academy'!P13</f>
        <v>0</v>
      </c>
      <c r="AO13" s="49">
        <f t="shared" si="54"/>
        <v>0</v>
      </c>
      <c r="AP13" s="49"/>
    </row>
    <row r="14" spans="1:42">
      <c r="A14" s="975">
        <v>8</v>
      </c>
      <c r="B14" s="976" t="s">
        <v>109</v>
      </c>
      <c r="C14" s="1168">
        <v>0</v>
      </c>
      <c r="D14" s="978">
        <f>'Table 3 Levels 1&amp;2'!AL15</f>
        <v>4054.7459475361657</v>
      </c>
      <c r="E14" s="1072">
        <f t="shared" si="32"/>
        <v>0</v>
      </c>
      <c r="F14" s="1072">
        <f>'Table 4 Level 3'!P13</f>
        <v>725.76</v>
      </c>
      <c r="G14" s="1072">
        <f t="shared" si="33"/>
        <v>0</v>
      </c>
      <c r="H14" s="1030">
        <f t="shared" si="34"/>
        <v>0</v>
      </c>
      <c r="I14" s="1415">
        <f>'[1]Oct midyear JS Clark Academy'!K14</f>
        <v>0</v>
      </c>
      <c r="J14" s="1415">
        <f>'[1]Feb midyear JS Clark Academy'!K14</f>
        <v>0</v>
      </c>
      <c r="K14" s="1415">
        <f t="shared" si="35"/>
        <v>0</v>
      </c>
      <c r="L14" s="1434">
        <f t="shared" si="36"/>
        <v>0</v>
      </c>
      <c r="M14" s="1082">
        <f t="shared" si="37"/>
        <v>0</v>
      </c>
      <c r="N14" s="1030">
        <f t="shared" si="38"/>
        <v>0</v>
      </c>
      <c r="O14" s="1030">
        <v>0</v>
      </c>
      <c r="P14" s="1030">
        <f t="shared" si="39"/>
        <v>0</v>
      </c>
      <c r="Q14" s="1030">
        <v>0</v>
      </c>
      <c r="R14" s="1030">
        <f t="shared" si="40"/>
        <v>0</v>
      </c>
      <c r="S14" s="1030">
        <f t="shared" si="41"/>
        <v>0</v>
      </c>
      <c r="T14" s="1029">
        <f>'[14]FY2012-13 Final'!K15</f>
        <v>4187</v>
      </c>
      <c r="U14" s="1031">
        <f t="shared" si="30"/>
        <v>0</v>
      </c>
      <c r="V14" s="1464">
        <f>'[20]Oct midyear JS Clark Academy'!E14</f>
        <v>0</v>
      </c>
      <c r="W14" s="1443">
        <f t="shared" si="42"/>
        <v>0</v>
      </c>
      <c r="X14" s="1474">
        <f>'[20]Feb midyear JS Clark Academy'!E14</f>
        <v>0</v>
      </c>
      <c r="Y14" s="1470">
        <f t="shared" si="43"/>
        <v>0</v>
      </c>
      <c r="Z14" s="1470">
        <f t="shared" si="44"/>
        <v>0</v>
      </c>
      <c r="AA14" s="1031">
        <f t="shared" si="45"/>
        <v>0</v>
      </c>
      <c r="AB14" s="1090">
        <f t="shared" si="46"/>
        <v>0</v>
      </c>
      <c r="AC14" s="1031">
        <f t="shared" si="47"/>
        <v>0</v>
      </c>
      <c r="AD14" s="1031">
        <v>0</v>
      </c>
      <c r="AE14" s="1031">
        <f t="shared" si="48"/>
        <v>0</v>
      </c>
      <c r="AF14" s="1031">
        <f t="shared" si="49"/>
        <v>0</v>
      </c>
      <c r="AG14" s="1031">
        <f t="shared" si="50"/>
        <v>0</v>
      </c>
      <c r="AH14" s="1031">
        <f t="shared" si="51"/>
        <v>0</v>
      </c>
      <c r="AI14" s="1032">
        <f t="shared" si="52"/>
        <v>0</v>
      </c>
      <c r="AJ14" s="1032">
        <f t="shared" si="31"/>
        <v>0</v>
      </c>
      <c r="AL14" s="49">
        <f t="shared" si="53"/>
        <v>0</v>
      </c>
      <c r="AM14" s="49">
        <f>-'[22]Table 5C1G-JS Clark Academy'!AL14</f>
        <v>0</v>
      </c>
      <c r="AN14" s="49">
        <f>-'[21]Table 5C1G-JS Clark Academy'!P14</f>
        <v>0</v>
      </c>
      <c r="AO14" s="49">
        <f t="shared" si="54"/>
        <v>0</v>
      </c>
      <c r="AP14" s="49"/>
    </row>
    <row r="15" spans="1:42">
      <c r="A15" s="975">
        <v>9</v>
      </c>
      <c r="B15" s="976" t="s">
        <v>110</v>
      </c>
      <c r="C15" s="1168">
        <v>0</v>
      </c>
      <c r="D15" s="978">
        <f>'Table 3 Levels 1&amp;2'!AL16</f>
        <v>4287.1210280148016</v>
      </c>
      <c r="E15" s="1072">
        <f t="shared" si="32"/>
        <v>0</v>
      </c>
      <c r="F15" s="1072">
        <f>'Table 4 Level 3'!P14</f>
        <v>744.76</v>
      </c>
      <c r="G15" s="1072">
        <f t="shared" si="33"/>
        <v>0</v>
      </c>
      <c r="H15" s="1030">
        <f t="shared" si="34"/>
        <v>0</v>
      </c>
      <c r="I15" s="1415">
        <f>'[1]Oct midyear JS Clark Academy'!K15</f>
        <v>0</v>
      </c>
      <c r="J15" s="1415">
        <f>'[1]Feb midyear JS Clark Academy'!K15</f>
        <v>0</v>
      </c>
      <c r="K15" s="1415">
        <f t="shared" si="35"/>
        <v>0</v>
      </c>
      <c r="L15" s="1434">
        <f t="shared" si="36"/>
        <v>0</v>
      </c>
      <c r="M15" s="1082">
        <f t="shared" si="37"/>
        <v>0</v>
      </c>
      <c r="N15" s="1030">
        <f t="shared" si="38"/>
        <v>0</v>
      </c>
      <c r="O15" s="1030">
        <v>0</v>
      </c>
      <c r="P15" s="1030">
        <f t="shared" si="39"/>
        <v>0</v>
      </c>
      <c r="Q15" s="1030">
        <v>0</v>
      </c>
      <c r="R15" s="1030">
        <f t="shared" si="40"/>
        <v>0</v>
      </c>
      <c r="S15" s="1030">
        <f t="shared" si="41"/>
        <v>0</v>
      </c>
      <c r="T15" s="1029">
        <f>'[14]FY2012-13 Final'!K16</f>
        <v>4649</v>
      </c>
      <c r="U15" s="1031">
        <f t="shared" si="30"/>
        <v>0</v>
      </c>
      <c r="V15" s="1464">
        <f>'[20]Oct midyear JS Clark Academy'!E15</f>
        <v>0</v>
      </c>
      <c r="W15" s="1443">
        <f t="shared" si="42"/>
        <v>0</v>
      </c>
      <c r="X15" s="1474">
        <f>'[20]Feb midyear JS Clark Academy'!E15</f>
        <v>0</v>
      </c>
      <c r="Y15" s="1470">
        <f t="shared" si="43"/>
        <v>0</v>
      </c>
      <c r="Z15" s="1470">
        <f t="shared" si="44"/>
        <v>0</v>
      </c>
      <c r="AA15" s="1031">
        <f t="shared" si="45"/>
        <v>0</v>
      </c>
      <c r="AB15" s="1090">
        <f t="shared" si="46"/>
        <v>0</v>
      </c>
      <c r="AC15" s="1031">
        <f t="shared" si="47"/>
        <v>0</v>
      </c>
      <c r="AD15" s="1031">
        <v>0</v>
      </c>
      <c r="AE15" s="1031">
        <f t="shared" si="48"/>
        <v>0</v>
      </c>
      <c r="AF15" s="1031">
        <f t="shared" si="49"/>
        <v>0</v>
      </c>
      <c r="AG15" s="1031">
        <f t="shared" si="50"/>
        <v>0</v>
      </c>
      <c r="AH15" s="1031">
        <f t="shared" si="51"/>
        <v>0</v>
      </c>
      <c r="AI15" s="1032">
        <f t="shared" si="52"/>
        <v>0</v>
      </c>
      <c r="AJ15" s="1032">
        <f t="shared" si="31"/>
        <v>0</v>
      </c>
      <c r="AL15" s="49">
        <f t="shared" si="53"/>
        <v>0</v>
      </c>
      <c r="AM15" s="49">
        <f>-'[22]Table 5C1G-JS Clark Academy'!AL15</f>
        <v>0</v>
      </c>
      <c r="AN15" s="49">
        <f>-'[21]Table 5C1G-JS Clark Academy'!P15</f>
        <v>0</v>
      </c>
      <c r="AO15" s="49">
        <f t="shared" si="54"/>
        <v>0</v>
      </c>
      <c r="AP15" s="49"/>
    </row>
    <row r="16" spans="1:42">
      <c r="A16" s="979">
        <v>10</v>
      </c>
      <c r="B16" s="980" t="s">
        <v>111</v>
      </c>
      <c r="C16" s="1169">
        <v>0</v>
      </c>
      <c r="D16" s="982">
        <f>'Table 3 Levels 1&amp;2'!AL17</f>
        <v>4320.1782742925079</v>
      </c>
      <c r="E16" s="1073">
        <f t="shared" si="32"/>
        <v>0</v>
      </c>
      <c r="F16" s="1073">
        <f>'Table 4 Level 3'!P15</f>
        <v>608.04000000000008</v>
      </c>
      <c r="G16" s="1073">
        <f t="shared" si="33"/>
        <v>0</v>
      </c>
      <c r="H16" s="1033">
        <f t="shared" si="34"/>
        <v>0</v>
      </c>
      <c r="I16" s="1416">
        <f>'[1]Oct midyear JS Clark Academy'!K16</f>
        <v>0</v>
      </c>
      <c r="J16" s="1416">
        <f>'[1]Feb midyear JS Clark Academy'!K16</f>
        <v>0</v>
      </c>
      <c r="K16" s="1416">
        <f t="shared" si="35"/>
        <v>0</v>
      </c>
      <c r="L16" s="1435">
        <f t="shared" si="36"/>
        <v>0</v>
      </c>
      <c r="M16" s="1083">
        <f t="shared" si="37"/>
        <v>0</v>
      </c>
      <c r="N16" s="1033">
        <f t="shared" si="38"/>
        <v>0</v>
      </c>
      <c r="O16" s="1033">
        <v>0</v>
      </c>
      <c r="P16" s="1033">
        <f t="shared" si="39"/>
        <v>0</v>
      </c>
      <c r="Q16" s="1033">
        <v>0</v>
      </c>
      <c r="R16" s="1033">
        <f t="shared" si="40"/>
        <v>0</v>
      </c>
      <c r="S16" s="1033">
        <f t="shared" si="41"/>
        <v>0</v>
      </c>
      <c r="T16" s="1034">
        <f>'[14]FY2012-13 Final'!K17</f>
        <v>4395</v>
      </c>
      <c r="U16" s="1035">
        <f t="shared" si="30"/>
        <v>0</v>
      </c>
      <c r="V16" s="1465">
        <f>'[20]Oct midyear JS Clark Academy'!E16</f>
        <v>0</v>
      </c>
      <c r="W16" s="1445">
        <f t="shared" si="42"/>
        <v>0</v>
      </c>
      <c r="X16" s="1475">
        <f>'[20]Feb midyear JS Clark Academy'!E16</f>
        <v>0</v>
      </c>
      <c r="Y16" s="1471">
        <f t="shared" si="43"/>
        <v>0</v>
      </c>
      <c r="Z16" s="1471">
        <f t="shared" si="44"/>
        <v>0</v>
      </c>
      <c r="AA16" s="1035">
        <f t="shared" si="45"/>
        <v>0</v>
      </c>
      <c r="AB16" s="1091">
        <f t="shared" si="46"/>
        <v>0</v>
      </c>
      <c r="AC16" s="1035">
        <f t="shared" si="47"/>
        <v>0</v>
      </c>
      <c r="AD16" s="1035">
        <v>0</v>
      </c>
      <c r="AE16" s="1035">
        <f t="shared" si="48"/>
        <v>0</v>
      </c>
      <c r="AF16" s="1035">
        <f t="shared" si="49"/>
        <v>0</v>
      </c>
      <c r="AG16" s="1035">
        <f t="shared" si="50"/>
        <v>0</v>
      </c>
      <c r="AH16" s="1035">
        <f t="shared" si="51"/>
        <v>0</v>
      </c>
      <c r="AI16" s="1036">
        <f t="shared" si="52"/>
        <v>0</v>
      </c>
      <c r="AJ16" s="1036">
        <f t="shared" si="31"/>
        <v>0</v>
      </c>
      <c r="AL16" s="49">
        <f t="shared" si="53"/>
        <v>0</v>
      </c>
      <c r="AM16" s="49">
        <f>-'[22]Table 5C1G-JS Clark Academy'!AL16</f>
        <v>0</v>
      </c>
      <c r="AN16" s="49">
        <f>-'[21]Table 5C1G-JS Clark Academy'!P16</f>
        <v>0</v>
      </c>
      <c r="AO16" s="49">
        <f t="shared" si="54"/>
        <v>0</v>
      </c>
      <c r="AP16" s="49"/>
    </row>
    <row r="17" spans="1:42">
      <c r="A17" s="968">
        <v>11</v>
      </c>
      <c r="B17" s="969" t="s">
        <v>112</v>
      </c>
      <c r="C17" s="1170">
        <v>0</v>
      </c>
      <c r="D17" s="971">
        <f>'Table 3 Levels 1&amp;2'!AL18</f>
        <v>6754.8947842641273</v>
      </c>
      <c r="E17" s="1071">
        <f t="shared" si="32"/>
        <v>0</v>
      </c>
      <c r="F17" s="1071">
        <f>'Table 4 Level 3'!P16</f>
        <v>706.55</v>
      </c>
      <c r="G17" s="1071">
        <f t="shared" si="33"/>
        <v>0</v>
      </c>
      <c r="H17" s="972">
        <f t="shared" si="34"/>
        <v>0</v>
      </c>
      <c r="I17" s="1414">
        <f>'[1]Oct midyear JS Clark Academy'!K17</f>
        <v>0</v>
      </c>
      <c r="J17" s="1414">
        <f>'[1]Feb midyear JS Clark Academy'!K17</f>
        <v>0</v>
      </c>
      <c r="K17" s="1414">
        <f t="shared" si="35"/>
        <v>0</v>
      </c>
      <c r="L17" s="1213">
        <f t="shared" si="36"/>
        <v>0</v>
      </c>
      <c r="M17" s="1081">
        <f t="shared" si="37"/>
        <v>0</v>
      </c>
      <c r="N17" s="972">
        <f t="shared" si="38"/>
        <v>0</v>
      </c>
      <c r="O17" s="972">
        <v>0</v>
      </c>
      <c r="P17" s="972">
        <f t="shared" si="39"/>
        <v>0</v>
      </c>
      <c r="Q17" s="972">
        <v>0</v>
      </c>
      <c r="R17" s="972">
        <f t="shared" si="40"/>
        <v>0</v>
      </c>
      <c r="S17" s="972">
        <f t="shared" si="41"/>
        <v>0</v>
      </c>
      <c r="T17" s="1029">
        <f>'[14]FY2012-13 Final'!K18</f>
        <v>3450</v>
      </c>
      <c r="U17" s="973">
        <f t="shared" si="30"/>
        <v>0</v>
      </c>
      <c r="V17" s="1466">
        <f>'[20]Oct midyear JS Clark Academy'!E17</f>
        <v>0</v>
      </c>
      <c r="W17" s="1444">
        <f t="shared" si="42"/>
        <v>0</v>
      </c>
      <c r="X17" s="1466">
        <f>'[20]Feb midyear JS Clark Academy'!E17</f>
        <v>0</v>
      </c>
      <c r="Y17" s="1444">
        <f t="shared" si="43"/>
        <v>0</v>
      </c>
      <c r="Z17" s="1444">
        <f t="shared" si="44"/>
        <v>0</v>
      </c>
      <c r="AA17" s="973">
        <f t="shared" si="45"/>
        <v>0</v>
      </c>
      <c r="AB17" s="1089">
        <f t="shared" si="46"/>
        <v>0</v>
      </c>
      <c r="AC17" s="973">
        <f t="shared" si="47"/>
        <v>0</v>
      </c>
      <c r="AD17" s="973">
        <v>0</v>
      </c>
      <c r="AE17" s="973">
        <f t="shared" si="48"/>
        <v>0</v>
      </c>
      <c r="AF17" s="973">
        <f t="shared" si="49"/>
        <v>0</v>
      </c>
      <c r="AG17" s="973">
        <f t="shared" si="50"/>
        <v>0</v>
      </c>
      <c r="AH17" s="973">
        <f t="shared" si="51"/>
        <v>0</v>
      </c>
      <c r="AI17" s="974">
        <f t="shared" si="52"/>
        <v>0</v>
      </c>
      <c r="AJ17" s="974">
        <f t="shared" si="31"/>
        <v>0</v>
      </c>
      <c r="AL17" s="49">
        <f t="shared" si="53"/>
        <v>0</v>
      </c>
      <c r="AM17" s="49">
        <f>-'[22]Table 5C1G-JS Clark Academy'!AL17</f>
        <v>0</v>
      </c>
      <c r="AN17" s="49">
        <f>-'[21]Table 5C1G-JS Clark Academy'!P17</f>
        <v>0</v>
      </c>
      <c r="AO17" s="49">
        <f t="shared" si="54"/>
        <v>0</v>
      </c>
      <c r="AP17" s="49"/>
    </row>
    <row r="18" spans="1:42">
      <c r="A18" s="975">
        <v>12</v>
      </c>
      <c r="B18" s="976" t="s">
        <v>113</v>
      </c>
      <c r="C18" s="1168">
        <v>0</v>
      </c>
      <c r="D18" s="978">
        <f>'Table 3 Levels 1&amp;2'!AL19</f>
        <v>1807.9873469387755</v>
      </c>
      <c r="E18" s="1072">
        <f t="shared" si="32"/>
        <v>0</v>
      </c>
      <c r="F18" s="1072">
        <f>'Table 4 Level 3'!P17</f>
        <v>1063.31</v>
      </c>
      <c r="G18" s="1072">
        <f t="shared" si="33"/>
        <v>0</v>
      </c>
      <c r="H18" s="1030">
        <f t="shared" si="34"/>
        <v>0</v>
      </c>
      <c r="I18" s="1415">
        <f>'[1]Oct midyear JS Clark Academy'!K18</f>
        <v>0</v>
      </c>
      <c r="J18" s="1415">
        <f>'[1]Feb midyear JS Clark Academy'!K18</f>
        <v>0</v>
      </c>
      <c r="K18" s="1415">
        <f t="shared" si="35"/>
        <v>0</v>
      </c>
      <c r="L18" s="1434">
        <f t="shared" si="36"/>
        <v>0</v>
      </c>
      <c r="M18" s="1082">
        <f t="shared" si="37"/>
        <v>0</v>
      </c>
      <c r="N18" s="1030">
        <f t="shared" si="38"/>
        <v>0</v>
      </c>
      <c r="O18" s="1030">
        <v>0</v>
      </c>
      <c r="P18" s="1030">
        <f t="shared" si="39"/>
        <v>0</v>
      </c>
      <c r="Q18" s="1030">
        <v>0</v>
      </c>
      <c r="R18" s="1030">
        <f t="shared" si="40"/>
        <v>0</v>
      </c>
      <c r="S18" s="1030">
        <f t="shared" si="41"/>
        <v>0</v>
      </c>
      <c r="T18" s="1029">
        <f>'[14]FY2012-13 Final'!K19</f>
        <v>12561</v>
      </c>
      <c r="U18" s="1031">
        <f t="shared" si="30"/>
        <v>0</v>
      </c>
      <c r="V18" s="1464">
        <f>'[20]Oct midyear JS Clark Academy'!E18</f>
        <v>0</v>
      </c>
      <c r="W18" s="1443">
        <f t="shared" si="42"/>
        <v>0</v>
      </c>
      <c r="X18" s="1474">
        <f>'[20]Feb midyear JS Clark Academy'!E18</f>
        <v>0</v>
      </c>
      <c r="Y18" s="1470">
        <f t="shared" si="43"/>
        <v>0</v>
      </c>
      <c r="Z18" s="1470">
        <f t="shared" si="44"/>
        <v>0</v>
      </c>
      <c r="AA18" s="1031">
        <f t="shared" si="45"/>
        <v>0</v>
      </c>
      <c r="AB18" s="1090">
        <f t="shared" si="46"/>
        <v>0</v>
      </c>
      <c r="AC18" s="1031">
        <f t="shared" si="47"/>
        <v>0</v>
      </c>
      <c r="AD18" s="1031">
        <v>0</v>
      </c>
      <c r="AE18" s="1031">
        <f t="shared" si="48"/>
        <v>0</v>
      </c>
      <c r="AF18" s="1031">
        <f t="shared" si="49"/>
        <v>0</v>
      </c>
      <c r="AG18" s="1031">
        <f t="shared" si="50"/>
        <v>0</v>
      </c>
      <c r="AH18" s="1031">
        <f t="shared" si="51"/>
        <v>0</v>
      </c>
      <c r="AI18" s="1032">
        <f t="shared" si="52"/>
        <v>0</v>
      </c>
      <c r="AJ18" s="1032">
        <f t="shared" si="31"/>
        <v>0</v>
      </c>
      <c r="AL18" s="49">
        <f t="shared" si="53"/>
        <v>0</v>
      </c>
      <c r="AM18" s="49">
        <f>-'[22]Table 5C1G-JS Clark Academy'!AL18</f>
        <v>0</v>
      </c>
      <c r="AN18" s="49">
        <f>-'[21]Table 5C1G-JS Clark Academy'!P18</f>
        <v>0</v>
      </c>
      <c r="AO18" s="49">
        <f t="shared" si="54"/>
        <v>0</v>
      </c>
      <c r="AP18" s="49"/>
    </row>
    <row r="19" spans="1:42">
      <c r="A19" s="975">
        <v>13</v>
      </c>
      <c r="B19" s="976" t="s">
        <v>114</v>
      </c>
      <c r="C19" s="1168">
        <v>0</v>
      </c>
      <c r="D19" s="978">
        <f>'Table 3 Levels 1&amp;2'!AL20</f>
        <v>6143.511131744569</v>
      </c>
      <c r="E19" s="1072">
        <f t="shared" si="32"/>
        <v>0</v>
      </c>
      <c r="F19" s="1072">
        <f>'Table 4 Level 3'!P18</f>
        <v>749.43000000000006</v>
      </c>
      <c r="G19" s="1072">
        <f t="shared" si="33"/>
        <v>0</v>
      </c>
      <c r="H19" s="1030">
        <f t="shared" si="34"/>
        <v>0</v>
      </c>
      <c r="I19" s="1415">
        <f>'[1]Oct midyear JS Clark Academy'!K19</f>
        <v>0</v>
      </c>
      <c r="J19" s="1415">
        <f>'[1]Feb midyear JS Clark Academy'!K19</f>
        <v>0</v>
      </c>
      <c r="K19" s="1415">
        <f t="shared" si="35"/>
        <v>0</v>
      </c>
      <c r="L19" s="1434">
        <f t="shared" si="36"/>
        <v>0</v>
      </c>
      <c r="M19" s="1082">
        <f t="shared" si="37"/>
        <v>0</v>
      </c>
      <c r="N19" s="1030">
        <f t="shared" si="38"/>
        <v>0</v>
      </c>
      <c r="O19" s="1030">
        <v>0</v>
      </c>
      <c r="P19" s="1030">
        <f t="shared" si="39"/>
        <v>0</v>
      </c>
      <c r="Q19" s="1030">
        <v>0</v>
      </c>
      <c r="R19" s="1030">
        <f t="shared" si="40"/>
        <v>0</v>
      </c>
      <c r="S19" s="1030">
        <f t="shared" si="41"/>
        <v>0</v>
      </c>
      <c r="T19" s="1029">
        <f>'[14]FY2012-13 Final'!K20</f>
        <v>2538</v>
      </c>
      <c r="U19" s="1031">
        <f t="shared" si="30"/>
        <v>0</v>
      </c>
      <c r="V19" s="1464">
        <f>'[20]Oct midyear JS Clark Academy'!E19</f>
        <v>0</v>
      </c>
      <c r="W19" s="1443">
        <f t="shared" si="42"/>
        <v>0</v>
      </c>
      <c r="X19" s="1474">
        <f>'[20]Feb midyear JS Clark Academy'!E19</f>
        <v>0</v>
      </c>
      <c r="Y19" s="1470">
        <f t="shared" si="43"/>
        <v>0</v>
      </c>
      <c r="Z19" s="1470">
        <f t="shared" si="44"/>
        <v>0</v>
      </c>
      <c r="AA19" s="1031">
        <f t="shared" si="45"/>
        <v>0</v>
      </c>
      <c r="AB19" s="1090">
        <f t="shared" si="46"/>
        <v>0</v>
      </c>
      <c r="AC19" s="1031">
        <f t="shared" si="47"/>
        <v>0</v>
      </c>
      <c r="AD19" s="1031">
        <v>0</v>
      </c>
      <c r="AE19" s="1031">
        <f t="shared" si="48"/>
        <v>0</v>
      </c>
      <c r="AF19" s="1031">
        <f t="shared" si="49"/>
        <v>0</v>
      </c>
      <c r="AG19" s="1448">
        <f t="shared" si="50"/>
        <v>0</v>
      </c>
      <c r="AH19" s="1448">
        <f t="shared" si="51"/>
        <v>0</v>
      </c>
      <c r="AI19" s="1032">
        <f t="shared" si="52"/>
        <v>0</v>
      </c>
      <c r="AJ19" s="1032">
        <f t="shared" si="31"/>
        <v>0</v>
      </c>
      <c r="AL19" s="49">
        <f t="shared" si="53"/>
        <v>0</v>
      </c>
      <c r="AM19" s="49">
        <f>-'[22]Table 5C1G-JS Clark Academy'!AL19</f>
        <v>0</v>
      </c>
      <c r="AN19" s="49">
        <f>-'[21]Table 5C1G-JS Clark Academy'!P19</f>
        <v>0</v>
      </c>
      <c r="AO19" s="49">
        <f t="shared" si="54"/>
        <v>0</v>
      </c>
      <c r="AP19" s="49"/>
    </row>
    <row r="20" spans="1:42">
      <c r="A20" s="975">
        <v>14</v>
      </c>
      <c r="B20" s="976" t="s">
        <v>115</v>
      </c>
      <c r="C20" s="1168">
        <v>0</v>
      </c>
      <c r="D20" s="978">
        <f>'Table 3 Levels 1&amp;2'!AL21</f>
        <v>5304.5609177528095</v>
      </c>
      <c r="E20" s="1072">
        <f t="shared" si="32"/>
        <v>0</v>
      </c>
      <c r="F20" s="1072">
        <f>'Table 4 Level 3'!P19</f>
        <v>809.9799999999999</v>
      </c>
      <c r="G20" s="1072">
        <f t="shared" si="33"/>
        <v>0</v>
      </c>
      <c r="H20" s="1030">
        <f t="shared" si="34"/>
        <v>0</v>
      </c>
      <c r="I20" s="1415">
        <f>'[1]Oct midyear JS Clark Academy'!K20</f>
        <v>0</v>
      </c>
      <c r="J20" s="1415">
        <f>'[1]Feb midyear JS Clark Academy'!K20</f>
        <v>0</v>
      </c>
      <c r="K20" s="1415">
        <f t="shared" si="35"/>
        <v>0</v>
      </c>
      <c r="L20" s="1434">
        <f t="shared" si="36"/>
        <v>0</v>
      </c>
      <c r="M20" s="1082">
        <f t="shared" si="37"/>
        <v>0</v>
      </c>
      <c r="N20" s="1030">
        <f t="shared" si="38"/>
        <v>0</v>
      </c>
      <c r="O20" s="1030">
        <v>0</v>
      </c>
      <c r="P20" s="1030">
        <f t="shared" si="39"/>
        <v>0</v>
      </c>
      <c r="Q20" s="1030">
        <v>0</v>
      </c>
      <c r="R20" s="1030">
        <f t="shared" si="40"/>
        <v>0</v>
      </c>
      <c r="S20" s="1030">
        <f t="shared" si="41"/>
        <v>0</v>
      </c>
      <c r="T20" s="1029">
        <f>'[14]FY2012-13 Final'!K21</f>
        <v>3890</v>
      </c>
      <c r="U20" s="1031">
        <f t="shared" si="30"/>
        <v>0</v>
      </c>
      <c r="V20" s="1464">
        <f>'[20]Oct midyear JS Clark Academy'!E20</f>
        <v>0</v>
      </c>
      <c r="W20" s="1443">
        <f t="shared" si="42"/>
        <v>0</v>
      </c>
      <c r="X20" s="1474">
        <f>'[20]Feb midyear JS Clark Academy'!E20</f>
        <v>0</v>
      </c>
      <c r="Y20" s="1470">
        <f t="shared" si="43"/>
        <v>0</v>
      </c>
      <c r="Z20" s="1470">
        <f t="shared" si="44"/>
        <v>0</v>
      </c>
      <c r="AA20" s="1031">
        <f t="shared" si="45"/>
        <v>0</v>
      </c>
      <c r="AB20" s="1090">
        <f t="shared" si="46"/>
        <v>0</v>
      </c>
      <c r="AC20" s="1031">
        <f t="shared" si="47"/>
        <v>0</v>
      </c>
      <c r="AD20" s="1031">
        <v>0</v>
      </c>
      <c r="AE20" s="1031">
        <f t="shared" si="48"/>
        <v>0</v>
      </c>
      <c r="AF20" s="1031">
        <f t="shared" si="49"/>
        <v>0</v>
      </c>
      <c r="AG20" s="1448">
        <f t="shared" si="50"/>
        <v>0</v>
      </c>
      <c r="AH20" s="1448">
        <f t="shared" si="51"/>
        <v>0</v>
      </c>
      <c r="AI20" s="1032">
        <f t="shared" si="52"/>
        <v>0</v>
      </c>
      <c r="AJ20" s="1032">
        <f t="shared" si="31"/>
        <v>0</v>
      </c>
      <c r="AL20" s="49">
        <f t="shared" si="53"/>
        <v>0</v>
      </c>
      <c r="AM20" s="49">
        <f>-'[22]Table 5C1G-JS Clark Academy'!AL20</f>
        <v>0</v>
      </c>
      <c r="AN20" s="49">
        <f>-'[21]Table 5C1G-JS Clark Academy'!P20</f>
        <v>0</v>
      </c>
      <c r="AO20" s="49">
        <f t="shared" si="54"/>
        <v>0</v>
      </c>
      <c r="AP20" s="49"/>
    </row>
    <row r="21" spans="1:42">
      <c r="A21" s="979">
        <v>15</v>
      </c>
      <c r="B21" s="980" t="s">
        <v>116</v>
      </c>
      <c r="C21" s="1169">
        <v>0</v>
      </c>
      <c r="D21" s="982">
        <f>'Table 3 Levels 1&amp;2'!AL22</f>
        <v>5440.6588926253107</v>
      </c>
      <c r="E21" s="1073">
        <f t="shared" si="32"/>
        <v>0</v>
      </c>
      <c r="F21" s="1073">
        <f>'Table 4 Level 3'!P20</f>
        <v>553.79999999999995</v>
      </c>
      <c r="G21" s="1073">
        <f t="shared" si="33"/>
        <v>0</v>
      </c>
      <c r="H21" s="1033">
        <f t="shared" si="34"/>
        <v>0</v>
      </c>
      <c r="I21" s="1416">
        <f>'[1]Oct midyear JS Clark Academy'!K21</f>
        <v>0</v>
      </c>
      <c r="J21" s="1416">
        <f>'[1]Feb midyear JS Clark Academy'!K21</f>
        <v>0</v>
      </c>
      <c r="K21" s="1416">
        <f t="shared" si="35"/>
        <v>0</v>
      </c>
      <c r="L21" s="1435">
        <f t="shared" si="36"/>
        <v>0</v>
      </c>
      <c r="M21" s="1083">
        <f t="shared" si="37"/>
        <v>0</v>
      </c>
      <c r="N21" s="1033">
        <f t="shared" si="38"/>
        <v>0</v>
      </c>
      <c r="O21" s="1033">
        <v>0</v>
      </c>
      <c r="P21" s="1033">
        <f t="shared" si="39"/>
        <v>0</v>
      </c>
      <c r="Q21" s="1033">
        <v>0</v>
      </c>
      <c r="R21" s="1033">
        <f t="shared" si="40"/>
        <v>0</v>
      </c>
      <c r="S21" s="1033">
        <f t="shared" si="41"/>
        <v>0</v>
      </c>
      <c r="T21" s="1034">
        <f>'[14]FY2012-13 Final'!K22</f>
        <v>2752</v>
      </c>
      <c r="U21" s="1035">
        <f t="shared" si="30"/>
        <v>0</v>
      </c>
      <c r="V21" s="1465">
        <f>'[20]Oct midyear JS Clark Academy'!E21</f>
        <v>0</v>
      </c>
      <c r="W21" s="1445">
        <f t="shared" si="42"/>
        <v>0</v>
      </c>
      <c r="X21" s="1475">
        <f>'[20]Feb midyear JS Clark Academy'!E21</f>
        <v>0</v>
      </c>
      <c r="Y21" s="1471">
        <f t="shared" si="43"/>
        <v>0</v>
      </c>
      <c r="Z21" s="1471">
        <f t="shared" si="44"/>
        <v>0</v>
      </c>
      <c r="AA21" s="1035">
        <f t="shared" si="45"/>
        <v>0</v>
      </c>
      <c r="AB21" s="1091">
        <f t="shared" si="46"/>
        <v>0</v>
      </c>
      <c r="AC21" s="1035">
        <f t="shared" si="47"/>
        <v>0</v>
      </c>
      <c r="AD21" s="1035">
        <v>0</v>
      </c>
      <c r="AE21" s="1035">
        <f t="shared" si="48"/>
        <v>0</v>
      </c>
      <c r="AF21" s="1035">
        <f t="shared" si="49"/>
        <v>0</v>
      </c>
      <c r="AG21" s="1450">
        <f t="shared" si="50"/>
        <v>0</v>
      </c>
      <c r="AH21" s="1450">
        <f t="shared" si="51"/>
        <v>0</v>
      </c>
      <c r="AI21" s="1036">
        <f t="shared" si="52"/>
        <v>0</v>
      </c>
      <c r="AJ21" s="1036">
        <f t="shared" si="31"/>
        <v>0</v>
      </c>
      <c r="AL21" s="49">
        <f t="shared" si="53"/>
        <v>0</v>
      </c>
      <c r="AM21" s="49">
        <f>-'[22]Table 5C1G-JS Clark Academy'!AL21</f>
        <v>0</v>
      </c>
      <c r="AN21" s="49">
        <f>-'[21]Table 5C1G-JS Clark Academy'!P21</f>
        <v>0</v>
      </c>
      <c r="AO21" s="49">
        <f t="shared" si="54"/>
        <v>0</v>
      </c>
      <c r="AP21" s="49"/>
    </row>
    <row r="22" spans="1:42">
      <c r="A22" s="968">
        <v>16</v>
      </c>
      <c r="B22" s="969" t="s">
        <v>117</v>
      </c>
      <c r="C22" s="1170">
        <v>0</v>
      </c>
      <c r="D22" s="971">
        <f>'Table 3 Levels 1&amp;2'!AL23</f>
        <v>1508.2103091706706</v>
      </c>
      <c r="E22" s="1071">
        <f t="shared" si="32"/>
        <v>0</v>
      </c>
      <c r="F22" s="1071">
        <f>'Table 4 Level 3'!P21</f>
        <v>686.73</v>
      </c>
      <c r="G22" s="1071">
        <f t="shared" si="33"/>
        <v>0</v>
      </c>
      <c r="H22" s="972">
        <f t="shared" si="34"/>
        <v>0</v>
      </c>
      <c r="I22" s="1414">
        <f>'[1]Oct midyear JS Clark Academy'!K22</f>
        <v>0</v>
      </c>
      <c r="J22" s="1414">
        <f>'[1]Feb midyear JS Clark Academy'!K22</f>
        <v>0</v>
      </c>
      <c r="K22" s="1414">
        <f t="shared" si="35"/>
        <v>0</v>
      </c>
      <c r="L22" s="1213">
        <f t="shared" si="36"/>
        <v>0</v>
      </c>
      <c r="M22" s="1081">
        <f t="shared" si="37"/>
        <v>0</v>
      </c>
      <c r="N22" s="972">
        <f t="shared" si="38"/>
        <v>0</v>
      </c>
      <c r="O22" s="972">
        <v>0</v>
      </c>
      <c r="P22" s="972">
        <f t="shared" si="39"/>
        <v>0</v>
      </c>
      <c r="Q22" s="972">
        <v>0</v>
      </c>
      <c r="R22" s="972">
        <f t="shared" si="40"/>
        <v>0</v>
      </c>
      <c r="S22" s="972">
        <f t="shared" si="41"/>
        <v>0</v>
      </c>
      <c r="T22" s="1029">
        <f>'[14]FY2012-13 Final'!K23</f>
        <v>15097</v>
      </c>
      <c r="U22" s="973">
        <f t="shared" si="30"/>
        <v>0</v>
      </c>
      <c r="V22" s="1466">
        <f>'[20]Oct midyear JS Clark Academy'!E22</f>
        <v>0</v>
      </c>
      <c r="W22" s="1444">
        <f t="shared" si="42"/>
        <v>0</v>
      </c>
      <c r="X22" s="1466">
        <f>'[20]Feb midyear JS Clark Academy'!E22</f>
        <v>0</v>
      </c>
      <c r="Y22" s="1444">
        <f t="shared" si="43"/>
        <v>0</v>
      </c>
      <c r="Z22" s="1444">
        <f t="shared" si="44"/>
        <v>0</v>
      </c>
      <c r="AA22" s="973">
        <f t="shared" si="45"/>
        <v>0</v>
      </c>
      <c r="AB22" s="1089">
        <f t="shared" si="46"/>
        <v>0</v>
      </c>
      <c r="AC22" s="973">
        <f t="shared" si="47"/>
        <v>0</v>
      </c>
      <c r="AD22" s="973">
        <v>0</v>
      </c>
      <c r="AE22" s="973">
        <f t="shared" si="48"/>
        <v>0</v>
      </c>
      <c r="AF22" s="973">
        <f t="shared" si="49"/>
        <v>0</v>
      </c>
      <c r="AG22" s="1214">
        <f t="shared" si="50"/>
        <v>0</v>
      </c>
      <c r="AH22" s="1214">
        <f t="shared" si="51"/>
        <v>0</v>
      </c>
      <c r="AI22" s="974">
        <f t="shared" si="52"/>
        <v>0</v>
      </c>
      <c r="AJ22" s="974">
        <f t="shared" si="31"/>
        <v>0</v>
      </c>
      <c r="AL22" s="49">
        <f t="shared" si="53"/>
        <v>0</v>
      </c>
      <c r="AM22" s="49">
        <f>-'[22]Table 5C1G-JS Clark Academy'!AL22</f>
        <v>0</v>
      </c>
      <c r="AN22" s="49">
        <f>-'[21]Table 5C1G-JS Clark Academy'!P22</f>
        <v>0</v>
      </c>
      <c r="AO22" s="49">
        <f t="shared" si="54"/>
        <v>0</v>
      </c>
      <c r="AP22" s="49"/>
    </row>
    <row r="23" spans="1:42">
      <c r="A23" s="975">
        <v>17</v>
      </c>
      <c r="B23" s="976" t="s">
        <v>118</v>
      </c>
      <c r="C23" s="1168">
        <v>0</v>
      </c>
      <c r="D23" s="978">
        <f>'Table 3 Levels 1&amp;2'!AL24</f>
        <v>3395.7244841073689</v>
      </c>
      <c r="E23" s="1072">
        <f t="shared" si="32"/>
        <v>0</v>
      </c>
      <c r="F23" s="1072">
        <f>'Table 5B2_RSD_LA'!F7</f>
        <v>801.47762416806802</v>
      </c>
      <c r="G23" s="1072">
        <f t="shared" si="33"/>
        <v>0</v>
      </c>
      <c r="H23" s="1030">
        <f t="shared" si="34"/>
        <v>0</v>
      </c>
      <c r="I23" s="1415">
        <f>'[1]Oct midyear JS Clark Academy'!K23</f>
        <v>0</v>
      </c>
      <c r="J23" s="1415">
        <f>'[1]Feb midyear JS Clark Academy'!K23</f>
        <v>0</v>
      </c>
      <c r="K23" s="1415">
        <f t="shared" si="35"/>
        <v>0</v>
      </c>
      <c r="L23" s="1434">
        <f t="shared" si="36"/>
        <v>0</v>
      </c>
      <c r="M23" s="1082">
        <f t="shared" si="37"/>
        <v>0</v>
      </c>
      <c r="N23" s="1030">
        <f t="shared" si="38"/>
        <v>0</v>
      </c>
      <c r="O23" s="1030">
        <v>0</v>
      </c>
      <c r="P23" s="1030">
        <f t="shared" si="39"/>
        <v>0</v>
      </c>
      <c r="Q23" s="1030">
        <v>0</v>
      </c>
      <c r="R23" s="1030">
        <f t="shared" si="40"/>
        <v>0</v>
      </c>
      <c r="S23" s="1030">
        <f t="shared" si="41"/>
        <v>0</v>
      </c>
      <c r="T23" s="1029">
        <f>'[14]FY2012-13 Final'!K24</f>
        <v>6601</v>
      </c>
      <c r="U23" s="1031">
        <f t="shared" si="30"/>
        <v>0</v>
      </c>
      <c r="V23" s="1464">
        <f>'[20]Oct midyear JS Clark Academy'!E23</f>
        <v>0</v>
      </c>
      <c r="W23" s="1443">
        <f t="shared" si="42"/>
        <v>0</v>
      </c>
      <c r="X23" s="1474">
        <f>'[20]Feb midyear JS Clark Academy'!E23</f>
        <v>0</v>
      </c>
      <c r="Y23" s="1470">
        <f t="shared" si="43"/>
        <v>0</v>
      </c>
      <c r="Z23" s="1470">
        <f t="shared" si="44"/>
        <v>0</v>
      </c>
      <c r="AA23" s="1031">
        <f t="shared" si="45"/>
        <v>0</v>
      </c>
      <c r="AB23" s="1090">
        <f t="shared" si="46"/>
        <v>0</v>
      </c>
      <c r="AC23" s="1031">
        <f t="shared" si="47"/>
        <v>0</v>
      </c>
      <c r="AD23" s="1031">
        <v>0</v>
      </c>
      <c r="AE23" s="1031">
        <f t="shared" si="48"/>
        <v>0</v>
      </c>
      <c r="AF23" s="1031">
        <f t="shared" si="49"/>
        <v>0</v>
      </c>
      <c r="AG23" s="1448">
        <f t="shared" si="50"/>
        <v>0</v>
      </c>
      <c r="AH23" s="1448">
        <f t="shared" si="51"/>
        <v>0</v>
      </c>
      <c r="AI23" s="1032">
        <f t="shared" si="52"/>
        <v>0</v>
      </c>
      <c r="AJ23" s="1032">
        <f t="shared" si="31"/>
        <v>0</v>
      </c>
      <c r="AL23" s="49">
        <f t="shared" si="53"/>
        <v>0</v>
      </c>
      <c r="AM23" s="49">
        <f>-'[22]Table 5C1G-JS Clark Academy'!AL23</f>
        <v>0</v>
      </c>
      <c r="AN23" s="49">
        <f>-'[21]Table 5C1G-JS Clark Academy'!P23</f>
        <v>0</v>
      </c>
      <c r="AO23" s="49">
        <f t="shared" si="54"/>
        <v>0</v>
      </c>
      <c r="AP23" s="49"/>
    </row>
    <row r="24" spans="1:42">
      <c r="A24" s="975">
        <v>18</v>
      </c>
      <c r="B24" s="976" t="s">
        <v>119</v>
      </c>
      <c r="C24" s="1168">
        <v>0</v>
      </c>
      <c r="D24" s="978">
        <f>'Table 3 Levels 1&amp;2'!AL25</f>
        <v>5811.9176591224677</v>
      </c>
      <c r="E24" s="1072">
        <f t="shared" si="32"/>
        <v>0</v>
      </c>
      <c r="F24" s="1072">
        <f>'Table 4 Level 3'!P23</f>
        <v>845.94999999999993</v>
      </c>
      <c r="G24" s="1072">
        <f t="shared" si="33"/>
        <v>0</v>
      </c>
      <c r="H24" s="1030">
        <f t="shared" si="34"/>
        <v>0</v>
      </c>
      <c r="I24" s="1415">
        <f>'[1]Oct midyear JS Clark Academy'!K24</f>
        <v>0</v>
      </c>
      <c r="J24" s="1415">
        <f>'[1]Feb midyear JS Clark Academy'!K24</f>
        <v>0</v>
      </c>
      <c r="K24" s="1415">
        <f t="shared" si="35"/>
        <v>0</v>
      </c>
      <c r="L24" s="1434">
        <f t="shared" si="36"/>
        <v>0</v>
      </c>
      <c r="M24" s="1082">
        <f t="shared" si="37"/>
        <v>0</v>
      </c>
      <c r="N24" s="1030">
        <f t="shared" si="38"/>
        <v>0</v>
      </c>
      <c r="O24" s="1030">
        <v>0</v>
      </c>
      <c r="P24" s="1030">
        <f t="shared" si="39"/>
        <v>0</v>
      </c>
      <c r="Q24" s="1030">
        <v>0</v>
      </c>
      <c r="R24" s="1030">
        <f t="shared" si="40"/>
        <v>0</v>
      </c>
      <c r="S24" s="1030">
        <f t="shared" si="41"/>
        <v>0</v>
      </c>
      <c r="T24" s="1029">
        <f>'[14]FY2012-13 Final'!K25</f>
        <v>2179</v>
      </c>
      <c r="U24" s="1031">
        <f t="shared" si="30"/>
        <v>0</v>
      </c>
      <c r="V24" s="1464">
        <f>'[20]Oct midyear JS Clark Academy'!E24</f>
        <v>0</v>
      </c>
      <c r="W24" s="1443">
        <f t="shared" si="42"/>
        <v>0</v>
      </c>
      <c r="X24" s="1474">
        <f>'[20]Feb midyear JS Clark Academy'!E24</f>
        <v>0</v>
      </c>
      <c r="Y24" s="1470">
        <f t="shared" si="43"/>
        <v>0</v>
      </c>
      <c r="Z24" s="1470">
        <f t="shared" si="44"/>
        <v>0</v>
      </c>
      <c r="AA24" s="1031">
        <f t="shared" si="45"/>
        <v>0</v>
      </c>
      <c r="AB24" s="1090">
        <f t="shared" si="46"/>
        <v>0</v>
      </c>
      <c r="AC24" s="1031">
        <f t="shared" si="47"/>
        <v>0</v>
      </c>
      <c r="AD24" s="1031">
        <v>0</v>
      </c>
      <c r="AE24" s="1031">
        <f t="shared" si="48"/>
        <v>0</v>
      </c>
      <c r="AF24" s="1031">
        <f t="shared" si="49"/>
        <v>0</v>
      </c>
      <c r="AG24" s="1448">
        <f t="shared" si="50"/>
        <v>0</v>
      </c>
      <c r="AH24" s="1448">
        <f t="shared" si="51"/>
        <v>0</v>
      </c>
      <c r="AI24" s="1032">
        <f t="shared" si="52"/>
        <v>0</v>
      </c>
      <c r="AJ24" s="1032">
        <f t="shared" si="31"/>
        <v>0</v>
      </c>
      <c r="AL24" s="49">
        <f t="shared" si="53"/>
        <v>0</v>
      </c>
      <c r="AM24" s="49">
        <f>-'[22]Table 5C1G-JS Clark Academy'!AL24</f>
        <v>0</v>
      </c>
      <c r="AN24" s="49">
        <f>-'[21]Table 5C1G-JS Clark Academy'!P24</f>
        <v>0</v>
      </c>
      <c r="AO24" s="49">
        <f t="shared" si="54"/>
        <v>0</v>
      </c>
      <c r="AP24" s="49"/>
    </row>
    <row r="25" spans="1:42">
      <c r="A25" s="975">
        <v>19</v>
      </c>
      <c r="B25" s="976" t="s">
        <v>120</v>
      </c>
      <c r="C25" s="1168">
        <v>0</v>
      </c>
      <c r="D25" s="978">
        <f>'Table 3 Levels 1&amp;2'!AL26</f>
        <v>5201.7687653250778</v>
      </c>
      <c r="E25" s="1072">
        <f t="shared" si="32"/>
        <v>0</v>
      </c>
      <c r="F25" s="1072">
        <f>'Table 4 Level 3'!P24</f>
        <v>905.43</v>
      </c>
      <c r="G25" s="1072">
        <f t="shared" si="33"/>
        <v>0</v>
      </c>
      <c r="H25" s="1030">
        <f t="shared" si="34"/>
        <v>0</v>
      </c>
      <c r="I25" s="1415">
        <f>'[1]Oct midyear JS Clark Academy'!K25</f>
        <v>0</v>
      </c>
      <c r="J25" s="1415">
        <f>'[1]Feb midyear JS Clark Academy'!K25</f>
        <v>0</v>
      </c>
      <c r="K25" s="1415">
        <f t="shared" si="35"/>
        <v>0</v>
      </c>
      <c r="L25" s="1434">
        <f t="shared" si="36"/>
        <v>0</v>
      </c>
      <c r="M25" s="1082">
        <f t="shared" si="37"/>
        <v>0</v>
      </c>
      <c r="N25" s="1030">
        <f t="shared" si="38"/>
        <v>0</v>
      </c>
      <c r="O25" s="1030">
        <v>0</v>
      </c>
      <c r="P25" s="1030">
        <f t="shared" si="39"/>
        <v>0</v>
      </c>
      <c r="Q25" s="1030">
        <v>0</v>
      </c>
      <c r="R25" s="1030">
        <f t="shared" si="40"/>
        <v>0</v>
      </c>
      <c r="S25" s="1030">
        <f t="shared" si="41"/>
        <v>0</v>
      </c>
      <c r="T25" s="1029">
        <f>'[14]FY2012-13 Final'!K26</f>
        <v>2736</v>
      </c>
      <c r="U25" s="1031">
        <f t="shared" si="30"/>
        <v>0</v>
      </c>
      <c r="V25" s="1464">
        <f>'[20]Oct midyear JS Clark Academy'!E25</f>
        <v>0</v>
      </c>
      <c r="W25" s="1443">
        <f t="shared" si="42"/>
        <v>0</v>
      </c>
      <c r="X25" s="1474">
        <f>'[20]Feb midyear JS Clark Academy'!E25</f>
        <v>0</v>
      </c>
      <c r="Y25" s="1470">
        <f t="shared" si="43"/>
        <v>0</v>
      </c>
      <c r="Z25" s="1470">
        <f t="shared" si="44"/>
        <v>0</v>
      </c>
      <c r="AA25" s="1031">
        <f t="shared" si="45"/>
        <v>0</v>
      </c>
      <c r="AB25" s="1090">
        <f t="shared" si="46"/>
        <v>0</v>
      </c>
      <c r="AC25" s="1031">
        <f t="shared" si="47"/>
        <v>0</v>
      </c>
      <c r="AD25" s="1031">
        <v>0</v>
      </c>
      <c r="AE25" s="1031">
        <f t="shared" si="48"/>
        <v>0</v>
      </c>
      <c r="AF25" s="1031">
        <f t="shared" si="49"/>
        <v>0</v>
      </c>
      <c r="AG25" s="1448">
        <f t="shared" si="50"/>
        <v>0</v>
      </c>
      <c r="AH25" s="1448">
        <f t="shared" si="51"/>
        <v>0</v>
      </c>
      <c r="AI25" s="1032">
        <f t="shared" si="52"/>
        <v>0</v>
      </c>
      <c r="AJ25" s="1032">
        <f t="shared" si="31"/>
        <v>0</v>
      </c>
      <c r="AL25" s="49">
        <f t="shared" si="53"/>
        <v>0</v>
      </c>
      <c r="AM25" s="49">
        <f>-'[22]Table 5C1G-JS Clark Academy'!AL25</f>
        <v>0</v>
      </c>
      <c r="AN25" s="49">
        <f>-'[21]Table 5C1G-JS Clark Academy'!P25</f>
        <v>0</v>
      </c>
      <c r="AO25" s="49">
        <f t="shared" si="54"/>
        <v>0</v>
      </c>
      <c r="AP25" s="49"/>
    </row>
    <row r="26" spans="1:42">
      <c r="A26" s="979">
        <v>20</v>
      </c>
      <c r="B26" s="980" t="s">
        <v>121</v>
      </c>
      <c r="C26" s="1169">
        <v>0</v>
      </c>
      <c r="D26" s="982">
        <f>'Table 3 Levels 1&amp;2'!AL27</f>
        <v>5446.6066076220959</v>
      </c>
      <c r="E26" s="1073">
        <f t="shared" si="32"/>
        <v>0</v>
      </c>
      <c r="F26" s="1073">
        <f>'Table 4 Level 3'!P25</f>
        <v>586.16999999999996</v>
      </c>
      <c r="G26" s="1073">
        <f t="shared" si="33"/>
        <v>0</v>
      </c>
      <c r="H26" s="1033">
        <f t="shared" si="34"/>
        <v>0</v>
      </c>
      <c r="I26" s="1416">
        <f>'[1]Oct midyear JS Clark Academy'!K26</f>
        <v>0</v>
      </c>
      <c r="J26" s="1416">
        <f>'[1]Feb midyear JS Clark Academy'!K26</f>
        <v>0</v>
      </c>
      <c r="K26" s="1416">
        <f t="shared" si="35"/>
        <v>0</v>
      </c>
      <c r="L26" s="1435">
        <f t="shared" si="36"/>
        <v>0</v>
      </c>
      <c r="M26" s="1083">
        <f t="shared" si="37"/>
        <v>0</v>
      </c>
      <c r="N26" s="1033">
        <f t="shared" si="38"/>
        <v>0</v>
      </c>
      <c r="O26" s="1033">
        <v>0</v>
      </c>
      <c r="P26" s="1033">
        <f t="shared" si="39"/>
        <v>0</v>
      </c>
      <c r="Q26" s="1033">
        <v>0</v>
      </c>
      <c r="R26" s="1033">
        <f t="shared" si="40"/>
        <v>0</v>
      </c>
      <c r="S26" s="1033">
        <f t="shared" si="41"/>
        <v>0</v>
      </c>
      <c r="T26" s="1034">
        <f>'[14]FY2012-13 Final'!K27</f>
        <v>2337</v>
      </c>
      <c r="U26" s="1035">
        <f t="shared" si="30"/>
        <v>0</v>
      </c>
      <c r="V26" s="1465">
        <f>'[20]Oct midyear JS Clark Academy'!E26</f>
        <v>0</v>
      </c>
      <c r="W26" s="1445">
        <f t="shared" si="42"/>
        <v>0</v>
      </c>
      <c r="X26" s="1475">
        <f>'[20]Feb midyear JS Clark Academy'!E26</f>
        <v>0</v>
      </c>
      <c r="Y26" s="1471">
        <f t="shared" si="43"/>
        <v>0</v>
      </c>
      <c r="Z26" s="1471">
        <f t="shared" si="44"/>
        <v>0</v>
      </c>
      <c r="AA26" s="1035">
        <f t="shared" si="45"/>
        <v>0</v>
      </c>
      <c r="AB26" s="1091">
        <f t="shared" si="46"/>
        <v>0</v>
      </c>
      <c r="AC26" s="1035">
        <f t="shared" si="47"/>
        <v>0</v>
      </c>
      <c r="AD26" s="1035">
        <v>0</v>
      </c>
      <c r="AE26" s="1035">
        <f t="shared" si="48"/>
        <v>0</v>
      </c>
      <c r="AF26" s="1035">
        <f t="shared" si="49"/>
        <v>0</v>
      </c>
      <c r="AG26" s="1450">
        <f t="shared" si="50"/>
        <v>0</v>
      </c>
      <c r="AH26" s="1450">
        <f t="shared" si="51"/>
        <v>0</v>
      </c>
      <c r="AI26" s="1036">
        <f t="shared" si="52"/>
        <v>0</v>
      </c>
      <c r="AJ26" s="1036">
        <f t="shared" si="31"/>
        <v>0</v>
      </c>
      <c r="AL26" s="49">
        <f t="shared" si="53"/>
        <v>0</v>
      </c>
      <c r="AM26" s="49">
        <f>-'[22]Table 5C1G-JS Clark Academy'!AL26</f>
        <v>0</v>
      </c>
      <c r="AN26" s="49">
        <f>-'[21]Table 5C1G-JS Clark Academy'!P26</f>
        <v>0</v>
      </c>
      <c r="AO26" s="49">
        <f t="shared" si="54"/>
        <v>0</v>
      </c>
      <c r="AP26" s="49"/>
    </row>
    <row r="27" spans="1:42">
      <c r="A27" s="968">
        <v>21</v>
      </c>
      <c r="B27" s="969" t="s">
        <v>122</v>
      </c>
      <c r="C27" s="1170">
        <v>0</v>
      </c>
      <c r="D27" s="971">
        <f>'Table 3 Levels 1&amp;2'!AL28</f>
        <v>5761.9798531850847</v>
      </c>
      <c r="E27" s="1071">
        <f t="shared" si="32"/>
        <v>0</v>
      </c>
      <c r="F27" s="1071">
        <f>'Table 4 Level 3'!P26</f>
        <v>610.35</v>
      </c>
      <c r="G27" s="1071">
        <f t="shared" si="33"/>
        <v>0</v>
      </c>
      <c r="H27" s="972">
        <f t="shared" si="34"/>
        <v>0</v>
      </c>
      <c r="I27" s="1414">
        <f>'[1]Oct midyear JS Clark Academy'!K27</f>
        <v>0</v>
      </c>
      <c r="J27" s="1414">
        <f>'[1]Feb midyear JS Clark Academy'!K27</f>
        <v>0</v>
      </c>
      <c r="K27" s="1414">
        <f t="shared" si="35"/>
        <v>0</v>
      </c>
      <c r="L27" s="1213">
        <f t="shared" si="36"/>
        <v>0</v>
      </c>
      <c r="M27" s="1081">
        <f t="shared" si="37"/>
        <v>0</v>
      </c>
      <c r="N27" s="972">
        <f t="shared" si="38"/>
        <v>0</v>
      </c>
      <c r="O27" s="972">
        <v>0</v>
      </c>
      <c r="P27" s="972">
        <f t="shared" si="39"/>
        <v>0</v>
      </c>
      <c r="Q27" s="972">
        <v>0</v>
      </c>
      <c r="R27" s="972">
        <f t="shared" si="40"/>
        <v>0</v>
      </c>
      <c r="S27" s="972">
        <f t="shared" si="41"/>
        <v>0</v>
      </c>
      <c r="T27" s="1029">
        <f>'[14]FY2012-13 Final'!K28</f>
        <v>2293</v>
      </c>
      <c r="U27" s="973">
        <f t="shared" si="30"/>
        <v>0</v>
      </c>
      <c r="V27" s="1466">
        <f>'[20]Oct midyear JS Clark Academy'!E27</f>
        <v>0</v>
      </c>
      <c r="W27" s="1444">
        <f t="shared" si="42"/>
        <v>0</v>
      </c>
      <c r="X27" s="1466">
        <f>'[20]Feb midyear JS Clark Academy'!E27</f>
        <v>0</v>
      </c>
      <c r="Y27" s="1444">
        <f t="shared" si="43"/>
        <v>0</v>
      </c>
      <c r="Z27" s="1444">
        <f t="shared" si="44"/>
        <v>0</v>
      </c>
      <c r="AA27" s="973">
        <f t="shared" si="45"/>
        <v>0</v>
      </c>
      <c r="AB27" s="1089">
        <f t="shared" si="46"/>
        <v>0</v>
      </c>
      <c r="AC27" s="973">
        <f t="shared" si="47"/>
        <v>0</v>
      </c>
      <c r="AD27" s="973">
        <v>0</v>
      </c>
      <c r="AE27" s="973">
        <f t="shared" si="48"/>
        <v>0</v>
      </c>
      <c r="AF27" s="973">
        <f t="shared" si="49"/>
        <v>0</v>
      </c>
      <c r="AG27" s="1214">
        <f t="shared" si="50"/>
        <v>0</v>
      </c>
      <c r="AH27" s="1214">
        <f t="shared" si="51"/>
        <v>0</v>
      </c>
      <c r="AI27" s="974">
        <f t="shared" si="52"/>
        <v>0</v>
      </c>
      <c r="AJ27" s="974">
        <f t="shared" si="31"/>
        <v>0</v>
      </c>
      <c r="AL27" s="49">
        <f t="shared" si="53"/>
        <v>0</v>
      </c>
      <c r="AM27" s="49">
        <f>-'[22]Table 5C1G-JS Clark Academy'!AL27</f>
        <v>0</v>
      </c>
      <c r="AN27" s="49">
        <f>-'[21]Table 5C1G-JS Clark Academy'!P27</f>
        <v>0</v>
      </c>
      <c r="AO27" s="49">
        <f t="shared" si="54"/>
        <v>0</v>
      </c>
      <c r="AP27" s="49"/>
    </row>
    <row r="28" spans="1:42">
      <c r="A28" s="975">
        <v>22</v>
      </c>
      <c r="B28" s="976" t="s">
        <v>123</v>
      </c>
      <c r="C28" s="1168">
        <v>0</v>
      </c>
      <c r="D28" s="978">
        <f>'Table 3 Levels 1&amp;2'!AL29</f>
        <v>6212.5932514983215</v>
      </c>
      <c r="E28" s="1072">
        <f t="shared" si="32"/>
        <v>0</v>
      </c>
      <c r="F28" s="1072">
        <f>'Table 4 Level 3'!P27</f>
        <v>496.36</v>
      </c>
      <c r="G28" s="1072">
        <f t="shared" si="33"/>
        <v>0</v>
      </c>
      <c r="H28" s="1030">
        <f t="shared" si="34"/>
        <v>0</v>
      </c>
      <c r="I28" s="1415">
        <f>'[1]Oct midyear JS Clark Academy'!K28</f>
        <v>0</v>
      </c>
      <c r="J28" s="1415">
        <f>'[1]Feb midyear JS Clark Academy'!K28</f>
        <v>0</v>
      </c>
      <c r="K28" s="1415">
        <f t="shared" si="35"/>
        <v>0</v>
      </c>
      <c r="L28" s="1434">
        <f t="shared" si="36"/>
        <v>0</v>
      </c>
      <c r="M28" s="1082">
        <f t="shared" si="37"/>
        <v>0</v>
      </c>
      <c r="N28" s="1030">
        <f t="shared" si="38"/>
        <v>0</v>
      </c>
      <c r="O28" s="1030">
        <v>0</v>
      </c>
      <c r="P28" s="1030">
        <f t="shared" si="39"/>
        <v>0</v>
      </c>
      <c r="Q28" s="1030">
        <v>0</v>
      </c>
      <c r="R28" s="1030">
        <f t="shared" si="40"/>
        <v>0</v>
      </c>
      <c r="S28" s="1030">
        <f t="shared" si="41"/>
        <v>0</v>
      </c>
      <c r="T28" s="1029">
        <f>'[14]FY2012-13 Final'!K29</f>
        <v>1412</v>
      </c>
      <c r="U28" s="1031">
        <f t="shared" si="30"/>
        <v>0</v>
      </c>
      <c r="V28" s="1464">
        <f>'[20]Oct midyear JS Clark Academy'!E28</f>
        <v>0</v>
      </c>
      <c r="W28" s="1443">
        <f t="shared" si="42"/>
        <v>0</v>
      </c>
      <c r="X28" s="1474">
        <f>'[20]Feb midyear JS Clark Academy'!E28</f>
        <v>0</v>
      </c>
      <c r="Y28" s="1470">
        <f t="shared" si="43"/>
        <v>0</v>
      </c>
      <c r="Z28" s="1470">
        <f t="shared" si="44"/>
        <v>0</v>
      </c>
      <c r="AA28" s="1031">
        <f t="shared" si="45"/>
        <v>0</v>
      </c>
      <c r="AB28" s="1090">
        <f t="shared" si="46"/>
        <v>0</v>
      </c>
      <c r="AC28" s="1031">
        <f t="shared" si="47"/>
        <v>0</v>
      </c>
      <c r="AD28" s="1031">
        <v>0</v>
      </c>
      <c r="AE28" s="1031">
        <f t="shared" si="48"/>
        <v>0</v>
      </c>
      <c r="AF28" s="1031">
        <f t="shared" si="49"/>
        <v>0</v>
      </c>
      <c r="AG28" s="1448">
        <f t="shared" si="50"/>
        <v>0</v>
      </c>
      <c r="AH28" s="1448">
        <f t="shared" si="51"/>
        <v>0</v>
      </c>
      <c r="AI28" s="1032">
        <f t="shared" si="52"/>
        <v>0</v>
      </c>
      <c r="AJ28" s="1032">
        <f t="shared" si="31"/>
        <v>0</v>
      </c>
      <c r="AL28" s="49">
        <f t="shared" si="53"/>
        <v>0</v>
      </c>
      <c r="AM28" s="49">
        <f>-'[22]Table 5C1G-JS Clark Academy'!AL28</f>
        <v>0</v>
      </c>
      <c r="AN28" s="49">
        <f>-'[21]Table 5C1G-JS Clark Academy'!P28</f>
        <v>0</v>
      </c>
      <c r="AO28" s="49">
        <f t="shared" si="54"/>
        <v>0</v>
      </c>
      <c r="AP28" s="49"/>
    </row>
    <row r="29" spans="1:42">
      <c r="A29" s="975">
        <v>23</v>
      </c>
      <c r="B29" s="976" t="s">
        <v>124</v>
      </c>
      <c r="C29" s="1168">
        <v>0</v>
      </c>
      <c r="D29" s="978">
        <f>'Table 3 Levels 1&amp;2'!AL30</f>
        <v>4824.5074836036147</v>
      </c>
      <c r="E29" s="1072">
        <f t="shared" si="32"/>
        <v>0</v>
      </c>
      <c r="F29" s="1072">
        <f>'Table 4 Level 3'!P28</f>
        <v>688.58</v>
      </c>
      <c r="G29" s="1072">
        <f t="shared" si="33"/>
        <v>0</v>
      </c>
      <c r="H29" s="1030">
        <f t="shared" si="34"/>
        <v>0</v>
      </c>
      <c r="I29" s="1415">
        <f>'[1]Oct midyear JS Clark Academy'!K29</f>
        <v>0</v>
      </c>
      <c r="J29" s="1415">
        <f>'[1]Feb midyear JS Clark Academy'!K29</f>
        <v>0</v>
      </c>
      <c r="K29" s="1415">
        <f t="shared" si="35"/>
        <v>0</v>
      </c>
      <c r="L29" s="1434">
        <f t="shared" si="36"/>
        <v>0</v>
      </c>
      <c r="M29" s="1082">
        <f t="shared" si="37"/>
        <v>0</v>
      </c>
      <c r="N29" s="1030">
        <f t="shared" si="38"/>
        <v>0</v>
      </c>
      <c r="O29" s="1030">
        <v>0</v>
      </c>
      <c r="P29" s="1030">
        <f t="shared" si="39"/>
        <v>0</v>
      </c>
      <c r="Q29" s="1030">
        <v>0</v>
      </c>
      <c r="R29" s="1030">
        <f t="shared" si="40"/>
        <v>0</v>
      </c>
      <c r="S29" s="1030">
        <f t="shared" si="41"/>
        <v>0</v>
      </c>
      <c r="T29" s="1029">
        <f>'[14]FY2012-13 Final'!K30</f>
        <v>3278</v>
      </c>
      <c r="U29" s="1031">
        <f t="shared" si="30"/>
        <v>0</v>
      </c>
      <c r="V29" s="1464">
        <f>'[20]Oct midyear JS Clark Academy'!E29</f>
        <v>0</v>
      </c>
      <c r="W29" s="1443">
        <f t="shared" si="42"/>
        <v>0</v>
      </c>
      <c r="X29" s="1474">
        <f>'[20]Feb midyear JS Clark Academy'!E29</f>
        <v>0</v>
      </c>
      <c r="Y29" s="1470">
        <f t="shared" si="43"/>
        <v>0</v>
      </c>
      <c r="Z29" s="1470">
        <f t="shared" si="44"/>
        <v>0</v>
      </c>
      <c r="AA29" s="1031">
        <f t="shared" si="45"/>
        <v>0</v>
      </c>
      <c r="AB29" s="1090">
        <f t="shared" si="46"/>
        <v>0</v>
      </c>
      <c r="AC29" s="1031">
        <f t="shared" si="47"/>
        <v>0</v>
      </c>
      <c r="AD29" s="1031">
        <v>0</v>
      </c>
      <c r="AE29" s="1031">
        <f t="shared" si="48"/>
        <v>0</v>
      </c>
      <c r="AF29" s="1031">
        <f t="shared" si="49"/>
        <v>0</v>
      </c>
      <c r="AG29" s="1448">
        <f t="shared" si="50"/>
        <v>0</v>
      </c>
      <c r="AH29" s="1448">
        <f t="shared" si="51"/>
        <v>0</v>
      </c>
      <c r="AI29" s="1032">
        <f t="shared" si="52"/>
        <v>0</v>
      </c>
      <c r="AJ29" s="1032">
        <f t="shared" si="31"/>
        <v>0</v>
      </c>
      <c r="AL29" s="49">
        <f t="shared" si="53"/>
        <v>0</v>
      </c>
      <c r="AM29" s="49">
        <f>-'[22]Table 5C1G-JS Clark Academy'!AL29</f>
        <v>0</v>
      </c>
      <c r="AN29" s="49">
        <f>-'[21]Table 5C1G-JS Clark Academy'!P29</f>
        <v>0</v>
      </c>
      <c r="AO29" s="49">
        <f t="shared" si="54"/>
        <v>0</v>
      </c>
      <c r="AP29" s="49"/>
    </row>
    <row r="30" spans="1:42">
      <c r="A30" s="975">
        <v>24</v>
      </c>
      <c r="B30" s="976" t="s">
        <v>125</v>
      </c>
      <c r="C30" s="1168">
        <v>0</v>
      </c>
      <c r="D30" s="978">
        <f>'Table 3 Levels 1&amp;2'!AL31</f>
        <v>2654.5104003578617</v>
      </c>
      <c r="E30" s="1072">
        <f t="shared" si="32"/>
        <v>0</v>
      </c>
      <c r="F30" s="1072">
        <f>'Table 4 Level 3'!P29</f>
        <v>854.24999999999989</v>
      </c>
      <c r="G30" s="1072">
        <f t="shared" si="33"/>
        <v>0</v>
      </c>
      <c r="H30" s="1030">
        <f t="shared" si="34"/>
        <v>0</v>
      </c>
      <c r="I30" s="1415">
        <f>'[1]Oct midyear JS Clark Academy'!K30</f>
        <v>0</v>
      </c>
      <c r="J30" s="1415">
        <f>'[1]Feb midyear JS Clark Academy'!K30</f>
        <v>0</v>
      </c>
      <c r="K30" s="1415">
        <f t="shared" si="35"/>
        <v>0</v>
      </c>
      <c r="L30" s="1434">
        <f t="shared" si="36"/>
        <v>0</v>
      </c>
      <c r="M30" s="1082">
        <f t="shared" si="37"/>
        <v>0</v>
      </c>
      <c r="N30" s="1030">
        <f t="shared" si="38"/>
        <v>0</v>
      </c>
      <c r="O30" s="1030">
        <v>0</v>
      </c>
      <c r="P30" s="1030">
        <f t="shared" si="39"/>
        <v>0</v>
      </c>
      <c r="Q30" s="1030">
        <v>0</v>
      </c>
      <c r="R30" s="1030">
        <f t="shared" si="40"/>
        <v>0</v>
      </c>
      <c r="S30" s="1030">
        <f t="shared" si="41"/>
        <v>0</v>
      </c>
      <c r="T30" s="1029">
        <f>'[14]FY2012-13 Final'!K31</f>
        <v>9311</v>
      </c>
      <c r="U30" s="1031">
        <f t="shared" si="30"/>
        <v>0</v>
      </c>
      <c r="V30" s="1464">
        <f>'[20]Oct midyear JS Clark Academy'!E30</f>
        <v>0</v>
      </c>
      <c r="W30" s="1443">
        <f t="shared" si="42"/>
        <v>0</v>
      </c>
      <c r="X30" s="1474">
        <f>'[20]Feb midyear JS Clark Academy'!E30</f>
        <v>0</v>
      </c>
      <c r="Y30" s="1470">
        <f t="shared" si="43"/>
        <v>0</v>
      </c>
      <c r="Z30" s="1470">
        <f t="shared" si="44"/>
        <v>0</v>
      </c>
      <c r="AA30" s="1031">
        <f t="shared" si="45"/>
        <v>0</v>
      </c>
      <c r="AB30" s="1090">
        <f t="shared" si="46"/>
        <v>0</v>
      </c>
      <c r="AC30" s="1031">
        <f t="shared" si="47"/>
        <v>0</v>
      </c>
      <c r="AD30" s="1031">
        <v>0</v>
      </c>
      <c r="AE30" s="1031">
        <f t="shared" si="48"/>
        <v>0</v>
      </c>
      <c r="AF30" s="1031">
        <f t="shared" si="49"/>
        <v>0</v>
      </c>
      <c r="AG30" s="1448">
        <f t="shared" si="50"/>
        <v>0</v>
      </c>
      <c r="AH30" s="1448">
        <f t="shared" si="51"/>
        <v>0</v>
      </c>
      <c r="AI30" s="1032">
        <f t="shared" si="52"/>
        <v>0</v>
      </c>
      <c r="AJ30" s="1032">
        <f t="shared" si="31"/>
        <v>0</v>
      </c>
      <c r="AL30" s="49">
        <f t="shared" si="53"/>
        <v>0</v>
      </c>
      <c r="AM30" s="49">
        <f>-'[22]Table 5C1G-JS Clark Academy'!AL30</f>
        <v>0</v>
      </c>
      <c r="AN30" s="49">
        <f>-'[21]Table 5C1G-JS Clark Academy'!P30</f>
        <v>0</v>
      </c>
      <c r="AO30" s="49">
        <f t="shared" si="54"/>
        <v>0</v>
      </c>
      <c r="AP30" s="49"/>
    </row>
    <row r="31" spans="1:42">
      <c r="A31" s="979">
        <v>25</v>
      </c>
      <c r="B31" s="980" t="s">
        <v>126</v>
      </c>
      <c r="C31" s="1169">
        <v>0</v>
      </c>
      <c r="D31" s="982">
        <f>'Table 3 Levels 1&amp;2'!AL32</f>
        <v>3876.6607101712493</v>
      </c>
      <c r="E31" s="1073">
        <f t="shared" si="32"/>
        <v>0</v>
      </c>
      <c r="F31" s="1073">
        <f>'Table 4 Level 3'!P30</f>
        <v>653.73</v>
      </c>
      <c r="G31" s="1073">
        <f t="shared" si="33"/>
        <v>0</v>
      </c>
      <c r="H31" s="1033">
        <f t="shared" si="34"/>
        <v>0</v>
      </c>
      <c r="I31" s="1416">
        <f>'[1]Oct midyear JS Clark Academy'!K31</f>
        <v>0</v>
      </c>
      <c r="J31" s="1416">
        <f>'[1]Feb midyear JS Clark Academy'!K31</f>
        <v>0</v>
      </c>
      <c r="K31" s="1416">
        <f t="shared" si="35"/>
        <v>0</v>
      </c>
      <c r="L31" s="1435">
        <f t="shared" si="36"/>
        <v>0</v>
      </c>
      <c r="M31" s="1083">
        <f t="shared" si="37"/>
        <v>0</v>
      </c>
      <c r="N31" s="1033">
        <f t="shared" si="38"/>
        <v>0</v>
      </c>
      <c r="O31" s="1033">
        <v>0</v>
      </c>
      <c r="P31" s="1033">
        <f t="shared" si="39"/>
        <v>0</v>
      </c>
      <c r="Q31" s="1033">
        <v>0</v>
      </c>
      <c r="R31" s="1033">
        <f t="shared" si="40"/>
        <v>0</v>
      </c>
      <c r="S31" s="1033">
        <f t="shared" si="41"/>
        <v>0</v>
      </c>
      <c r="T31" s="1034">
        <f>'[14]FY2012-13 Final'!K32</f>
        <v>5361</v>
      </c>
      <c r="U31" s="1035">
        <f t="shared" si="30"/>
        <v>0</v>
      </c>
      <c r="V31" s="1465">
        <f>'[20]Oct midyear JS Clark Academy'!E31</f>
        <v>0</v>
      </c>
      <c r="W31" s="1445">
        <f t="shared" si="42"/>
        <v>0</v>
      </c>
      <c r="X31" s="1475">
        <f>'[20]Feb midyear JS Clark Academy'!E31</f>
        <v>0</v>
      </c>
      <c r="Y31" s="1471">
        <f t="shared" si="43"/>
        <v>0</v>
      </c>
      <c r="Z31" s="1471">
        <f t="shared" si="44"/>
        <v>0</v>
      </c>
      <c r="AA31" s="1035">
        <f t="shared" si="45"/>
        <v>0</v>
      </c>
      <c r="AB31" s="1091">
        <f t="shared" si="46"/>
        <v>0</v>
      </c>
      <c r="AC31" s="1035">
        <f t="shared" si="47"/>
        <v>0</v>
      </c>
      <c r="AD31" s="1035">
        <v>0</v>
      </c>
      <c r="AE31" s="1035">
        <f t="shared" si="48"/>
        <v>0</v>
      </c>
      <c r="AF31" s="1035">
        <f t="shared" si="49"/>
        <v>0</v>
      </c>
      <c r="AG31" s="1450">
        <f t="shared" si="50"/>
        <v>0</v>
      </c>
      <c r="AH31" s="1450">
        <f t="shared" si="51"/>
        <v>0</v>
      </c>
      <c r="AI31" s="1036">
        <f t="shared" si="52"/>
        <v>0</v>
      </c>
      <c r="AJ31" s="1036">
        <f t="shared" si="31"/>
        <v>0</v>
      </c>
      <c r="AL31" s="49">
        <f t="shared" si="53"/>
        <v>0</v>
      </c>
      <c r="AM31" s="49">
        <f>-'[22]Table 5C1G-JS Clark Academy'!AL31</f>
        <v>0</v>
      </c>
      <c r="AN31" s="49">
        <f>-'[21]Table 5C1G-JS Clark Academy'!P31</f>
        <v>0</v>
      </c>
      <c r="AO31" s="49">
        <f t="shared" si="54"/>
        <v>0</v>
      </c>
      <c r="AP31" s="49"/>
    </row>
    <row r="32" spans="1:42">
      <c r="A32" s="968">
        <v>26</v>
      </c>
      <c r="B32" s="969" t="s">
        <v>127</v>
      </c>
      <c r="C32" s="1170">
        <v>0</v>
      </c>
      <c r="D32" s="971">
        <f>'Table 3 Levels 1&amp;2'!AL33</f>
        <v>3130.9087022137969</v>
      </c>
      <c r="E32" s="1071">
        <f t="shared" si="32"/>
        <v>0</v>
      </c>
      <c r="F32" s="1071">
        <f>'Table 4 Level 3'!P31</f>
        <v>836.83</v>
      </c>
      <c r="G32" s="1071">
        <f t="shared" si="33"/>
        <v>0</v>
      </c>
      <c r="H32" s="972">
        <f t="shared" si="34"/>
        <v>0</v>
      </c>
      <c r="I32" s="1414">
        <f>'[1]Oct midyear JS Clark Academy'!K32</f>
        <v>0</v>
      </c>
      <c r="J32" s="1414">
        <f>'[1]Feb midyear JS Clark Academy'!K32</f>
        <v>0</v>
      </c>
      <c r="K32" s="1414">
        <f t="shared" si="35"/>
        <v>0</v>
      </c>
      <c r="L32" s="1213">
        <f t="shared" si="36"/>
        <v>0</v>
      </c>
      <c r="M32" s="1081">
        <f t="shared" si="37"/>
        <v>0</v>
      </c>
      <c r="N32" s="972">
        <f t="shared" si="38"/>
        <v>0</v>
      </c>
      <c r="O32" s="972">
        <v>0</v>
      </c>
      <c r="P32" s="972">
        <f t="shared" si="39"/>
        <v>0</v>
      </c>
      <c r="Q32" s="972">
        <v>0</v>
      </c>
      <c r="R32" s="972">
        <f t="shared" si="40"/>
        <v>0</v>
      </c>
      <c r="S32" s="972">
        <f t="shared" si="41"/>
        <v>0</v>
      </c>
      <c r="T32" s="1029">
        <f>'[14]FY2012-13 Final'!K33</f>
        <v>5202</v>
      </c>
      <c r="U32" s="973">
        <f t="shared" si="30"/>
        <v>0</v>
      </c>
      <c r="V32" s="1466">
        <f>'[20]Oct midyear JS Clark Academy'!E32</f>
        <v>0</v>
      </c>
      <c r="W32" s="1444">
        <f t="shared" si="42"/>
        <v>0</v>
      </c>
      <c r="X32" s="1466">
        <f>'[20]Feb midyear JS Clark Academy'!E32</f>
        <v>0</v>
      </c>
      <c r="Y32" s="1444">
        <f t="shared" si="43"/>
        <v>0</v>
      </c>
      <c r="Z32" s="1444">
        <f t="shared" si="44"/>
        <v>0</v>
      </c>
      <c r="AA32" s="973">
        <f t="shared" si="45"/>
        <v>0</v>
      </c>
      <c r="AB32" s="1089">
        <f t="shared" si="46"/>
        <v>0</v>
      </c>
      <c r="AC32" s="973">
        <f t="shared" si="47"/>
        <v>0</v>
      </c>
      <c r="AD32" s="973">
        <v>0</v>
      </c>
      <c r="AE32" s="973">
        <f t="shared" si="48"/>
        <v>0</v>
      </c>
      <c r="AF32" s="973">
        <f t="shared" si="49"/>
        <v>0</v>
      </c>
      <c r="AG32" s="1214">
        <f t="shared" si="50"/>
        <v>0</v>
      </c>
      <c r="AH32" s="1214">
        <f t="shared" si="51"/>
        <v>0</v>
      </c>
      <c r="AI32" s="974">
        <f t="shared" si="52"/>
        <v>0</v>
      </c>
      <c r="AJ32" s="974">
        <f t="shared" si="31"/>
        <v>0</v>
      </c>
      <c r="AL32" s="49">
        <f t="shared" si="53"/>
        <v>0</v>
      </c>
      <c r="AM32" s="49">
        <f>-'[22]Table 5C1G-JS Clark Academy'!AL32</f>
        <v>0</v>
      </c>
      <c r="AN32" s="49">
        <f>-'[21]Table 5C1G-JS Clark Academy'!P32</f>
        <v>0</v>
      </c>
      <c r="AO32" s="49">
        <f t="shared" si="54"/>
        <v>0</v>
      </c>
      <c r="AP32" s="49"/>
    </row>
    <row r="33" spans="1:42">
      <c r="A33" s="975">
        <v>27</v>
      </c>
      <c r="B33" s="976" t="s">
        <v>128</v>
      </c>
      <c r="C33" s="1171">
        <v>0</v>
      </c>
      <c r="D33" s="984">
        <f>'Table 3 Levels 1&amp;2'!AL34</f>
        <v>5673.3097932359224</v>
      </c>
      <c r="E33" s="1074">
        <f t="shared" si="32"/>
        <v>0</v>
      </c>
      <c r="F33" s="1074">
        <f>'Table 4 Level 3'!P32</f>
        <v>693.06</v>
      </c>
      <c r="G33" s="1074">
        <f t="shared" si="33"/>
        <v>0</v>
      </c>
      <c r="H33" s="1037">
        <f t="shared" si="34"/>
        <v>0</v>
      </c>
      <c r="I33" s="1417">
        <f>'[1]Oct midyear JS Clark Academy'!K33</f>
        <v>0</v>
      </c>
      <c r="J33" s="1417">
        <f>'[1]Feb midyear JS Clark Academy'!K33</f>
        <v>0</v>
      </c>
      <c r="K33" s="1417">
        <f t="shared" si="35"/>
        <v>0</v>
      </c>
      <c r="L33" s="1436">
        <f t="shared" si="36"/>
        <v>0</v>
      </c>
      <c r="M33" s="1084">
        <f t="shared" si="37"/>
        <v>0</v>
      </c>
      <c r="N33" s="1037">
        <f t="shared" si="38"/>
        <v>0</v>
      </c>
      <c r="O33" s="1037">
        <v>0</v>
      </c>
      <c r="P33" s="1037">
        <f t="shared" si="39"/>
        <v>0</v>
      </c>
      <c r="Q33" s="1037">
        <v>0</v>
      </c>
      <c r="R33" s="1037">
        <f t="shared" si="40"/>
        <v>0</v>
      </c>
      <c r="S33" s="1037">
        <f t="shared" si="41"/>
        <v>0</v>
      </c>
      <c r="T33" s="1029">
        <f>'[14]FY2012-13 Final'!K34</f>
        <v>3093</v>
      </c>
      <c r="U33" s="1031">
        <f t="shared" si="30"/>
        <v>0</v>
      </c>
      <c r="V33" s="1464">
        <f>'[20]Oct midyear JS Clark Academy'!E33</f>
        <v>0</v>
      </c>
      <c r="W33" s="1443">
        <f t="shared" si="42"/>
        <v>0</v>
      </c>
      <c r="X33" s="1474">
        <f>'[20]Feb midyear JS Clark Academy'!E33</f>
        <v>0</v>
      </c>
      <c r="Y33" s="1470">
        <f t="shared" si="43"/>
        <v>0</v>
      </c>
      <c r="Z33" s="1470">
        <f t="shared" si="44"/>
        <v>0</v>
      </c>
      <c r="AA33" s="1031">
        <f t="shared" si="45"/>
        <v>0</v>
      </c>
      <c r="AB33" s="1090">
        <f t="shared" si="46"/>
        <v>0</v>
      </c>
      <c r="AC33" s="1031">
        <f t="shared" si="47"/>
        <v>0</v>
      </c>
      <c r="AD33" s="1031">
        <v>0</v>
      </c>
      <c r="AE33" s="1031">
        <f t="shared" si="48"/>
        <v>0</v>
      </c>
      <c r="AF33" s="1031">
        <f t="shared" si="49"/>
        <v>0</v>
      </c>
      <c r="AG33" s="1448">
        <f t="shared" si="50"/>
        <v>0</v>
      </c>
      <c r="AH33" s="1448">
        <f t="shared" si="51"/>
        <v>0</v>
      </c>
      <c r="AI33" s="1032">
        <f t="shared" si="52"/>
        <v>0</v>
      </c>
      <c r="AJ33" s="1032">
        <f t="shared" si="31"/>
        <v>0</v>
      </c>
      <c r="AL33" s="49">
        <f t="shared" si="53"/>
        <v>0</v>
      </c>
      <c r="AM33" s="49">
        <f>-'[22]Table 5C1G-JS Clark Academy'!AL33</f>
        <v>0</v>
      </c>
      <c r="AN33" s="49">
        <f>-'[21]Table 5C1G-JS Clark Academy'!P33</f>
        <v>0</v>
      </c>
      <c r="AO33" s="49">
        <f t="shared" si="54"/>
        <v>0</v>
      </c>
      <c r="AP33" s="49"/>
    </row>
    <row r="34" spans="1:42">
      <c r="A34" s="975">
        <v>28</v>
      </c>
      <c r="B34" s="976" t="s">
        <v>129</v>
      </c>
      <c r="C34" s="1171">
        <v>0</v>
      </c>
      <c r="D34" s="984">
        <f>'Table 3 Levels 1&amp;2'!AL35</f>
        <v>3225.6961587092846</v>
      </c>
      <c r="E34" s="1074">
        <f t="shared" si="32"/>
        <v>0</v>
      </c>
      <c r="F34" s="1074">
        <f>'Table 4 Level 3'!P33</f>
        <v>694.4</v>
      </c>
      <c r="G34" s="1074">
        <f t="shared" si="33"/>
        <v>0</v>
      </c>
      <c r="H34" s="1037">
        <f t="shared" si="34"/>
        <v>0</v>
      </c>
      <c r="I34" s="1417">
        <f>'[1]Oct midyear JS Clark Academy'!K34</f>
        <v>3920.0961587092847</v>
      </c>
      <c r="J34" s="1417">
        <f>'[1]Feb midyear JS Clark Academy'!K34</f>
        <v>0</v>
      </c>
      <c r="K34" s="1417">
        <f t="shared" si="35"/>
        <v>3920.0961587092847</v>
      </c>
      <c r="L34" s="1436">
        <f t="shared" si="36"/>
        <v>3920.0961587092847</v>
      </c>
      <c r="M34" s="1084">
        <f t="shared" si="37"/>
        <v>-9.8002403967732121</v>
      </c>
      <c r="N34" s="1037">
        <f t="shared" si="38"/>
        <v>3910.2959183125117</v>
      </c>
      <c r="O34" s="1037">
        <v>0</v>
      </c>
      <c r="P34" s="1037">
        <f t="shared" si="39"/>
        <v>3910.2959183125117</v>
      </c>
      <c r="Q34" s="1037">
        <f>971+971</f>
        <v>1942</v>
      </c>
      <c r="R34" s="1037">
        <f t="shared" si="40"/>
        <v>1968.2959183125117</v>
      </c>
      <c r="S34" s="1037">
        <f t="shared" si="41"/>
        <v>984.14795915625587</v>
      </c>
      <c r="T34" s="1029">
        <f>'[14]FY2012-13 Final'!K35</f>
        <v>5338</v>
      </c>
      <c r="U34" s="1031">
        <f t="shared" si="30"/>
        <v>0</v>
      </c>
      <c r="V34" s="1464">
        <f>'[20]Oct midyear JS Clark Academy'!E34</f>
        <v>1</v>
      </c>
      <c r="W34" s="1443">
        <f t="shared" si="42"/>
        <v>5338</v>
      </c>
      <c r="X34" s="1474">
        <f>'[20]Feb midyear JS Clark Academy'!E34</f>
        <v>0</v>
      </c>
      <c r="Y34" s="1470">
        <f t="shared" si="43"/>
        <v>0</v>
      </c>
      <c r="Z34" s="1470">
        <f t="shared" si="44"/>
        <v>5338</v>
      </c>
      <c r="AA34" s="1031">
        <f t="shared" si="45"/>
        <v>5338</v>
      </c>
      <c r="AB34" s="1090">
        <f t="shared" si="46"/>
        <v>-13.345000000000001</v>
      </c>
      <c r="AC34" s="1031">
        <f t="shared" si="47"/>
        <v>5324.6549999999997</v>
      </c>
      <c r="AD34" s="1031">
        <v>0</v>
      </c>
      <c r="AE34" s="1031">
        <f t="shared" si="48"/>
        <v>5324.6549999999997</v>
      </c>
      <c r="AF34" s="1031">
        <f>1327+1327</f>
        <v>2654</v>
      </c>
      <c r="AG34" s="1448">
        <f t="shared" si="50"/>
        <v>2670.6549999999997</v>
      </c>
      <c r="AH34" s="1448">
        <f t="shared" si="51"/>
        <v>1335.3274999999999</v>
      </c>
      <c r="AI34" s="1032">
        <f t="shared" si="52"/>
        <v>9234.9509183125119</v>
      </c>
      <c r="AJ34" s="1032">
        <f t="shared" si="31"/>
        <v>2319.475459156256</v>
      </c>
      <c r="AL34" s="49">
        <f t="shared" si="53"/>
        <v>-13.345000000000001</v>
      </c>
      <c r="AM34" s="49">
        <f>-'[22]Table 5C1G-JS Clark Academy'!AL34</f>
        <v>13.307500000000001</v>
      </c>
      <c r="AN34" s="49">
        <f>-'[21]Table 5C1G-JS Clark Academy'!P34</f>
        <v>0</v>
      </c>
      <c r="AO34" s="49">
        <f t="shared" si="54"/>
        <v>-3.7499999999999645E-2</v>
      </c>
      <c r="AP34" s="49"/>
    </row>
    <row r="35" spans="1:42">
      <c r="A35" s="975">
        <v>29</v>
      </c>
      <c r="B35" s="976" t="s">
        <v>130</v>
      </c>
      <c r="C35" s="1171">
        <v>0</v>
      </c>
      <c r="D35" s="984">
        <f>'Table 3 Levels 1&amp;2'!AL36</f>
        <v>3955.7852148385191</v>
      </c>
      <c r="E35" s="1074">
        <f t="shared" si="32"/>
        <v>0</v>
      </c>
      <c r="F35" s="1074">
        <f>'Table 4 Level 3'!P34</f>
        <v>754.94999999999993</v>
      </c>
      <c r="G35" s="1074">
        <f t="shared" si="33"/>
        <v>0</v>
      </c>
      <c r="H35" s="1037">
        <f t="shared" si="34"/>
        <v>0</v>
      </c>
      <c r="I35" s="1417">
        <f>'[1]Oct midyear JS Clark Academy'!K35</f>
        <v>0</v>
      </c>
      <c r="J35" s="1417">
        <f>'[1]Feb midyear JS Clark Academy'!K35</f>
        <v>0</v>
      </c>
      <c r="K35" s="1417">
        <f t="shared" si="35"/>
        <v>0</v>
      </c>
      <c r="L35" s="1436">
        <f t="shared" si="36"/>
        <v>0</v>
      </c>
      <c r="M35" s="1084">
        <f t="shared" si="37"/>
        <v>0</v>
      </c>
      <c r="N35" s="1037">
        <f t="shared" si="38"/>
        <v>0</v>
      </c>
      <c r="O35" s="1037">
        <v>0</v>
      </c>
      <c r="P35" s="1037">
        <f t="shared" si="39"/>
        <v>0</v>
      </c>
      <c r="Q35" s="1037">
        <v>0</v>
      </c>
      <c r="R35" s="1037">
        <f t="shared" si="40"/>
        <v>0</v>
      </c>
      <c r="S35" s="1037">
        <f t="shared" si="41"/>
        <v>0</v>
      </c>
      <c r="T35" s="1029">
        <f>'[14]FY2012-13 Final'!K36</f>
        <v>4414</v>
      </c>
      <c r="U35" s="1031">
        <f t="shared" si="30"/>
        <v>0</v>
      </c>
      <c r="V35" s="1464">
        <f>'[20]Oct midyear JS Clark Academy'!E35</f>
        <v>0</v>
      </c>
      <c r="W35" s="1443">
        <f t="shared" si="42"/>
        <v>0</v>
      </c>
      <c r="X35" s="1474">
        <f>'[20]Feb midyear JS Clark Academy'!E35</f>
        <v>0</v>
      </c>
      <c r="Y35" s="1470">
        <f t="shared" si="43"/>
        <v>0</v>
      </c>
      <c r="Z35" s="1470">
        <f t="shared" si="44"/>
        <v>0</v>
      </c>
      <c r="AA35" s="1031">
        <f t="shared" si="45"/>
        <v>0</v>
      </c>
      <c r="AB35" s="1090">
        <f t="shared" si="46"/>
        <v>0</v>
      </c>
      <c r="AC35" s="1031">
        <f t="shared" si="47"/>
        <v>0</v>
      </c>
      <c r="AD35" s="1031">
        <v>0</v>
      </c>
      <c r="AE35" s="1031">
        <f t="shared" si="48"/>
        <v>0</v>
      </c>
      <c r="AF35" s="1031">
        <f t="shared" si="49"/>
        <v>0</v>
      </c>
      <c r="AG35" s="1448">
        <f t="shared" si="50"/>
        <v>0</v>
      </c>
      <c r="AH35" s="1448">
        <f t="shared" si="51"/>
        <v>0</v>
      </c>
      <c r="AI35" s="1032">
        <f t="shared" si="52"/>
        <v>0</v>
      </c>
      <c r="AJ35" s="1032">
        <f t="shared" si="31"/>
        <v>0</v>
      </c>
      <c r="AL35" s="49">
        <f t="shared" si="53"/>
        <v>0</v>
      </c>
      <c r="AM35" s="49">
        <f>-'[22]Table 5C1G-JS Clark Academy'!AL35</f>
        <v>0</v>
      </c>
      <c r="AN35" s="49">
        <f>-'[21]Table 5C1G-JS Clark Academy'!P35</f>
        <v>0</v>
      </c>
      <c r="AO35" s="49">
        <f t="shared" si="54"/>
        <v>0</v>
      </c>
      <c r="AP35" s="49"/>
    </row>
    <row r="36" spans="1:42">
      <c r="A36" s="979">
        <v>30</v>
      </c>
      <c r="B36" s="980" t="s">
        <v>131</v>
      </c>
      <c r="C36" s="1172">
        <v>0</v>
      </c>
      <c r="D36" s="986">
        <f>'Table 3 Levels 1&amp;2'!AL37</f>
        <v>5609.6361466464068</v>
      </c>
      <c r="E36" s="1075">
        <f t="shared" si="32"/>
        <v>0</v>
      </c>
      <c r="F36" s="1075">
        <f>'Table 4 Level 3'!P35</f>
        <v>727.17</v>
      </c>
      <c r="G36" s="1075">
        <f t="shared" si="33"/>
        <v>0</v>
      </c>
      <c r="H36" s="1038">
        <f t="shared" si="34"/>
        <v>0</v>
      </c>
      <c r="I36" s="1418">
        <f>'[1]Oct midyear JS Clark Academy'!K36</f>
        <v>0</v>
      </c>
      <c r="J36" s="1418">
        <f>'[1]Feb midyear JS Clark Academy'!K36</f>
        <v>0</v>
      </c>
      <c r="K36" s="1418">
        <f t="shared" si="35"/>
        <v>0</v>
      </c>
      <c r="L36" s="1437">
        <f t="shared" si="36"/>
        <v>0</v>
      </c>
      <c r="M36" s="1085">
        <f t="shared" si="37"/>
        <v>0</v>
      </c>
      <c r="N36" s="1038">
        <f t="shared" si="38"/>
        <v>0</v>
      </c>
      <c r="O36" s="1038">
        <v>0</v>
      </c>
      <c r="P36" s="1038">
        <f t="shared" si="39"/>
        <v>0</v>
      </c>
      <c r="Q36" s="1038">
        <v>0</v>
      </c>
      <c r="R36" s="1038">
        <f t="shared" si="40"/>
        <v>0</v>
      </c>
      <c r="S36" s="1038">
        <f t="shared" si="41"/>
        <v>0</v>
      </c>
      <c r="T36" s="1034">
        <f>'[14]FY2012-13 Final'!K37</f>
        <v>3703</v>
      </c>
      <c r="U36" s="1035">
        <f t="shared" si="30"/>
        <v>0</v>
      </c>
      <c r="V36" s="1465">
        <f>'[20]Oct midyear JS Clark Academy'!E36</f>
        <v>0</v>
      </c>
      <c r="W36" s="1445">
        <f t="shared" si="42"/>
        <v>0</v>
      </c>
      <c r="X36" s="1475">
        <f>'[20]Feb midyear JS Clark Academy'!E36</f>
        <v>0</v>
      </c>
      <c r="Y36" s="1471">
        <f t="shared" si="43"/>
        <v>0</v>
      </c>
      <c r="Z36" s="1471">
        <f t="shared" si="44"/>
        <v>0</v>
      </c>
      <c r="AA36" s="1035">
        <f t="shared" si="45"/>
        <v>0</v>
      </c>
      <c r="AB36" s="1091">
        <f t="shared" si="46"/>
        <v>0</v>
      </c>
      <c r="AC36" s="1035">
        <f t="shared" si="47"/>
        <v>0</v>
      </c>
      <c r="AD36" s="1035">
        <v>0</v>
      </c>
      <c r="AE36" s="1035">
        <f t="shared" si="48"/>
        <v>0</v>
      </c>
      <c r="AF36" s="1035">
        <f t="shared" si="49"/>
        <v>0</v>
      </c>
      <c r="AG36" s="1450">
        <f t="shared" si="50"/>
        <v>0</v>
      </c>
      <c r="AH36" s="1450">
        <f t="shared" si="51"/>
        <v>0</v>
      </c>
      <c r="AI36" s="1036">
        <f t="shared" si="52"/>
        <v>0</v>
      </c>
      <c r="AJ36" s="1036">
        <f t="shared" si="31"/>
        <v>0</v>
      </c>
      <c r="AL36" s="49">
        <f t="shared" si="53"/>
        <v>0</v>
      </c>
      <c r="AM36" s="49">
        <f>-'[22]Table 5C1G-JS Clark Academy'!AL36</f>
        <v>0</v>
      </c>
      <c r="AN36" s="49">
        <f>-'[21]Table 5C1G-JS Clark Academy'!P36</f>
        <v>0</v>
      </c>
      <c r="AO36" s="49">
        <f t="shared" si="54"/>
        <v>0</v>
      </c>
      <c r="AP36" s="49"/>
    </row>
    <row r="37" spans="1:42">
      <c r="A37" s="968">
        <v>31</v>
      </c>
      <c r="B37" s="969" t="s">
        <v>132</v>
      </c>
      <c r="C37" s="1173">
        <v>0</v>
      </c>
      <c r="D37" s="988">
        <f>'Table 3 Levels 1&amp;2'!AL38</f>
        <v>4174.0937400224284</v>
      </c>
      <c r="E37" s="1076">
        <f t="shared" si="32"/>
        <v>0</v>
      </c>
      <c r="F37" s="1076">
        <f>'Table 4 Level 3'!P36</f>
        <v>620.83000000000004</v>
      </c>
      <c r="G37" s="1076">
        <f t="shared" si="33"/>
        <v>0</v>
      </c>
      <c r="H37" s="1039">
        <f t="shared" si="34"/>
        <v>0</v>
      </c>
      <c r="I37" s="1419">
        <f>'[1]Oct midyear JS Clark Academy'!K37</f>
        <v>0</v>
      </c>
      <c r="J37" s="1419">
        <f>'[1]Feb midyear JS Clark Academy'!K37</f>
        <v>0</v>
      </c>
      <c r="K37" s="1419">
        <f t="shared" si="35"/>
        <v>0</v>
      </c>
      <c r="L37" s="1211">
        <f t="shared" si="36"/>
        <v>0</v>
      </c>
      <c r="M37" s="1086">
        <f t="shared" si="37"/>
        <v>0</v>
      </c>
      <c r="N37" s="1039">
        <f t="shared" si="38"/>
        <v>0</v>
      </c>
      <c r="O37" s="1039">
        <v>0</v>
      </c>
      <c r="P37" s="1039">
        <f t="shared" si="39"/>
        <v>0</v>
      </c>
      <c r="Q37" s="1039">
        <v>0</v>
      </c>
      <c r="R37" s="1039">
        <f t="shared" si="40"/>
        <v>0</v>
      </c>
      <c r="S37" s="1039">
        <f t="shared" si="41"/>
        <v>0</v>
      </c>
      <c r="T37" s="1029">
        <f>'[14]FY2012-13 Final'!K38</f>
        <v>4709</v>
      </c>
      <c r="U37" s="973">
        <f t="shared" si="30"/>
        <v>0</v>
      </c>
      <c r="V37" s="1466">
        <f>'[20]Oct midyear JS Clark Academy'!E37</f>
        <v>0</v>
      </c>
      <c r="W37" s="1444">
        <f t="shared" si="42"/>
        <v>0</v>
      </c>
      <c r="X37" s="1466">
        <f>'[20]Feb midyear JS Clark Academy'!E37</f>
        <v>0</v>
      </c>
      <c r="Y37" s="1444">
        <f t="shared" si="43"/>
        <v>0</v>
      </c>
      <c r="Z37" s="1444">
        <f t="shared" si="44"/>
        <v>0</v>
      </c>
      <c r="AA37" s="973">
        <f t="shared" si="45"/>
        <v>0</v>
      </c>
      <c r="AB37" s="1089">
        <f t="shared" si="46"/>
        <v>0</v>
      </c>
      <c r="AC37" s="973">
        <f t="shared" si="47"/>
        <v>0</v>
      </c>
      <c r="AD37" s="973">
        <v>0</v>
      </c>
      <c r="AE37" s="973">
        <f t="shared" si="48"/>
        <v>0</v>
      </c>
      <c r="AF37" s="973">
        <f t="shared" si="49"/>
        <v>0</v>
      </c>
      <c r="AG37" s="1214">
        <f t="shared" si="50"/>
        <v>0</v>
      </c>
      <c r="AH37" s="1214">
        <f t="shared" si="51"/>
        <v>0</v>
      </c>
      <c r="AI37" s="974">
        <f t="shared" si="52"/>
        <v>0</v>
      </c>
      <c r="AJ37" s="974">
        <f t="shared" si="31"/>
        <v>0</v>
      </c>
      <c r="AL37" s="49">
        <f t="shared" si="53"/>
        <v>0</v>
      </c>
      <c r="AM37" s="49">
        <f>-'[22]Table 5C1G-JS Clark Academy'!AL37</f>
        <v>0</v>
      </c>
      <c r="AN37" s="49">
        <f>-'[21]Table 5C1G-JS Clark Academy'!P37</f>
        <v>0</v>
      </c>
      <c r="AO37" s="49">
        <f t="shared" si="54"/>
        <v>0</v>
      </c>
      <c r="AP37" s="49"/>
    </row>
    <row r="38" spans="1:42">
      <c r="A38" s="975">
        <v>32</v>
      </c>
      <c r="B38" s="976" t="s">
        <v>133</v>
      </c>
      <c r="C38" s="1171">
        <v>0</v>
      </c>
      <c r="D38" s="984">
        <f>'Table 3 Levels 1&amp;2'!AL39</f>
        <v>5486.1585166144778</v>
      </c>
      <c r="E38" s="1074">
        <f t="shared" si="32"/>
        <v>0</v>
      </c>
      <c r="F38" s="1074">
        <f>'Table 4 Level 3'!P37</f>
        <v>559.77</v>
      </c>
      <c r="G38" s="1074">
        <f t="shared" si="33"/>
        <v>0</v>
      </c>
      <c r="H38" s="1037">
        <f t="shared" si="34"/>
        <v>0</v>
      </c>
      <c r="I38" s="1417">
        <f>'[1]Oct midyear JS Clark Academy'!K38</f>
        <v>0</v>
      </c>
      <c r="J38" s="1417">
        <f>'[1]Feb midyear JS Clark Academy'!K38</f>
        <v>0</v>
      </c>
      <c r="K38" s="1417">
        <f t="shared" si="35"/>
        <v>0</v>
      </c>
      <c r="L38" s="1436">
        <f t="shared" si="36"/>
        <v>0</v>
      </c>
      <c r="M38" s="1084">
        <f t="shared" si="37"/>
        <v>0</v>
      </c>
      <c r="N38" s="1037">
        <f t="shared" si="38"/>
        <v>0</v>
      </c>
      <c r="O38" s="1037">
        <v>0</v>
      </c>
      <c r="P38" s="1037">
        <f t="shared" si="39"/>
        <v>0</v>
      </c>
      <c r="Q38" s="1037">
        <v>0</v>
      </c>
      <c r="R38" s="1037">
        <f t="shared" si="40"/>
        <v>0</v>
      </c>
      <c r="S38" s="1037">
        <f t="shared" si="41"/>
        <v>0</v>
      </c>
      <c r="T38" s="1029">
        <f>'[14]FY2012-13 Final'!K39</f>
        <v>1967</v>
      </c>
      <c r="U38" s="1031">
        <f t="shared" si="30"/>
        <v>0</v>
      </c>
      <c r="V38" s="1464">
        <f>'[20]Oct midyear JS Clark Academy'!E38</f>
        <v>0</v>
      </c>
      <c r="W38" s="1443">
        <f t="shared" si="42"/>
        <v>0</v>
      </c>
      <c r="X38" s="1474">
        <f>'[20]Feb midyear JS Clark Academy'!E38</f>
        <v>0</v>
      </c>
      <c r="Y38" s="1470">
        <f t="shared" si="43"/>
        <v>0</v>
      </c>
      <c r="Z38" s="1470">
        <f t="shared" si="44"/>
        <v>0</v>
      </c>
      <c r="AA38" s="1031">
        <f t="shared" si="45"/>
        <v>0</v>
      </c>
      <c r="AB38" s="1090">
        <f t="shared" si="46"/>
        <v>0</v>
      </c>
      <c r="AC38" s="1031">
        <f t="shared" si="47"/>
        <v>0</v>
      </c>
      <c r="AD38" s="1031">
        <v>0</v>
      </c>
      <c r="AE38" s="1031">
        <f t="shared" si="48"/>
        <v>0</v>
      </c>
      <c r="AF38" s="1031">
        <f t="shared" si="49"/>
        <v>0</v>
      </c>
      <c r="AG38" s="1448">
        <f t="shared" si="50"/>
        <v>0</v>
      </c>
      <c r="AH38" s="1448">
        <f t="shared" si="51"/>
        <v>0</v>
      </c>
      <c r="AI38" s="1032">
        <f t="shared" si="52"/>
        <v>0</v>
      </c>
      <c r="AJ38" s="1032">
        <f t="shared" si="31"/>
        <v>0</v>
      </c>
      <c r="AL38" s="49">
        <f t="shared" si="53"/>
        <v>0</v>
      </c>
      <c r="AM38" s="49">
        <f>-'[22]Table 5C1G-JS Clark Academy'!AL38</f>
        <v>0</v>
      </c>
      <c r="AN38" s="49">
        <f>-'[21]Table 5C1G-JS Clark Academy'!P38</f>
        <v>0</v>
      </c>
      <c r="AO38" s="49">
        <f t="shared" si="54"/>
        <v>0</v>
      </c>
      <c r="AP38" s="49"/>
    </row>
    <row r="39" spans="1:42">
      <c r="A39" s="975">
        <v>33</v>
      </c>
      <c r="B39" s="976" t="s">
        <v>134</v>
      </c>
      <c r="C39" s="1171">
        <v>0</v>
      </c>
      <c r="D39" s="984">
        <f>'Table 3 Levels 1&amp;2'!AL40</f>
        <v>5393.8471941993575</v>
      </c>
      <c r="E39" s="1074">
        <f t="shared" si="32"/>
        <v>0</v>
      </c>
      <c r="F39" s="1074">
        <f>'Table 4 Level 3'!P38</f>
        <v>655.31000000000006</v>
      </c>
      <c r="G39" s="1074">
        <f t="shared" si="33"/>
        <v>0</v>
      </c>
      <c r="H39" s="1037">
        <f t="shared" si="34"/>
        <v>0</v>
      </c>
      <c r="I39" s="1417">
        <f>'[1]Oct midyear JS Clark Academy'!K39</f>
        <v>0</v>
      </c>
      <c r="J39" s="1417">
        <f>'[1]Feb midyear JS Clark Academy'!K39</f>
        <v>0</v>
      </c>
      <c r="K39" s="1417">
        <f t="shared" si="35"/>
        <v>0</v>
      </c>
      <c r="L39" s="1436">
        <f t="shared" si="36"/>
        <v>0</v>
      </c>
      <c r="M39" s="1084">
        <f t="shared" si="37"/>
        <v>0</v>
      </c>
      <c r="N39" s="1037">
        <f t="shared" si="38"/>
        <v>0</v>
      </c>
      <c r="O39" s="1037">
        <v>0</v>
      </c>
      <c r="P39" s="1037">
        <f t="shared" si="39"/>
        <v>0</v>
      </c>
      <c r="Q39" s="1037">
        <v>0</v>
      </c>
      <c r="R39" s="1037">
        <f t="shared" si="40"/>
        <v>0</v>
      </c>
      <c r="S39" s="1037">
        <f t="shared" si="41"/>
        <v>0</v>
      </c>
      <c r="T39" s="1029">
        <f>'[14]FY2012-13 Final'!K40</f>
        <v>2990</v>
      </c>
      <c r="U39" s="1031">
        <f t="shared" ref="U39:U70" si="55">C39*T39</f>
        <v>0</v>
      </c>
      <c r="V39" s="1464">
        <f>'[20]Oct midyear JS Clark Academy'!E39</f>
        <v>0</v>
      </c>
      <c r="W39" s="1443">
        <f t="shared" si="42"/>
        <v>0</v>
      </c>
      <c r="X39" s="1474">
        <f>'[20]Feb midyear JS Clark Academy'!E39</f>
        <v>0</v>
      </c>
      <c r="Y39" s="1470">
        <f t="shared" si="43"/>
        <v>0</v>
      </c>
      <c r="Z39" s="1470">
        <f t="shared" si="44"/>
        <v>0</v>
      </c>
      <c r="AA39" s="1031">
        <f t="shared" si="45"/>
        <v>0</v>
      </c>
      <c r="AB39" s="1090">
        <f t="shared" si="46"/>
        <v>0</v>
      </c>
      <c r="AC39" s="1031">
        <f t="shared" si="47"/>
        <v>0</v>
      </c>
      <c r="AD39" s="1031">
        <v>0</v>
      </c>
      <c r="AE39" s="1031">
        <f t="shared" si="48"/>
        <v>0</v>
      </c>
      <c r="AF39" s="1031">
        <f t="shared" si="49"/>
        <v>0</v>
      </c>
      <c r="AG39" s="1448">
        <f t="shared" si="50"/>
        <v>0</v>
      </c>
      <c r="AH39" s="1448">
        <f t="shared" si="51"/>
        <v>0</v>
      </c>
      <c r="AI39" s="1032">
        <f t="shared" ref="AI39:AI75" si="56">P39+AE39</f>
        <v>0</v>
      </c>
      <c r="AJ39" s="1032">
        <f t="shared" ref="AJ39:AJ75" si="57">S39+AH39</f>
        <v>0</v>
      </c>
      <c r="AL39" s="49">
        <f t="shared" si="53"/>
        <v>0</v>
      </c>
      <c r="AM39" s="49">
        <f>-'[22]Table 5C1G-JS Clark Academy'!AL39</f>
        <v>0</v>
      </c>
      <c r="AN39" s="49">
        <f>-'[21]Table 5C1G-JS Clark Academy'!P39</f>
        <v>0</v>
      </c>
      <c r="AO39" s="49">
        <f t="shared" si="54"/>
        <v>0</v>
      </c>
      <c r="AP39" s="49"/>
    </row>
    <row r="40" spans="1:42">
      <c r="A40" s="975">
        <v>34</v>
      </c>
      <c r="B40" s="976" t="s">
        <v>135</v>
      </c>
      <c r="C40" s="1171">
        <v>0</v>
      </c>
      <c r="D40" s="984">
        <f>'Table 3 Levels 1&amp;2'!AL41</f>
        <v>5864.3549473361072</v>
      </c>
      <c r="E40" s="1074">
        <f t="shared" si="32"/>
        <v>0</v>
      </c>
      <c r="F40" s="1074">
        <f>'Table 4 Level 3'!P39</f>
        <v>644.11000000000013</v>
      </c>
      <c r="G40" s="1074">
        <f t="shared" si="33"/>
        <v>0</v>
      </c>
      <c r="H40" s="1037">
        <f t="shared" si="34"/>
        <v>0</v>
      </c>
      <c r="I40" s="1417">
        <f>'[1]Oct midyear JS Clark Academy'!K40</f>
        <v>0</v>
      </c>
      <c r="J40" s="1417">
        <f>'[1]Feb midyear JS Clark Academy'!K40</f>
        <v>0</v>
      </c>
      <c r="K40" s="1417">
        <f t="shared" si="35"/>
        <v>0</v>
      </c>
      <c r="L40" s="1436">
        <f t="shared" si="36"/>
        <v>0</v>
      </c>
      <c r="M40" s="1084">
        <f t="shared" si="37"/>
        <v>0</v>
      </c>
      <c r="N40" s="1037">
        <f t="shared" si="38"/>
        <v>0</v>
      </c>
      <c r="O40" s="1037">
        <v>0</v>
      </c>
      <c r="P40" s="1037">
        <f t="shared" si="39"/>
        <v>0</v>
      </c>
      <c r="Q40" s="1037">
        <v>0</v>
      </c>
      <c r="R40" s="1037">
        <f t="shared" si="40"/>
        <v>0</v>
      </c>
      <c r="S40" s="1037">
        <f t="shared" si="41"/>
        <v>0</v>
      </c>
      <c r="T40" s="1029">
        <f>'[14]FY2012-13 Final'!K41</f>
        <v>2768</v>
      </c>
      <c r="U40" s="1031">
        <f t="shared" si="55"/>
        <v>0</v>
      </c>
      <c r="V40" s="1464">
        <f>'[20]Oct midyear JS Clark Academy'!E40</f>
        <v>0</v>
      </c>
      <c r="W40" s="1443">
        <f t="shared" si="42"/>
        <v>0</v>
      </c>
      <c r="X40" s="1474">
        <f>'[20]Feb midyear JS Clark Academy'!E40</f>
        <v>0</v>
      </c>
      <c r="Y40" s="1470">
        <f t="shared" si="43"/>
        <v>0</v>
      </c>
      <c r="Z40" s="1470">
        <f t="shared" si="44"/>
        <v>0</v>
      </c>
      <c r="AA40" s="1031">
        <f t="shared" si="45"/>
        <v>0</v>
      </c>
      <c r="AB40" s="1090">
        <f t="shared" si="46"/>
        <v>0</v>
      </c>
      <c r="AC40" s="1031">
        <f t="shared" si="47"/>
        <v>0</v>
      </c>
      <c r="AD40" s="1031">
        <v>0</v>
      </c>
      <c r="AE40" s="1031">
        <f t="shared" si="48"/>
        <v>0</v>
      </c>
      <c r="AF40" s="1031">
        <f t="shared" si="49"/>
        <v>0</v>
      </c>
      <c r="AG40" s="1448">
        <f t="shared" si="50"/>
        <v>0</v>
      </c>
      <c r="AH40" s="1448">
        <f t="shared" si="51"/>
        <v>0</v>
      </c>
      <c r="AI40" s="1032">
        <f t="shared" si="56"/>
        <v>0</v>
      </c>
      <c r="AJ40" s="1032">
        <f t="shared" si="57"/>
        <v>0</v>
      </c>
      <c r="AL40" s="49">
        <f t="shared" si="53"/>
        <v>0</v>
      </c>
      <c r="AM40" s="49">
        <f>-'[22]Table 5C1G-JS Clark Academy'!AL40</f>
        <v>0</v>
      </c>
      <c r="AN40" s="49">
        <f>-'[21]Table 5C1G-JS Clark Academy'!P40</f>
        <v>0</v>
      </c>
      <c r="AO40" s="49">
        <f t="shared" si="54"/>
        <v>0</v>
      </c>
      <c r="AP40" s="49"/>
    </row>
    <row r="41" spans="1:42">
      <c r="A41" s="979">
        <v>35</v>
      </c>
      <c r="B41" s="980" t="s">
        <v>136</v>
      </c>
      <c r="C41" s="1172">
        <v>0</v>
      </c>
      <c r="D41" s="986">
        <f>'Table 3 Levels 1&amp;2'!AL42</f>
        <v>4848.8680115701454</v>
      </c>
      <c r="E41" s="1075">
        <f t="shared" si="32"/>
        <v>0</v>
      </c>
      <c r="F41" s="1075">
        <f>'Table 4 Level 3'!P40</f>
        <v>537.96</v>
      </c>
      <c r="G41" s="1075">
        <f t="shared" si="33"/>
        <v>0</v>
      </c>
      <c r="H41" s="1038">
        <f t="shared" si="34"/>
        <v>0</v>
      </c>
      <c r="I41" s="1418">
        <f>'[1]Oct midyear JS Clark Academy'!K41</f>
        <v>0</v>
      </c>
      <c r="J41" s="1418">
        <f>'[1]Feb midyear JS Clark Academy'!K41</f>
        <v>0</v>
      </c>
      <c r="K41" s="1418">
        <f t="shared" si="35"/>
        <v>0</v>
      </c>
      <c r="L41" s="1437">
        <f t="shared" si="36"/>
        <v>0</v>
      </c>
      <c r="M41" s="1085">
        <f t="shared" si="37"/>
        <v>0</v>
      </c>
      <c r="N41" s="1038">
        <f t="shared" si="38"/>
        <v>0</v>
      </c>
      <c r="O41" s="1038">
        <v>0</v>
      </c>
      <c r="P41" s="1038">
        <f t="shared" si="39"/>
        <v>0</v>
      </c>
      <c r="Q41" s="1038">
        <v>0</v>
      </c>
      <c r="R41" s="1038">
        <f t="shared" si="40"/>
        <v>0</v>
      </c>
      <c r="S41" s="1038">
        <f t="shared" si="41"/>
        <v>0</v>
      </c>
      <c r="T41" s="1034">
        <f>'[14]FY2012-13 Final'!K42</f>
        <v>3611</v>
      </c>
      <c r="U41" s="1035">
        <f t="shared" si="55"/>
        <v>0</v>
      </c>
      <c r="V41" s="1465">
        <f>'[20]Oct midyear JS Clark Academy'!E41</f>
        <v>0</v>
      </c>
      <c r="W41" s="1445">
        <f t="shared" si="42"/>
        <v>0</v>
      </c>
      <c r="X41" s="1475">
        <f>'[20]Feb midyear JS Clark Academy'!E41</f>
        <v>0</v>
      </c>
      <c r="Y41" s="1471">
        <f t="shared" si="43"/>
        <v>0</v>
      </c>
      <c r="Z41" s="1471">
        <f t="shared" si="44"/>
        <v>0</v>
      </c>
      <c r="AA41" s="1035">
        <f t="shared" si="45"/>
        <v>0</v>
      </c>
      <c r="AB41" s="1091">
        <f t="shared" si="46"/>
        <v>0</v>
      </c>
      <c r="AC41" s="1035">
        <f t="shared" si="47"/>
        <v>0</v>
      </c>
      <c r="AD41" s="1035">
        <v>0</v>
      </c>
      <c r="AE41" s="1035">
        <f t="shared" si="48"/>
        <v>0</v>
      </c>
      <c r="AF41" s="1035">
        <f t="shared" si="49"/>
        <v>0</v>
      </c>
      <c r="AG41" s="1450">
        <f t="shared" si="50"/>
        <v>0</v>
      </c>
      <c r="AH41" s="1450">
        <f t="shared" si="51"/>
        <v>0</v>
      </c>
      <c r="AI41" s="1036">
        <f t="shared" si="56"/>
        <v>0</v>
      </c>
      <c r="AJ41" s="1036">
        <f t="shared" si="57"/>
        <v>0</v>
      </c>
      <c r="AL41" s="49">
        <f t="shared" si="53"/>
        <v>0</v>
      </c>
      <c r="AM41" s="49">
        <f>-'[22]Table 5C1G-JS Clark Academy'!AL41</f>
        <v>0</v>
      </c>
      <c r="AN41" s="49">
        <f>-'[21]Table 5C1G-JS Clark Academy'!P41</f>
        <v>0</v>
      </c>
      <c r="AO41" s="49">
        <f t="shared" si="54"/>
        <v>0</v>
      </c>
      <c r="AP41" s="49"/>
    </row>
    <row r="42" spans="1:42">
      <c r="A42" s="968">
        <v>36</v>
      </c>
      <c r="B42" s="969" t="s">
        <v>137</v>
      </c>
      <c r="C42" s="1173">
        <v>0</v>
      </c>
      <c r="D42" s="988">
        <f>'Table 3 Levels 1&amp;2'!AL43</f>
        <v>3442.7546828904692</v>
      </c>
      <c r="E42" s="1076">
        <f t="shared" si="32"/>
        <v>0</v>
      </c>
      <c r="F42" s="1076">
        <f>'Table 5B1_RSD_Orleans'!F78</f>
        <v>746.0335616438357</v>
      </c>
      <c r="G42" s="1076">
        <f t="shared" si="33"/>
        <v>0</v>
      </c>
      <c r="H42" s="1039">
        <f t="shared" si="34"/>
        <v>0</v>
      </c>
      <c r="I42" s="1419">
        <f>'[1]Oct midyear JS Clark Academy'!K42</f>
        <v>0</v>
      </c>
      <c r="J42" s="1419">
        <f>'[1]Feb midyear JS Clark Academy'!K42</f>
        <v>0</v>
      </c>
      <c r="K42" s="1419">
        <f t="shared" si="35"/>
        <v>0</v>
      </c>
      <c r="L42" s="1211">
        <f t="shared" si="36"/>
        <v>0</v>
      </c>
      <c r="M42" s="1086">
        <f t="shared" si="37"/>
        <v>0</v>
      </c>
      <c r="N42" s="1039">
        <f t="shared" si="38"/>
        <v>0</v>
      </c>
      <c r="O42" s="1039">
        <v>0</v>
      </c>
      <c r="P42" s="1039">
        <f t="shared" si="39"/>
        <v>0</v>
      </c>
      <c r="Q42" s="1039">
        <v>0</v>
      </c>
      <c r="R42" s="1039">
        <f t="shared" si="40"/>
        <v>0</v>
      </c>
      <c r="S42" s="1039">
        <f t="shared" si="41"/>
        <v>0</v>
      </c>
      <c r="T42" s="1029">
        <f>'[14]FY2012-13 Final'!K43</f>
        <v>4884</v>
      </c>
      <c r="U42" s="973">
        <f t="shared" si="55"/>
        <v>0</v>
      </c>
      <c r="V42" s="1466">
        <f>'[20]Oct midyear JS Clark Academy'!E42</f>
        <v>0</v>
      </c>
      <c r="W42" s="1444">
        <f t="shared" si="42"/>
        <v>0</v>
      </c>
      <c r="X42" s="1466">
        <f>'[20]Feb midyear JS Clark Academy'!E42</f>
        <v>0</v>
      </c>
      <c r="Y42" s="1444">
        <f t="shared" si="43"/>
        <v>0</v>
      </c>
      <c r="Z42" s="1444">
        <f t="shared" si="44"/>
        <v>0</v>
      </c>
      <c r="AA42" s="973">
        <f t="shared" si="45"/>
        <v>0</v>
      </c>
      <c r="AB42" s="1089">
        <f t="shared" si="46"/>
        <v>0</v>
      </c>
      <c r="AC42" s="973">
        <f t="shared" si="47"/>
        <v>0</v>
      </c>
      <c r="AD42" s="973">
        <v>0</v>
      </c>
      <c r="AE42" s="973">
        <f t="shared" si="48"/>
        <v>0</v>
      </c>
      <c r="AF42" s="973">
        <f t="shared" si="49"/>
        <v>0</v>
      </c>
      <c r="AG42" s="1214">
        <f t="shared" si="50"/>
        <v>0</v>
      </c>
      <c r="AH42" s="1214">
        <f t="shared" si="51"/>
        <v>0</v>
      </c>
      <c r="AI42" s="974">
        <f t="shared" si="56"/>
        <v>0</v>
      </c>
      <c r="AJ42" s="974">
        <f t="shared" si="57"/>
        <v>0</v>
      </c>
      <c r="AL42" s="49">
        <f t="shared" si="53"/>
        <v>0</v>
      </c>
      <c r="AM42" s="49">
        <f>-'[22]Table 5C1G-JS Clark Academy'!AL42</f>
        <v>0</v>
      </c>
      <c r="AN42" s="49">
        <f>-'[21]Table 5C1G-JS Clark Academy'!P42</f>
        <v>0</v>
      </c>
      <c r="AO42" s="49">
        <f t="shared" si="54"/>
        <v>0</v>
      </c>
      <c r="AP42" s="49"/>
    </row>
    <row r="43" spans="1:42">
      <c r="A43" s="975">
        <v>37</v>
      </c>
      <c r="B43" s="976" t="s">
        <v>138</v>
      </c>
      <c r="C43" s="1171">
        <v>0</v>
      </c>
      <c r="D43" s="984">
        <f>'Table 3 Levels 1&amp;2'!AL44</f>
        <v>5492.0643232073926</v>
      </c>
      <c r="E43" s="1074">
        <f t="shared" si="32"/>
        <v>0</v>
      </c>
      <c r="F43" s="1074">
        <f>'Table 4 Level 3'!P42</f>
        <v>653.61</v>
      </c>
      <c r="G43" s="1074">
        <f t="shared" si="33"/>
        <v>0</v>
      </c>
      <c r="H43" s="1037">
        <f t="shared" si="34"/>
        <v>0</v>
      </c>
      <c r="I43" s="1417">
        <f>'[1]Oct midyear JS Clark Academy'!K43</f>
        <v>0</v>
      </c>
      <c r="J43" s="1417">
        <f>'[1]Feb midyear JS Clark Academy'!K43</f>
        <v>0</v>
      </c>
      <c r="K43" s="1417">
        <f t="shared" si="35"/>
        <v>0</v>
      </c>
      <c r="L43" s="1436">
        <f t="shared" si="36"/>
        <v>0</v>
      </c>
      <c r="M43" s="1084">
        <f t="shared" si="37"/>
        <v>0</v>
      </c>
      <c r="N43" s="1037">
        <f t="shared" si="38"/>
        <v>0</v>
      </c>
      <c r="O43" s="1037">
        <v>0</v>
      </c>
      <c r="P43" s="1037">
        <f t="shared" si="39"/>
        <v>0</v>
      </c>
      <c r="Q43" s="1037">
        <v>0</v>
      </c>
      <c r="R43" s="1037">
        <f t="shared" si="40"/>
        <v>0</v>
      </c>
      <c r="S43" s="1037">
        <f t="shared" si="41"/>
        <v>0</v>
      </c>
      <c r="T43" s="1029">
        <f>'[14]FY2012-13 Final'!K44</f>
        <v>3128</v>
      </c>
      <c r="U43" s="1031">
        <f t="shared" si="55"/>
        <v>0</v>
      </c>
      <c r="V43" s="1464">
        <f>'[20]Oct midyear JS Clark Academy'!E43</f>
        <v>0</v>
      </c>
      <c r="W43" s="1443">
        <f t="shared" si="42"/>
        <v>0</v>
      </c>
      <c r="X43" s="1474">
        <f>'[20]Feb midyear JS Clark Academy'!E43</f>
        <v>0</v>
      </c>
      <c r="Y43" s="1470">
        <f t="shared" si="43"/>
        <v>0</v>
      </c>
      <c r="Z43" s="1470">
        <f t="shared" si="44"/>
        <v>0</v>
      </c>
      <c r="AA43" s="1031">
        <f t="shared" si="45"/>
        <v>0</v>
      </c>
      <c r="AB43" s="1090">
        <f t="shared" si="46"/>
        <v>0</v>
      </c>
      <c r="AC43" s="1031">
        <f t="shared" si="47"/>
        <v>0</v>
      </c>
      <c r="AD43" s="1031">
        <v>0</v>
      </c>
      <c r="AE43" s="1031">
        <f t="shared" si="48"/>
        <v>0</v>
      </c>
      <c r="AF43" s="1031">
        <f t="shared" si="49"/>
        <v>0</v>
      </c>
      <c r="AG43" s="1448">
        <f t="shared" si="50"/>
        <v>0</v>
      </c>
      <c r="AH43" s="1448">
        <f t="shared" si="51"/>
        <v>0</v>
      </c>
      <c r="AI43" s="1032">
        <f t="shared" si="56"/>
        <v>0</v>
      </c>
      <c r="AJ43" s="1032">
        <f t="shared" si="57"/>
        <v>0</v>
      </c>
      <c r="AL43" s="49">
        <f t="shared" si="53"/>
        <v>0</v>
      </c>
      <c r="AM43" s="49">
        <f>-'[22]Table 5C1G-JS Clark Academy'!AL43</f>
        <v>0</v>
      </c>
      <c r="AN43" s="49">
        <f>-'[21]Table 5C1G-JS Clark Academy'!P43</f>
        <v>0</v>
      </c>
      <c r="AO43" s="49">
        <f t="shared" si="54"/>
        <v>0</v>
      </c>
      <c r="AP43" s="49"/>
    </row>
    <row r="44" spans="1:42">
      <c r="A44" s="975">
        <v>38</v>
      </c>
      <c r="B44" s="976" t="s">
        <v>139</v>
      </c>
      <c r="C44" s="1171">
        <v>0</v>
      </c>
      <c r="D44" s="984">
        <f>'Table 3 Levels 1&amp;2'!AL45</f>
        <v>2296.9220537376964</v>
      </c>
      <c r="E44" s="1074">
        <f t="shared" si="32"/>
        <v>0</v>
      </c>
      <c r="F44" s="1074">
        <f>'Table 4 Level 3'!P43</f>
        <v>829.92000000000007</v>
      </c>
      <c r="G44" s="1074">
        <f t="shared" si="33"/>
        <v>0</v>
      </c>
      <c r="H44" s="1037">
        <f t="shared" si="34"/>
        <v>0</v>
      </c>
      <c r="I44" s="1417">
        <f>'[1]Oct midyear JS Clark Academy'!K44</f>
        <v>0</v>
      </c>
      <c r="J44" s="1417">
        <f>'[1]Feb midyear JS Clark Academy'!K44</f>
        <v>0</v>
      </c>
      <c r="K44" s="1417">
        <f t="shared" si="35"/>
        <v>0</v>
      </c>
      <c r="L44" s="1436">
        <f t="shared" si="36"/>
        <v>0</v>
      </c>
      <c r="M44" s="1084">
        <f t="shared" si="37"/>
        <v>0</v>
      </c>
      <c r="N44" s="1037">
        <f t="shared" si="38"/>
        <v>0</v>
      </c>
      <c r="O44" s="1037">
        <v>0</v>
      </c>
      <c r="P44" s="1037">
        <f t="shared" si="39"/>
        <v>0</v>
      </c>
      <c r="Q44" s="1037">
        <v>0</v>
      </c>
      <c r="R44" s="1037">
        <f t="shared" si="40"/>
        <v>0</v>
      </c>
      <c r="S44" s="1037">
        <f t="shared" si="41"/>
        <v>0</v>
      </c>
      <c r="T44" s="1029">
        <f>'[14]FY2012-13 Final'!K45</f>
        <v>10932</v>
      </c>
      <c r="U44" s="1031">
        <f t="shared" si="55"/>
        <v>0</v>
      </c>
      <c r="V44" s="1464">
        <f>'[20]Oct midyear JS Clark Academy'!E44</f>
        <v>0</v>
      </c>
      <c r="W44" s="1443">
        <f t="shared" si="42"/>
        <v>0</v>
      </c>
      <c r="X44" s="1474">
        <f>'[20]Feb midyear JS Clark Academy'!E44</f>
        <v>0</v>
      </c>
      <c r="Y44" s="1470">
        <f t="shared" si="43"/>
        <v>0</v>
      </c>
      <c r="Z44" s="1470">
        <f t="shared" si="44"/>
        <v>0</v>
      </c>
      <c r="AA44" s="1031">
        <f t="shared" si="45"/>
        <v>0</v>
      </c>
      <c r="AB44" s="1090">
        <f t="shared" si="46"/>
        <v>0</v>
      </c>
      <c r="AC44" s="1031">
        <f t="shared" si="47"/>
        <v>0</v>
      </c>
      <c r="AD44" s="1031">
        <v>0</v>
      </c>
      <c r="AE44" s="1031">
        <f t="shared" si="48"/>
        <v>0</v>
      </c>
      <c r="AF44" s="1031">
        <f t="shared" si="49"/>
        <v>0</v>
      </c>
      <c r="AG44" s="1448">
        <f t="shared" si="50"/>
        <v>0</v>
      </c>
      <c r="AH44" s="1448">
        <f t="shared" si="51"/>
        <v>0</v>
      </c>
      <c r="AI44" s="1032">
        <f t="shared" si="56"/>
        <v>0</v>
      </c>
      <c r="AJ44" s="1032">
        <f t="shared" si="57"/>
        <v>0</v>
      </c>
      <c r="AL44" s="49">
        <f t="shared" si="53"/>
        <v>0</v>
      </c>
      <c r="AM44" s="49">
        <f>-'[22]Table 5C1G-JS Clark Academy'!AL44</f>
        <v>0</v>
      </c>
      <c r="AN44" s="49">
        <f>-'[21]Table 5C1G-JS Clark Academy'!P44</f>
        <v>0</v>
      </c>
      <c r="AO44" s="49">
        <f t="shared" si="54"/>
        <v>0</v>
      </c>
      <c r="AP44" s="49"/>
    </row>
    <row r="45" spans="1:42">
      <c r="A45" s="975">
        <v>39</v>
      </c>
      <c r="B45" s="976" t="s">
        <v>140</v>
      </c>
      <c r="C45" s="1171">
        <v>0</v>
      </c>
      <c r="D45" s="984">
        <f>'Table 3 Levels 1&amp;2'!AL46</f>
        <v>3692.59215316156</v>
      </c>
      <c r="E45" s="1074">
        <f t="shared" si="32"/>
        <v>0</v>
      </c>
      <c r="F45" s="1074">
        <f>'Table 5B2_RSD_LA'!F21</f>
        <v>779.65573042776441</v>
      </c>
      <c r="G45" s="1074">
        <f t="shared" si="33"/>
        <v>0</v>
      </c>
      <c r="H45" s="1037">
        <f t="shared" si="34"/>
        <v>0</v>
      </c>
      <c r="I45" s="1417">
        <f>'[1]Oct midyear JS Clark Academy'!K45</f>
        <v>0</v>
      </c>
      <c r="J45" s="1417">
        <f>'[1]Feb midyear JS Clark Academy'!K45</f>
        <v>0</v>
      </c>
      <c r="K45" s="1417">
        <f t="shared" si="35"/>
        <v>0</v>
      </c>
      <c r="L45" s="1436">
        <f t="shared" si="36"/>
        <v>0</v>
      </c>
      <c r="M45" s="1084">
        <f t="shared" si="37"/>
        <v>0</v>
      </c>
      <c r="N45" s="1037">
        <f t="shared" si="38"/>
        <v>0</v>
      </c>
      <c r="O45" s="1037">
        <v>0</v>
      </c>
      <c r="P45" s="1037">
        <f t="shared" si="39"/>
        <v>0</v>
      </c>
      <c r="Q45" s="1037">
        <v>0</v>
      </c>
      <c r="R45" s="1037">
        <f t="shared" si="40"/>
        <v>0</v>
      </c>
      <c r="S45" s="1037">
        <f t="shared" si="41"/>
        <v>0</v>
      </c>
      <c r="T45" s="1029">
        <f>'[14]FY2012-13 Final'!K46</f>
        <v>4317</v>
      </c>
      <c r="U45" s="1031">
        <f t="shared" si="55"/>
        <v>0</v>
      </c>
      <c r="V45" s="1464">
        <f>'[20]Oct midyear JS Clark Academy'!E45</f>
        <v>0</v>
      </c>
      <c r="W45" s="1443">
        <f t="shared" si="42"/>
        <v>0</v>
      </c>
      <c r="X45" s="1474">
        <f>'[20]Feb midyear JS Clark Academy'!E45</f>
        <v>0</v>
      </c>
      <c r="Y45" s="1470">
        <f t="shared" si="43"/>
        <v>0</v>
      </c>
      <c r="Z45" s="1470">
        <f t="shared" si="44"/>
        <v>0</v>
      </c>
      <c r="AA45" s="1031">
        <f t="shared" si="45"/>
        <v>0</v>
      </c>
      <c r="AB45" s="1090">
        <f t="shared" si="46"/>
        <v>0</v>
      </c>
      <c r="AC45" s="1031">
        <f t="shared" si="47"/>
        <v>0</v>
      </c>
      <c r="AD45" s="1031">
        <v>0</v>
      </c>
      <c r="AE45" s="1031">
        <f t="shared" si="48"/>
        <v>0</v>
      </c>
      <c r="AF45" s="1031">
        <f t="shared" si="49"/>
        <v>0</v>
      </c>
      <c r="AG45" s="1448">
        <f t="shared" si="50"/>
        <v>0</v>
      </c>
      <c r="AH45" s="1448">
        <f t="shared" si="51"/>
        <v>0</v>
      </c>
      <c r="AI45" s="1032">
        <f t="shared" si="56"/>
        <v>0</v>
      </c>
      <c r="AJ45" s="1032">
        <f t="shared" si="57"/>
        <v>0</v>
      </c>
      <c r="AL45" s="49">
        <f t="shared" si="53"/>
        <v>0</v>
      </c>
      <c r="AM45" s="49">
        <f>-'[22]Table 5C1G-JS Clark Academy'!AL45</f>
        <v>0</v>
      </c>
      <c r="AN45" s="49">
        <f>-'[21]Table 5C1G-JS Clark Academy'!P45</f>
        <v>0</v>
      </c>
      <c r="AO45" s="49">
        <f t="shared" si="54"/>
        <v>0</v>
      </c>
      <c r="AP45" s="49"/>
    </row>
    <row r="46" spans="1:42">
      <c r="A46" s="979">
        <v>40</v>
      </c>
      <c r="B46" s="980" t="s">
        <v>141</v>
      </c>
      <c r="C46" s="1172">
        <v>0</v>
      </c>
      <c r="D46" s="986">
        <f>'Table 3 Levels 1&amp;2'!AL47</f>
        <v>4897.3087815908475</v>
      </c>
      <c r="E46" s="1075">
        <f t="shared" si="32"/>
        <v>0</v>
      </c>
      <c r="F46" s="1075">
        <f>'Table 4 Level 3'!P45</f>
        <v>700.2700000000001</v>
      </c>
      <c r="G46" s="1075">
        <f t="shared" si="33"/>
        <v>0</v>
      </c>
      <c r="H46" s="1038">
        <f t="shared" si="34"/>
        <v>0</v>
      </c>
      <c r="I46" s="1418">
        <f>'[1]Oct midyear JS Clark Academy'!K46</f>
        <v>0</v>
      </c>
      <c r="J46" s="1418">
        <f>'[1]Feb midyear JS Clark Academy'!K46</f>
        <v>0</v>
      </c>
      <c r="K46" s="1418">
        <f t="shared" si="35"/>
        <v>0</v>
      </c>
      <c r="L46" s="1437">
        <f t="shared" si="36"/>
        <v>0</v>
      </c>
      <c r="M46" s="1085">
        <f t="shared" si="37"/>
        <v>0</v>
      </c>
      <c r="N46" s="1038">
        <f t="shared" si="38"/>
        <v>0</v>
      </c>
      <c r="O46" s="1038">
        <v>0</v>
      </c>
      <c r="P46" s="1038">
        <f t="shared" si="39"/>
        <v>0</v>
      </c>
      <c r="Q46" s="1038">
        <v>0</v>
      </c>
      <c r="R46" s="1038">
        <f t="shared" si="40"/>
        <v>0</v>
      </c>
      <c r="S46" s="1038">
        <f t="shared" si="41"/>
        <v>0</v>
      </c>
      <c r="T46" s="1034">
        <f>'[14]FY2012-13 Final'!K47</f>
        <v>2932</v>
      </c>
      <c r="U46" s="1035">
        <f t="shared" si="55"/>
        <v>0</v>
      </c>
      <c r="V46" s="1465">
        <f>'[20]Oct midyear JS Clark Academy'!E46</f>
        <v>0</v>
      </c>
      <c r="W46" s="1445">
        <f t="shared" si="42"/>
        <v>0</v>
      </c>
      <c r="X46" s="1475">
        <f>'[20]Feb midyear JS Clark Academy'!E46</f>
        <v>0</v>
      </c>
      <c r="Y46" s="1471">
        <f t="shared" si="43"/>
        <v>0</v>
      </c>
      <c r="Z46" s="1471">
        <f t="shared" si="44"/>
        <v>0</v>
      </c>
      <c r="AA46" s="1035">
        <f t="shared" si="45"/>
        <v>0</v>
      </c>
      <c r="AB46" s="1091">
        <f t="shared" si="46"/>
        <v>0</v>
      </c>
      <c r="AC46" s="1035">
        <f t="shared" si="47"/>
        <v>0</v>
      </c>
      <c r="AD46" s="1035">
        <v>0</v>
      </c>
      <c r="AE46" s="1035">
        <f t="shared" si="48"/>
        <v>0</v>
      </c>
      <c r="AF46" s="1035">
        <f t="shared" si="49"/>
        <v>0</v>
      </c>
      <c r="AG46" s="1450">
        <f t="shared" si="50"/>
        <v>0</v>
      </c>
      <c r="AH46" s="1450">
        <f t="shared" si="51"/>
        <v>0</v>
      </c>
      <c r="AI46" s="1036">
        <f t="shared" si="56"/>
        <v>0</v>
      </c>
      <c r="AJ46" s="1036">
        <f t="shared" si="57"/>
        <v>0</v>
      </c>
      <c r="AL46" s="49">
        <f t="shared" si="53"/>
        <v>0</v>
      </c>
      <c r="AM46" s="49">
        <f>-'[22]Table 5C1G-JS Clark Academy'!AL46</f>
        <v>0</v>
      </c>
      <c r="AN46" s="49">
        <f>-'[21]Table 5C1G-JS Clark Academy'!P46</f>
        <v>0</v>
      </c>
      <c r="AO46" s="49">
        <f t="shared" si="54"/>
        <v>0</v>
      </c>
      <c r="AP46" s="49"/>
    </row>
    <row r="47" spans="1:42">
      <c r="A47" s="968">
        <v>41</v>
      </c>
      <c r="B47" s="969" t="s">
        <v>142</v>
      </c>
      <c r="C47" s="1173">
        <v>0</v>
      </c>
      <c r="D47" s="988">
        <f>'Table 3 Levels 1&amp;2'!AL48</f>
        <v>1613.0487891737891</v>
      </c>
      <c r="E47" s="1076">
        <f t="shared" si="32"/>
        <v>0</v>
      </c>
      <c r="F47" s="1076">
        <f>'Table 4 Level 3'!P46</f>
        <v>886.22</v>
      </c>
      <c r="G47" s="1076">
        <f t="shared" si="33"/>
        <v>0</v>
      </c>
      <c r="H47" s="1039">
        <f t="shared" si="34"/>
        <v>0</v>
      </c>
      <c r="I47" s="1419">
        <f>'[1]Oct midyear JS Clark Academy'!K47</f>
        <v>0</v>
      </c>
      <c r="J47" s="1419">
        <f>'[1]Feb midyear JS Clark Academy'!K47</f>
        <v>0</v>
      </c>
      <c r="K47" s="1419">
        <f t="shared" si="35"/>
        <v>0</v>
      </c>
      <c r="L47" s="1211">
        <f t="shared" si="36"/>
        <v>0</v>
      </c>
      <c r="M47" s="1086">
        <f t="shared" si="37"/>
        <v>0</v>
      </c>
      <c r="N47" s="1039">
        <f t="shared" si="38"/>
        <v>0</v>
      </c>
      <c r="O47" s="1039">
        <v>0</v>
      </c>
      <c r="P47" s="1039">
        <f t="shared" si="39"/>
        <v>0</v>
      </c>
      <c r="Q47" s="1039">
        <v>0</v>
      </c>
      <c r="R47" s="1039">
        <f t="shared" si="40"/>
        <v>0</v>
      </c>
      <c r="S47" s="1039">
        <f t="shared" si="41"/>
        <v>0</v>
      </c>
      <c r="T47" s="1029">
        <f>'[14]FY2012-13 Final'!K48</f>
        <v>12026</v>
      </c>
      <c r="U47" s="973">
        <f t="shared" si="55"/>
        <v>0</v>
      </c>
      <c r="V47" s="1466">
        <f>'[20]Oct midyear JS Clark Academy'!E47</f>
        <v>0</v>
      </c>
      <c r="W47" s="1444">
        <f t="shared" si="42"/>
        <v>0</v>
      </c>
      <c r="X47" s="1466">
        <f>'[20]Feb midyear JS Clark Academy'!E47</f>
        <v>0</v>
      </c>
      <c r="Y47" s="1444">
        <f t="shared" si="43"/>
        <v>0</v>
      </c>
      <c r="Z47" s="1444">
        <f t="shared" si="44"/>
        <v>0</v>
      </c>
      <c r="AA47" s="973">
        <f t="shared" si="45"/>
        <v>0</v>
      </c>
      <c r="AB47" s="1089">
        <f t="shared" si="46"/>
        <v>0</v>
      </c>
      <c r="AC47" s="973">
        <f t="shared" si="47"/>
        <v>0</v>
      </c>
      <c r="AD47" s="973">
        <v>0</v>
      </c>
      <c r="AE47" s="973">
        <f t="shared" si="48"/>
        <v>0</v>
      </c>
      <c r="AF47" s="973">
        <f t="shared" si="49"/>
        <v>0</v>
      </c>
      <c r="AG47" s="1214">
        <f t="shared" si="50"/>
        <v>0</v>
      </c>
      <c r="AH47" s="1214">
        <f t="shared" si="51"/>
        <v>0</v>
      </c>
      <c r="AI47" s="974">
        <f t="shared" si="56"/>
        <v>0</v>
      </c>
      <c r="AJ47" s="974">
        <f t="shared" si="57"/>
        <v>0</v>
      </c>
      <c r="AL47" s="49">
        <f t="shared" si="53"/>
        <v>0</v>
      </c>
      <c r="AM47" s="49">
        <f>-'[22]Table 5C1G-JS Clark Academy'!AL47</f>
        <v>0</v>
      </c>
      <c r="AN47" s="49">
        <f>-'[21]Table 5C1G-JS Clark Academy'!P47</f>
        <v>0</v>
      </c>
      <c r="AO47" s="49">
        <f t="shared" si="54"/>
        <v>0</v>
      </c>
      <c r="AP47" s="49"/>
    </row>
    <row r="48" spans="1:42">
      <c r="A48" s="975">
        <v>42</v>
      </c>
      <c r="B48" s="976" t="s">
        <v>143</v>
      </c>
      <c r="C48" s="1171">
        <v>0</v>
      </c>
      <c r="D48" s="984">
        <f>'Table 3 Levels 1&amp;2'!AL49</f>
        <v>5259.3837602759822</v>
      </c>
      <c r="E48" s="1074">
        <f t="shared" si="32"/>
        <v>0</v>
      </c>
      <c r="F48" s="1074">
        <f>'Table 4 Level 3'!P47</f>
        <v>534.28</v>
      </c>
      <c r="G48" s="1074">
        <f t="shared" si="33"/>
        <v>0</v>
      </c>
      <c r="H48" s="1037">
        <f t="shared" si="34"/>
        <v>0</v>
      </c>
      <c r="I48" s="1417">
        <f>'[1]Oct midyear JS Clark Academy'!K48</f>
        <v>0</v>
      </c>
      <c r="J48" s="1417">
        <f>'[1]Feb midyear JS Clark Academy'!K48</f>
        <v>0</v>
      </c>
      <c r="K48" s="1417">
        <f t="shared" si="35"/>
        <v>0</v>
      </c>
      <c r="L48" s="1436">
        <f t="shared" si="36"/>
        <v>0</v>
      </c>
      <c r="M48" s="1084">
        <f t="shared" si="37"/>
        <v>0</v>
      </c>
      <c r="N48" s="1037">
        <f t="shared" si="38"/>
        <v>0</v>
      </c>
      <c r="O48" s="1037">
        <v>0</v>
      </c>
      <c r="P48" s="1037">
        <f t="shared" si="39"/>
        <v>0</v>
      </c>
      <c r="Q48" s="1037">
        <v>0</v>
      </c>
      <c r="R48" s="1037">
        <f t="shared" si="40"/>
        <v>0</v>
      </c>
      <c r="S48" s="1037">
        <f t="shared" si="41"/>
        <v>0</v>
      </c>
      <c r="T48" s="1029">
        <f>'[14]FY2012-13 Final'!K49</f>
        <v>2881</v>
      </c>
      <c r="U48" s="1031">
        <f t="shared" si="55"/>
        <v>0</v>
      </c>
      <c r="V48" s="1464">
        <f>'[20]Oct midyear JS Clark Academy'!E48</f>
        <v>0</v>
      </c>
      <c r="W48" s="1443">
        <f t="shared" si="42"/>
        <v>0</v>
      </c>
      <c r="X48" s="1474">
        <f>'[20]Feb midyear JS Clark Academy'!E48</f>
        <v>0</v>
      </c>
      <c r="Y48" s="1470">
        <f t="shared" si="43"/>
        <v>0</v>
      </c>
      <c r="Z48" s="1470">
        <f t="shared" si="44"/>
        <v>0</v>
      </c>
      <c r="AA48" s="1031">
        <f t="shared" si="45"/>
        <v>0</v>
      </c>
      <c r="AB48" s="1090">
        <f t="shared" si="46"/>
        <v>0</v>
      </c>
      <c r="AC48" s="1031">
        <f t="shared" si="47"/>
        <v>0</v>
      </c>
      <c r="AD48" s="1031">
        <v>0</v>
      </c>
      <c r="AE48" s="1031">
        <f t="shared" si="48"/>
        <v>0</v>
      </c>
      <c r="AF48" s="1031">
        <f t="shared" si="49"/>
        <v>0</v>
      </c>
      <c r="AG48" s="1448">
        <f t="shared" si="50"/>
        <v>0</v>
      </c>
      <c r="AH48" s="1448">
        <f t="shared" si="51"/>
        <v>0</v>
      </c>
      <c r="AI48" s="1032">
        <f t="shared" si="56"/>
        <v>0</v>
      </c>
      <c r="AJ48" s="1032">
        <f t="shared" si="57"/>
        <v>0</v>
      </c>
      <c r="AL48" s="49">
        <f t="shared" si="53"/>
        <v>0</v>
      </c>
      <c r="AM48" s="49">
        <f>-'[22]Table 5C1G-JS Clark Academy'!AL48</f>
        <v>0</v>
      </c>
      <c r="AN48" s="49">
        <f>-'[21]Table 5C1G-JS Clark Academy'!P48</f>
        <v>0</v>
      </c>
      <c r="AO48" s="49">
        <f t="shared" si="54"/>
        <v>0</v>
      </c>
      <c r="AP48" s="49"/>
    </row>
    <row r="49" spans="1:42">
      <c r="A49" s="975">
        <v>43</v>
      </c>
      <c r="B49" s="976" t="s">
        <v>144</v>
      </c>
      <c r="C49" s="1171">
        <v>0</v>
      </c>
      <c r="D49" s="984">
        <f>'Table 3 Levels 1&amp;2'!AL50</f>
        <v>5602.7225412254893</v>
      </c>
      <c r="E49" s="1074">
        <f t="shared" si="32"/>
        <v>0</v>
      </c>
      <c r="F49" s="1074">
        <f>'Table 4 Level 3'!P48</f>
        <v>574.6099999999999</v>
      </c>
      <c r="G49" s="1074">
        <f t="shared" si="33"/>
        <v>0</v>
      </c>
      <c r="H49" s="1037">
        <f t="shared" si="34"/>
        <v>0</v>
      </c>
      <c r="I49" s="1417">
        <f>'[1]Oct midyear JS Clark Academy'!K49</f>
        <v>0</v>
      </c>
      <c r="J49" s="1417">
        <f>'[1]Feb midyear JS Clark Academy'!K49</f>
        <v>0</v>
      </c>
      <c r="K49" s="1417">
        <f t="shared" si="35"/>
        <v>0</v>
      </c>
      <c r="L49" s="1436">
        <f t="shared" si="36"/>
        <v>0</v>
      </c>
      <c r="M49" s="1084">
        <f t="shared" si="37"/>
        <v>0</v>
      </c>
      <c r="N49" s="1037">
        <f t="shared" si="38"/>
        <v>0</v>
      </c>
      <c r="O49" s="1037">
        <v>0</v>
      </c>
      <c r="P49" s="1037">
        <f t="shared" si="39"/>
        <v>0</v>
      </c>
      <c r="Q49" s="1037">
        <v>0</v>
      </c>
      <c r="R49" s="1037">
        <f t="shared" si="40"/>
        <v>0</v>
      </c>
      <c r="S49" s="1037">
        <f t="shared" si="41"/>
        <v>0</v>
      </c>
      <c r="T49" s="1029">
        <f>'[14]FY2012-13 Final'!K50</f>
        <v>5270</v>
      </c>
      <c r="U49" s="1031">
        <f t="shared" si="55"/>
        <v>0</v>
      </c>
      <c r="V49" s="1464">
        <f>'[20]Oct midyear JS Clark Academy'!E49</f>
        <v>0</v>
      </c>
      <c r="W49" s="1443">
        <f t="shared" si="42"/>
        <v>0</v>
      </c>
      <c r="X49" s="1474">
        <f>'[20]Feb midyear JS Clark Academy'!E49</f>
        <v>0</v>
      </c>
      <c r="Y49" s="1470">
        <f t="shared" si="43"/>
        <v>0</v>
      </c>
      <c r="Z49" s="1470">
        <f t="shared" si="44"/>
        <v>0</v>
      </c>
      <c r="AA49" s="1031">
        <f t="shared" si="45"/>
        <v>0</v>
      </c>
      <c r="AB49" s="1090">
        <f t="shared" si="46"/>
        <v>0</v>
      </c>
      <c r="AC49" s="1031">
        <f t="shared" si="47"/>
        <v>0</v>
      </c>
      <c r="AD49" s="1031">
        <v>0</v>
      </c>
      <c r="AE49" s="1031">
        <f t="shared" si="48"/>
        <v>0</v>
      </c>
      <c r="AF49" s="1031">
        <f t="shared" si="49"/>
        <v>0</v>
      </c>
      <c r="AG49" s="1448">
        <f t="shared" si="50"/>
        <v>0</v>
      </c>
      <c r="AH49" s="1448">
        <f t="shared" si="51"/>
        <v>0</v>
      </c>
      <c r="AI49" s="1032">
        <f t="shared" si="56"/>
        <v>0</v>
      </c>
      <c r="AJ49" s="1032">
        <f t="shared" si="57"/>
        <v>0</v>
      </c>
      <c r="AL49" s="49">
        <f t="shared" si="53"/>
        <v>0</v>
      </c>
      <c r="AM49" s="49">
        <f>-'[22]Table 5C1G-JS Clark Academy'!AL49</f>
        <v>0</v>
      </c>
      <c r="AN49" s="49">
        <f>-'[21]Table 5C1G-JS Clark Academy'!P49</f>
        <v>0</v>
      </c>
      <c r="AO49" s="49">
        <f t="shared" si="54"/>
        <v>0</v>
      </c>
      <c r="AP49" s="49"/>
    </row>
    <row r="50" spans="1:42">
      <c r="A50" s="975">
        <v>44</v>
      </c>
      <c r="B50" s="976" t="s">
        <v>145</v>
      </c>
      <c r="C50" s="1171">
        <v>0</v>
      </c>
      <c r="D50" s="984">
        <f>'Table 3 Levels 1&amp;2'!AL51</f>
        <v>4123.0310925034155</v>
      </c>
      <c r="E50" s="1074">
        <f t="shared" si="32"/>
        <v>0</v>
      </c>
      <c r="F50" s="1074">
        <f>'Table 4 Level 3'!P49</f>
        <v>663.16000000000008</v>
      </c>
      <c r="G50" s="1074">
        <f t="shared" si="33"/>
        <v>0</v>
      </c>
      <c r="H50" s="1037">
        <f t="shared" si="34"/>
        <v>0</v>
      </c>
      <c r="I50" s="1417">
        <f>'[1]Oct midyear JS Clark Academy'!K50</f>
        <v>0</v>
      </c>
      <c r="J50" s="1417">
        <f>'[1]Feb midyear JS Clark Academy'!K50</f>
        <v>0</v>
      </c>
      <c r="K50" s="1417">
        <f t="shared" si="35"/>
        <v>0</v>
      </c>
      <c r="L50" s="1436">
        <f t="shared" si="36"/>
        <v>0</v>
      </c>
      <c r="M50" s="1084">
        <f t="shared" si="37"/>
        <v>0</v>
      </c>
      <c r="N50" s="1037">
        <f t="shared" si="38"/>
        <v>0</v>
      </c>
      <c r="O50" s="1037">
        <v>0</v>
      </c>
      <c r="P50" s="1037">
        <f t="shared" si="39"/>
        <v>0</v>
      </c>
      <c r="Q50" s="1037">
        <v>0</v>
      </c>
      <c r="R50" s="1037">
        <f t="shared" si="40"/>
        <v>0</v>
      </c>
      <c r="S50" s="1037">
        <f t="shared" si="41"/>
        <v>0</v>
      </c>
      <c r="T50" s="1029">
        <f>'[14]FY2012-13 Final'!K51</f>
        <v>4133</v>
      </c>
      <c r="U50" s="1031">
        <f t="shared" si="55"/>
        <v>0</v>
      </c>
      <c r="V50" s="1464">
        <f>'[20]Oct midyear JS Clark Academy'!E50</f>
        <v>0</v>
      </c>
      <c r="W50" s="1443">
        <f t="shared" si="42"/>
        <v>0</v>
      </c>
      <c r="X50" s="1474">
        <f>'[20]Feb midyear JS Clark Academy'!E50</f>
        <v>0</v>
      </c>
      <c r="Y50" s="1470">
        <f t="shared" si="43"/>
        <v>0</v>
      </c>
      <c r="Z50" s="1470">
        <f t="shared" si="44"/>
        <v>0</v>
      </c>
      <c r="AA50" s="1031">
        <f t="shared" si="45"/>
        <v>0</v>
      </c>
      <c r="AB50" s="1090">
        <f t="shared" si="46"/>
        <v>0</v>
      </c>
      <c r="AC50" s="1031">
        <f t="shared" si="47"/>
        <v>0</v>
      </c>
      <c r="AD50" s="1031">
        <v>0</v>
      </c>
      <c r="AE50" s="1031">
        <f t="shared" si="48"/>
        <v>0</v>
      </c>
      <c r="AF50" s="1031">
        <f t="shared" si="49"/>
        <v>0</v>
      </c>
      <c r="AG50" s="1448">
        <f t="shared" si="50"/>
        <v>0</v>
      </c>
      <c r="AH50" s="1448">
        <f t="shared" si="51"/>
        <v>0</v>
      </c>
      <c r="AI50" s="1032">
        <f t="shared" si="56"/>
        <v>0</v>
      </c>
      <c r="AJ50" s="1032">
        <f t="shared" si="57"/>
        <v>0</v>
      </c>
      <c r="AL50" s="49">
        <f t="shared" si="53"/>
        <v>0</v>
      </c>
      <c r="AM50" s="49">
        <f>-'[22]Table 5C1G-JS Clark Academy'!AL50</f>
        <v>0</v>
      </c>
      <c r="AN50" s="49">
        <f>-'[21]Table 5C1G-JS Clark Academy'!P50</f>
        <v>0</v>
      </c>
      <c r="AO50" s="49">
        <f t="shared" si="54"/>
        <v>0</v>
      </c>
      <c r="AP50" s="49"/>
    </row>
    <row r="51" spans="1:42">
      <c r="A51" s="979">
        <v>45</v>
      </c>
      <c r="B51" s="980" t="s">
        <v>146</v>
      </c>
      <c r="C51" s="1172">
        <v>0</v>
      </c>
      <c r="D51" s="986">
        <f>'Table 3 Levels 1&amp;2'!AL52</f>
        <v>2428.6757675555082</v>
      </c>
      <c r="E51" s="1075">
        <f t="shared" si="32"/>
        <v>0</v>
      </c>
      <c r="F51" s="1075">
        <f>'Table 4 Level 3'!P50</f>
        <v>753.96000000000015</v>
      </c>
      <c r="G51" s="1075">
        <f t="shared" si="33"/>
        <v>0</v>
      </c>
      <c r="H51" s="1038">
        <f t="shared" si="34"/>
        <v>0</v>
      </c>
      <c r="I51" s="1418">
        <f>'[1]Oct midyear JS Clark Academy'!K51</f>
        <v>0</v>
      </c>
      <c r="J51" s="1418">
        <f>'[1]Feb midyear JS Clark Academy'!K51</f>
        <v>0</v>
      </c>
      <c r="K51" s="1418">
        <f t="shared" si="35"/>
        <v>0</v>
      </c>
      <c r="L51" s="1437">
        <f t="shared" si="36"/>
        <v>0</v>
      </c>
      <c r="M51" s="1085">
        <f t="shared" si="37"/>
        <v>0</v>
      </c>
      <c r="N51" s="1038">
        <f t="shared" si="38"/>
        <v>0</v>
      </c>
      <c r="O51" s="1038">
        <v>0</v>
      </c>
      <c r="P51" s="1038">
        <f t="shared" si="39"/>
        <v>0</v>
      </c>
      <c r="Q51" s="1038">
        <v>0</v>
      </c>
      <c r="R51" s="1038">
        <f t="shared" si="40"/>
        <v>0</v>
      </c>
      <c r="S51" s="1038">
        <f t="shared" si="41"/>
        <v>0</v>
      </c>
      <c r="T51" s="1034">
        <f>'[14]FY2012-13 Final'!K52</f>
        <v>12446</v>
      </c>
      <c r="U51" s="1035">
        <f t="shared" si="55"/>
        <v>0</v>
      </c>
      <c r="V51" s="1465">
        <f>'[20]Oct midyear JS Clark Academy'!E51</f>
        <v>0</v>
      </c>
      <c r="W51" s="1445">
        <f t="shared" si="42"/>
        <v>0</v>
      </c>
      <c r="X51" s="1475">
        <f>'[20]Feb midyear JS Clark Academy'!E51</f>
        <v>0</v>
      </c>
      <c r="Y51" s="1471">
        <f t="shared" si="43"/>
        <v>0</v>
      </c>
      <c r="Z51" s="1471">
        <f t="shared" si="44"/>
        <v>0</v>
      </c>
      <c r="AA51" s="1035">
        <f t="shared" si="45"/>
        <v>0</v>
      </c>
      <c r="AB51" s="1091">
        <f t="shared" si="46"/>
        <v>0</v>
      </c>
      <c r="AC51" s="1035">
        <f t="shared" si="47"/>
        <v>0</v>
      </c>
      <c r="AD51" s="1035">
        <v>0</v>
      </c>
      <c r="AE51" s="1035">
        <f t="shared" si="48"/>
        <v>0</v>
      </c>
      <c r="AF51" s="1035">
        <f t="shared" si="49"/>
        <v>0</v>
      </c>
      <c r="AG51" s="1450">
        <f t="shared" si="50"/>
        <v>0</v>
      </c>
      <c r="AH51" s="1450">
        <f t="shared" si="51"/>
        <v>0</v>
      </c>
      <c r="AI51" s="1036">
        <f t="shared" si="56"/>
        <v>0</v>
      </c>
      <c r="AJ51" s="1036">
        <f t="shared" si="57"/>
        <v>0</v>
      </c>
      <c r="AL51" s="49">
        <f t="shared" si="53"/>
        <v>0</v>
      </c>
      <c r="AM51" s="49">
        <f>-'[22]Table 5C1G-JS Clark Academy'!AL51</f>
        <v>0</v>
      </c>
      <c r="AN51" s="49">
        <f>-'[21]Table 5C1G-JS Clark Academy'!P51</f>
        <v>0</v>
      </c>
      <c r="AO51" s="49">
        <f t="shared" si="54"/>
        <v>0</v>
      </c>
      <c r="AP51" s="49"/>
    </row>
    <row r="52" spans="1:42">
      <c r="A52" s="968">
        <v>46</v>
      </c>
      <c r="B52" s="969" t="s">
        <v>147</v>
      </c>
      <c r="C52" s="1173">
        <v>0</v>
      </c>
      <c r="D52" s="988">
        <f>'Table 3 Levels 1&amp;2'!AL53</f>
        <v>5783.612845780598</v>
      </c>
      <c r="E52" s="1076">
        <f t="shared" si="32"/>
        <v>0</v>
      </c>
      <c r="F52" s="1076">
        <f>'Table 4 Level 3'!P51</f>
        <v>728.06</v>
      </c>
      <c r="G52" s="1076">
        <f t="shared" si="33"/>
        <v>0</v>
      </c>
      <c r="H52" s="1039">
        <f t="shared" si="34"/>
        <v>0</v>
      </c>
      <c r="I52" s="1419">
        <f>'[1]Oct midyear JS Clark Academy'!K52</f>
        <v>0</v>
      </c>
      <c r="J52" s="1419">
        <f>'[1]Feb midyear JS Clark Academy'!K52</f>
        <v>0</v>
      </c>
      <c r="K52" s="1419">
        <f t="shared" si="35"/>
        <v>0</v>
      </c>
      <c r="L52" s="1211">
        <f t="shared" si="36"/>
        <v>0</v>
      </c>
      <c r="M52" s="1086">
        <f t="shared" si="37"/>
        <v>0</v>
      </c>
      <c r="N52" s="1039">
        <f t="shared" si="38"/>
        <v>0</v>
      </c>
      <c r="O52" s="1039">
        <v>0</v>
      </c>
      <c r="P52" s="1039">
        <f t="shared" si="39"/>
        <v>0</v>
      </c>
      <c r="Q52" s="1039">
        <v>0</v>
      </c>
      <c r="R52" s="1039">
        <f t="shared" si="40"/>
        <v>0</v>
      </c>
      <c r="S52" s="1039">
        <f t="shared" si="41"/>
        <v>0</v>
      </c>
      <c r="T52" s="1029">
        <f>'[14]FY2012-13 Final'!K53</f>
        <v>1976</v>
      </c>
      <c r="U52" s="973">
        <f t="shared" si="55"/>
        <v>0</v>
      </c>
      <c r="V52" s="1466">
        <f>'[20]Oct midyear JS Clark Academy'!E52</f>
        <v>0</v>
      </c>
      <c r="W52" s="1444">
        <f t="shared" si="42"/>
        <v>0</v>
      </c>
      <c r="X52" s="1466">
        <f>'[20]Feb midyear JS Clark Academy'!E52</f>
        <v>0</v>
      </c>
      <c r="Y52" s="1444">
        <f t="shared" si="43"/>
        <v>0</v>
      </c>
      <c r="Z52" s="1444">
        <f t="shared" si="44"/>
        <v>0</v>
      </c>
      <c r="AA52" s="973">
        <f t="shared" si="45"/>
        <v>0</v>
      </c>
      <c r="AB52" s="1089">
        <f t="shared" si="46"/>
        <v>0</v>
      </c>
      <c r="AC52" s="973">
        <f t="shared" si="47"/>
        <v>0</v>
      </c>
      <c r="AD52" s="973">
        <v>0</v>
      </c>
      <c r="AE52" s="973">
        <f t="shared" si="48"/>
        <v>0</v>
      </c>
      <c r="AF52" s="973">
        <f t="shared" si="49"/>
        <v>0</v>
      </c>
      <c r="AG52" s="1214">
        <f t="shared" si="50"/>
        <v>0</v>
      </c>
      <c r="AH52" s="1214">
        <f t="shared" si="51"/>
        <v>0</v>
      </c>
      <c r="AI52" s="974">
        <f t="shared" si="56"/>
        <v>0</v>
      </c>
      <c r="AJ52" s="974">
        <f t="shared" si="57"/>
        <v>0</v>
      </c>
      <c r="AL52" s="49">
        <f t="shared" si="53"/>
        <v>0</v>
      </c>
      <c r="AM52" s="49">
        <f>-'[22]Table 5C1G-JS Clark Academy'!AL52</f>
        <v>0</v>
      </c>
      <c r="AN52" s="49">
        <f>-'[21]Table 5C1G-JS Clark Academy'!P52</f>
        <v>0</v>
      </c>
      <c r="AO52" s="49">
        <f t="shared" si="54"/>
        <v>0</v>
      </c>
      <c r="AP52" s="49"/>
    </row>
    <row r="53" spans="1:42">
      <c r="A53" s="975">
        <v>47</v>
      </c>
      <c r="B53" s="976" t="s">
        <v>148</v>
      </c>
      <c r="C53" s="1171">
        <v>0</v>
      </c>
      <c r="D53" s="984">
        <f>'Table 3 Levels 1&amp;2'!AL54</f>
        <v>3209.8138023141523</v>
      </c>
      <c r="E53" s="1074">
        <f t="shared" si="32"/>
        <v>0</v>
      </c>
      <c r="F53" s="1074">
        <f>'Table 4 Level 3'!P52</f>
        <v>910.76</v>
      </c>
      <c r="G53" s="1074">
        <f t="shared" si="33"/>
        <v>0</v>
      </c>
      <c r="H53" s="1037">
        <f t="shared" si="34"/>
        <v>0</v>
      </c>
      <c r="I53" s="1417">
        <f>'[1]Oct midyear JS Clark Academy'!K53</f>
        <v>0</v>
      </c>
      <c r="J53" s="1417">
        <f>'[1]Feb midyear JS Clark Academy'!K53</f>
        <v>0</v>
      </c>
      <c r="K53" s="1417">
        <f t="shared" si="35"/>
        <v>0</v>
      </c>
      <c r="L53" s="1436">
        <f t="shared" si="36"/>
        <v>0</v>
      </c>
      <c r="M53" s="1084">
        <f t="shared" si="37"/>
        <v>0</v>
      </c>
      <c r="N53" s="1037">
        <f t="shared" si="38"/>
        <v>0</v>
      </c>
      <c r="O53" s="1037">
        <v>0</v>
      </c>
      <c r="P53" s="1037">
        <f t="shared" si="39"/>
        <v>0</v>
      </c>
      <c r="Q53" s="1037">
        <v>0</v>
      </c>
      <c r="R53" s="1037">
        <f t="shared" si="40"/>
        <v>0</v>
      </c>
      <c r="S53" s="1037">
        <f t="shared" si="41"/>
        <v>0</v>
      </c>
      <c r="T53" s="1029">
        <f>'[14]FY2012-13 Final'!K54</f>
        <v>10067</v>
      </c>
      <c r="U53" s="1031">
        <f t="shared" si="55"/>
        <v>0</v>
      </c>
      <c r="V53" s="1464">
        <f>'[20]Oct midyear JS Clark Academy'!E53</f>
        <v>0</v>
      </c>
      <c r="W53" s="1443">
        <f t="shared" si="42"/>
        <v>0</v>
      </c>
      <c r="X53" s="1474">
        <f>'[20]Feb midyear JS Clark Academy'!E53</f>
        <v>0</v>
      </c>
      <c r="Y53" s="1470">
        <f t="shared" si="43"/>
        <v>0</v>
      </c>
      <c r="Z53" s="1470">
        <f t="shared" si="44"/>
        <v>0</v>
      </c>
      <c r="AA53" s="1031">
        <f t="shared" si="45"/>
        <v>0</v>
      </c>
      <c r="AB53" s="1090">
        <f t="shared" si="46"/>
        <v>0</v>
      </c>
      <c r="AC53" s="1031">
        <f t="shared" si="47"/>
        <v>0</v>
      </c>
      <c r="AD53" s="1031">
        <v>0</v>
      </c>
      <c r="AE53" s="1031">
        <f t="shared" si="48"/>
        <v>0</v>
      </c>
      <c r="AF53" s="1031">
        <f t="shared" si="49"/>
        <v>0</v>
      </c>
      <c r="AG53" s="1448">
        <f t="shared" si="50"/>
        <v>0</v>
      </c>
      <c r="AH53" s="1448">
        <f t="shared" si="51"/>
        <v>0</v>
      </c>
      <c r="AI53" s="1032">
        <f t="shared" si="56"/>
        <v>0</v>
      </c>
      <c r="AJ53" s="1032">
        <f t="shared" si="57"/>
        <v>0</v>
      </c>
      <c r="AL53" s="49">
        <f t="shared" si="53"/>
        <v>0</v>
      </c>
      <c r="AM53" s="49">
        <f>-'[22]Table 5C1G-JS Clark Academy'!AL53</f>
        <v>0</v>
      </c>
      <c r="AN53" s="49">
        <f>-'[21]Table 5C1G-JS Clark Academy'!P53</f>
        <v>0</v>
      </c>
      <c r="AO53" s="49">
        <f t="shared" si="54"/>
        <v>0</v>
      </c>
      <c r="AP53" s="49"/>
    </row>
    <row r="54" spans="1:42">
      <c r="A54" s="975">
        <v>48</v>
      </c>
      <c r="B54" s="976" t="s">
        <v>217</v>
      </c>
      <c r="C54" s="1171">
        <v>0</v>
      </c>
      <c r="D54" s="984">
        <f>'Table 3 Levels 1&amp;2'!AL55</f>
        <v>4278.1956772731837</v>
      </c>
      <c r="E54" s="1074">
        <f t="shared" si="32"/>
        <v>0</v>
      </c>
      <c r="F54" s="1074">
        <f>'Table 4 Level 3'!P53</f>
        <v>871.07</v>
      </c>
      <c r="G54" s="1074">
        <f t="shared" si="33"/>
        <v>0</v>
      </c>
      <c r="H54" s="1037">
        <f t="shared" si="34"/>
        <v>0</v>
      </c>
      <c r="I54" s="1417">
        <f>'[1]Oct midyear JS Clark Academy'!K54</f>
        <v>0</v>
      </c>
      <c r="J54" s="1417">
        <f>'[1]Feb midyear JS Clark Academy'!K54</f>
        <v>0</v>
      </c>
      <c r="K54" s="1417">
        <f t="shared" si="35"/>
        <v>0</v>
      </c>
      <c r="L54" s="1436">
        <f t="shared" si="36"/>
        <v>0</v>
      </c>
      <c r="M54" s="1084">
        <f t="shared" si="37"/>
        <v>0</v>
      </c>
      <c r="N54" s="1037">
        <f t="shared" si="38"/>
        <v>0</v>
      </c>
      <c r="O54" s="1037">
        <v>0</v>
      </c>
      <c r="P54" s="1037">
        <f t="shared" si="39"/>
        <v>0</v>
      </c>
      <c r="Q54" s="1037">
        <v>0</v>
      </c>
      <c r="R54" s="1037">
        <f t="shared" si="40"/>
        <v>0</v>
      </c>
      <c r="S54" s="1037">
        <f t="shared" si="41"/>
        <v>0</v>
      </c>
      <c r="T54" s="1029">
        <f>'[14]FY2012-13 Final'!K55</f>
        <v>5849</v>
      </c>
      <c r="U54" s="1031">
        <f t="shared" si="55"/>
        <v>0</v>
      </c>
      <c r="V54" s="1464">
        <f>'[20]Oct midyear JS Clark Academy'!E54</f>
        <v>0</v>
      </c>
      <c r="W54" s="1443">
        <f t="shared" si="42"/>
        <v>0</v>
      </c>
      <c r="X54" s="1474">
        <f>'[20]Feb midyear JS Clark Academy'!E54</f>
        <v>0</v>
      </c>
      <c r="Y54" s="1470">
        <f t="shared" si="43"/>
        <v>0</v>
      </c>
      <c r="Z54" s="1470">
        <f t="shared" si="44"/>
        <v>0</v>
      </c>
      <c r="AA54" s="1031">
        <f t="shared" si="45"/>
        <v>0</v>
      </c>
      <c r="AB54" s="1090">
        <f t="shared" si="46"/>
        <v>0</v>
      </c>
      <c r="AC54" s="1031">
        <f t="shared" si="47"/>
        <v>0</v>
      </c>
      <c r="AD54" s="1031">
        <v>0</v>
      </c>
      <c r="AE54" s="1031">
        <f t="shared" si="48"/>
        <v>0</v>
      </c>
      <c r="AF54" s="1031">
        <f t="shared" si="49"/>
        <v>0</v>
      </c>
      <c r="AG54" s="1448">
        <f t="shared" si="50"/>
        <v>0</v>
      </c>
      <c r="AH54" s="1448">
        <f t="shared" si="51"/>
        <v>0</v>
      </c>
      <c r="AI54" s="1032">
        <f t="shared" si="56"/>
        <v>0</v>
      </c>
      <c r="AJ54" s="1032">
        <f t="shared" si="57"/>
        <v>0</v>
      </c>
      <c r="AL54" s="49">
        <f t="shared" si="53"/>
        <v>0</v>
      </c>
      <c r="AM54" s="49">
        <f>-'[22]Table 5C1G-JS Clark Academy'!AL54</f>
        <v>0</v>
      </c>
      <c r="AN54" s="49">
        <f>-'[21]Table 5C1G-JS Clark Academy'!P54</f>
        <v>0</v>
      </c>
      <c r="AO54" s="49">
        <f t="shared" si="54"/>
        <v>0</v>
      </c>
      <c r="AP54" s="49"/>
    </row>
    <row r="55" spans="1:42">
      <c r="A55" s="975">
        <v>49</v>
      </c>
      <c r="B55" s="976" t="s">
        <v>149</v>
      </c>
      <c r="C55" s="1171">
        <v>180</v>
      </c>
      <c r="D55" s="984">
        <f>'Table 3 Levels 1&amp;2'!AL56</f>
        <v>4819.172186397177</v>
      </c>
      <c r="E55" s="1074">
        <f t="shared" si="32"/>
        <v>867450.99355149188</v>
      </c>
      <c r="F55" s="1074">
        <f>'Table 4 Level 3'!P54</f>
        <v>574.43999999999994</v>
      </c>
      <c r="G55" s="1074">
        <f t="shared" si="33"/>
        <v>103399.19999999998</v>
      </c>
      <c r="H55" s="1037">
        <f t="shared" si="34"/>
        <v>970850.19355149183</v>
      </c>
      <c r="I55" s="1417">
        <f>'[1]Oct midyear JS Clark Academy'!K55</f>
        <v>-10787.224372794353</v>
      </c>
      <c r="J55" s="1417">
        <f>'[1]Feb midyear JS Clark Academy'!K55</f>
        <v>-29664.867025184471</v>
      </c>
      <c r="K55" s="1417">
        <f t="shared" si="35"/>
        <v>-40452.091397978824</v>
      </c>
      <c r="L55" s="1436">
        <f t="shared" si="36"/>
        <v>930398.102153513</v>
      </c>
      <c r="M55" s="1084">
        <f t="shared" si="37"/>
        <v>-2325.9952553837825</v>
      </c>
      <c r="N55" s="1037">
        <f t="shared" si="38"/>
        <v>928072.10689812922</v>
      </c>
      <c r="O55" s="1037">
        <v>0</v>
      </c>
      <c r="P55" s="1037">
        <f t="shared" si="39"/>
        <v>928072.10689812922</v>
      </c>
      <c r="Q55" s="1037">
        <f>80418*8+70367+70367</f>
        <v>784078</v>
      </c>
      <c r="R55" s="1037">
        <f t="shared" si="40"/>
        <v>143994.10689812922</v>
      </c>
      <c r="S55" s="1037">
        <f t="shared" si="41"/>
        <v>71997.05344906461</v>
      </c>
      <c r="T55" s="1029">
        <f>'[14]FY2012-13 Final'!K56</f>
        <v>2345</v>
      </c>
      <c r="U55" s="1031">
        <f t="shared" si="55"/>
        <v>422100</v>
      </c>
      <c r="V55" s="1464">
        <f>'[20]Oct midyear JS Clark Academy'!E55</f>
        <v>-2</v>
      </c>
      <c r="W55" s="1443">
        <f t="shared" si="42"/>
        <v>-4690</v>
      </c>
      <c r="X55" s="1474">
        <f>'[20]Feb midyear JS Clark Academy'!E55</f>
        <v>-11</v>
      </c>
      <c r="Y55" s="1470">
        <f t="shared" si="43"/>
        <v>-12897.5</v>
      </c>
      <c r="Z55" s="1470">
        <f t="shared" si="44"/>
        <v>-17587.5</v>
      </c>
      <c r="AA55" s="1031">
        <f t="shared" si="45"/>
        <v>404512.5</v>
      </c>
      <c r="AB55" s="1090">
        <f t="shared" si="46"/>
        <v>-1011.28125</v>
      </c>
      <c r="AC55" s="1031">
        <f t="shared" si="47"/>
        <v>403501.21875</v>
      </c>
      <c r="AD55" s="1031">
        <v>0</v>
      </c>
      <c r="AE55" s="1031">
        <f t="shared" si="48"/>
        <v>403501.21875</v>
      </c>
      <c r="AF55" s="1031">
        <f>34803*8+30839+30839</f>
        <v>340102</v>
      </c>
      <c r="AG55" s="1448">
        <f t="shared" si="50"/>
        <v>63399.21875</v>
      </c>
      <c r="AH55" s="1448">
        <f t="shared" si="51"/>
        <v>31699.609375</v>
      </c>
      <c r="AI55" s="1032">
        <f t="shared" si="56"/>
        <v>1331573.3256481292</v>
      </c>
      <c r="AJ55" s="1032">
        <f t="shared" si="57"/>
        <v>103696.66282406461</v>
      </c>
      <c r="AL55" s="49">
        <f t="shared" si="53"/>
        <v>-1011.28125</v>
      </c>
      <c r="AM55" s="49">
        <f>-'[22]Table 5C1G-JS Clark Academy'!AL55</f>
        <v>1006.96875</v>
      </c>
      <c r="AN55" s="49">
        <f>-'[21]Table 5C1G-JS Clark Academy'!P55</f>
        <v>1046.7</v>
      </c>
      <c r="AO55" s="49">
        <f t="shared" si="54"/>
        <v>-4.3125</v>
      </c>
      <c r="AP55" s="49"/>
    </row>
    <row r="56" spans="1:42">
      <c r="A56" s="979">
        <v>50</v>
      </c>
      <c r="B56" s="980" t="s">
        <v>150</v>
      </c>
      <c r="C56" s="1172">
        <v>0</v>
      </c>
      <c r="D56" s="986">
        <f>'Table 3 Levels 1&amp;2'!AL57</f>
        <v>5078.3381494368732</v>
      </c>
      <c r="E56" s="1075">
        <f t="shared" si="32"/>
        <v>0</v>
      </c>
      <c r="F56" s="1075">
        <f>'Table 4 Level 3'!P55</f>
        <v>634.46</v>
      </c>
      <c r="G56" s="1075">
        <f t="shared" si="33"/>
        <v>0</v>
      </c>
      <c r="H56" s="1038">
        <f t="shared" si="34"/>
        <v>0</v>
      </c>
      <c r="I56" s="1418">
        <f>'[1]Oct midyear JS Clark Academy'!K56</f>
        <v>0</v>
      </c>
      <c r="J56" s="1418">
        <f>'[1]Feb midyear JS Clark Academy'!K56</f>
        <v>0</v>
      </c>
      <c r="K56" s="1418">
        <f t="shared" si="35"/>
        <v>0</v>
      </c>
      <c r="L56" s="1437">
        <f t="shared" si="36"/>
        <v>0</v>
      </c>
      <c r="M56" s="1085">
        <f t="shared" si="37"/>
        <v>0</v>
      </c>
      <c r="N56" s="1038">
        <f t="shared" si="38"/>
        <v>0</v>
      </c>
      <c r="O56" s="1038">
        <v>0</v>
      </c>
      <c r="P56" s="1038">
        <f t="shared" si="39"/>
        <v>0</v>
      </c>
      <c r="Q56" s="1038">
        <v>0</v>
      </c>
      <c r="R56" s="1038">
        <f t="shared" si="40"/>
        <v>0</v>
      </c>
      <c r="S56" s="1038">
        <f t="shared" si="41"/>
        <v>0</v>
      </c>
      <c r="T56" s="1034">
        <f>'[14]FY2012-13 Final'!K57</f>
        <v>2810</v>
      </c>
      <c r="U56" s="1035">
        <f t="shared" si="55"/>
        <v>0</v>
      </c>
      <c r="V56" s="1465">
        <f>'[20]Oct midyear JS Clark Academy'!E56</f>
        <v>0</v>
      </c>
      <c r="W56" s="1445">
        <f t="shared" si="42"/>
        <v>0</v>
      </c>
      <c r="X56" s="1475">
        <f>'[20]Feb midyear JS Clark Academy'!E56</f>
        <v>0</v>
      </c>
      <c r="Y56" s="1471">
        <f t="shared" si="43"/>
        <v>0</v>
      </c>
      <c r="Z56" s="1471">
        <f t="shared" si="44"/>
        <v>0</v>
      </c>
      <c r="AA56" s="1035">
        <f t="shared" si="45"/>
        <v>0</v>
      </c>
      <c r="AB56" s="1091">
        <f t="shared" si="46"/>
        <v>0</v>
      </c>
      <c r="AC56" s="1035">
        <f t="shared" si="47"/>
        <v>0</v>
      </c>
      <c r="AD56" s="1035">
        <v>0</v>
      </c>
      <c r="AE56" s="1035">
        <f t="shared" si="48"/>
        <v>0</v>
      </c>
      <c r="AF56" s="1035">
        <f t="shared" si="49"/>
        <v>0</v>
      </c>
      <c r="AG56" s="1450">
        <f t="shared" si="50"/>
        <v>0</v>
      </c>
      <c r="AH56" s="1450">
        <f t="shared" si="51"/>
        <v>0</v>
      </c>
      <c r="AI56" s="1036">
        <f t="shared" si="56"/>
        <v>0</v>
      </c>
      <c r="AJ56" s="1036">
        <f t="shared" si="57"/>
        <v>0</v>
      </c>
      <c r="AL56" s="49">
        <f t="shared" si="53"/>
        <v>0</v>
      </c>
      <c r="AM56" s="49">
        <f>-'[22]Table 5C1G-JS Clark Academy'!AL56</f>
        <v>0</v>
      </c>
      <c r="AN56" s="49">
        <f>-'[21]Table 5C1G-JS Clark Academy'!P56</f>
        <v>0</v>
      </c>
      <c r="AO56" s="49">
        <f t="shared" si="54"/>
        <v>0</v>
      </c>
      <c r="AP56" s="49"/>
    </row>
    <row r="57" spans="1:42">
      <c r="A57" s="968">
        <v>51</v>
      </c>
      <c r="B57" s="969" t="s">
        <v>151</v>
      </c>
      <c r="C57" s="1173">
        <v>0</v>
      </c>
      <c r="D57" s="988">
        <f>'Table 3 Levels 1&amp;2'!AL58</f>
        <v>4327.8748353683095</v>
      </c>
      <c r="E57" s="1076">
        <f t="shared" si="32"/>
        <v>0</v>
      </c>
      <c r="F57" s="1076">
        <f>'Table 4 Level 3'!P56</f>
        <v>706.66</v>
      </c>
      <c r="G57" s="1076">
        <f t="shared" si="33"/>
        <v>0</v>
      </c>
      <c r="H57" s="1039">
        <f t="shared" si="34"/>
        <v>0</v>
      </c>
      <c r="I57" s="1419">
        <f>'[1]Oct midyear JS Clark Academy'!K57</f>
        <v>0</v>
      </c>
      <c r="J57" s="1419">
        <f>'[1]Feb midyear JS Clark Academy'!K57</f>
        <v>0</v>
      </c>
      <c r="K57" s="1419">
        <f t="shared" si="35"/>
        <v>0</v>
      </c>
      <c r="L57" s="1211">
        <f t="shared" si="36"/>
        <v>0</v>
      </c>
      <c r="M57" s="1086">
        <f t="shared" si="37"/>
        <v>0</v>
      </c>
      <c r="N57" s="1039">
        <f t="shared" si="38"/>
        <v>0</v>
      </c>
      <c r="O57" s="1039">
        <v>0</v>
      </c>
      <c r="P57" s="1039">
        <f t="shared" si="39"/>
        <v>0</v>
      </c>
      <c r="Q57" s="1039">
        <v>0</v>
      </c>
      <c r="R57" s="1039">
        <f t="shared" si="40"/>
        <v>0</v>
      </c>
      <c r="S57" s="1039">
        <f t="shared" si="41"/>
        <v>0</v>
      </c>
      <c r="T57" s="1029">
        <f>'[14]FY2012-13 Final'!K58</f>
        <v>4191</v>
      </c>
      <c r="U57" s="973">
        <f t="shared" si="55"/>
        <v>0</v>
      </c>
      <c r="V57" s="1466">
        <f>'[20]Oct midyear JS Clark Academy'!E57</f>
        <v>0</v>
      </c>
      <c r="W57" s="1444">
        <f t="shared" si="42"/>
        <v>0</v>
      </c>
      <c r="X57" s="1466">
        <f>'[20]Feb midyear JS Clark Academy'!E57</f>
        <v>0</v>
      </c>
      <c r="Y57" s="1444">
        <f t="shared" si="43"/>
        <v>0</v>
      </c>
      <c r="Z57" s="1444">
        <f t="shared" si="44"/>
        <v>0</v>
      </c>
      <c r="AA57" s="973">
        <f t="shared" si="45"/>
        <v>0</v>
      </c>
      <c r="AB57" s="1089">
        <f t="shared" si="46"/>
        <v>0</v>
      </c>
      <c r="AC57" s="973">
        <f t="shared" si="47"/>
        <v>0</v>
      </c>
      <c r="AD57" s="973">
        <v>0</v>
      </c>
      <c r="AE57" s="973">
        <f t="shared" si="48"/>
        <v>0</v>
      </c>
      <c r="AF57" s="973">
        <f t="shared" si="49"/>
        <v>0</v>
      </c>
      <c r="AG57" s="1214">
        <f t="shared" si="50"/>
        <v>0</v>
      </c>
      <c r="AH57" s="1214">
        <f t="shared" si="51"/>
        <v>0</v>
      </c>
      <c r="AI57" s="974">
        <f t="shared" si="56"/>
        <v>0</v>
      </c>
      <c r="AJ57" s="974">
        <f t="shared" si="57"/>
        <v>0</v>
      </c>
      <c r="AL57" s="49">
        <f t="shared" si="53"/>
        <v>0</v>
      </c>
      <c r="AM57" s="49">
        <f>-'[22]Table 5C1G-JS Clark Academy'!AL57</f>
        <v>0</v>
      </c>
      <c r="AN57" s="49">
        <f>-'[21]Table 5C1G-JS Clark Academy'!P57</f>
        <v>0</v>
      </c>
      <c r="AO57" s="49">
        <f t="shared" si="54"/>
        <v>0</v>
      </c>
      <c r="AP57" s="49"/>
    </row>
    <row r="58" spans="1:42">
      <c r="A58" s="975">
        <v>52</v>
      </c>
      <c r="B58" s="976" t="s">
        <v>152</v>
      </c>
      <c r="C58" s="1171">
        <v>0</v>
      </c>
      <c r="D58" s="984">
        <f>'Table 3 Levels 1&amp;2'!AL59</f>
        <v>4936.6461759855838</v>
      </c>
      <c r="E58" s="1074">
        <f t="shared" si="32"/>
        <v>0</v>
      </c>
      <c r="F58" s="1074">
        <f>'Table 4 Level 3'!P57</f>
        <v>658.37</v>
      </c>
      <c r="G58" s="1074">
        <f t="shared" si="33"/>
        <v>0</v>
      </c>
      <c r="H58" s="1037">
        <f t="shared" si="34"/>
        <v>0</v>
      </c>
      <c r="I58" s="1417">
        <f>'[1]Oct midyear JS Clark Academy'!K58</f>
        <v>0</v>
      </c>
      <c r="J58" s="1417">
        <f>'[1]Feb midyear JS Clark Academy'!K58</f>
        <v>0</v>
      </c>
      <c r="K58" s="1417">
        <f t="shared" si="35"/>
        <v>0</v>
      </c>
      <c r="L58" s="1436">
        <f t="shared" si="36"/>
        <v>0</v>
      </c>
      <c r="M58" s="1084">
        <f t="shared" si="37"/>
        <v>0</v>
      </c>
      <c r="N58" s="1037">
        <f t="shared" si="38"/>
        <v>0</v>
      </c>
      <c r="O58" s="1037">
        <v>0</v>
      </c>
      <c r="P58" s="1037">
        <f t="shared" si="39"/>
        <v>0</v>
      </c>
      <c r="Q58" s="1037">
        <v>0</v>
      </c>
      <c r="R58" s="1037">
        <f t="shared" si="40"/>
        <v>0</v>
      </c>
      <c r="S58" s="1037">
        <f t="shared" si="41"/>
        <v>0</v>
      </c>
      <c r="T58" s="1029">
        <f>'[14]FY2012-13 Final'!K59</f>
        <v>4895</v>
      </c>
      <c r="U58" s="1031">
        <f t="shared" si="55"/>
        <v>0</v>
      </c>
      <c r="V58" s="1464">
        <f>'[20]Oct midyear JS Clark Academy'!E58</f>
        <v>0</v>
      </c>
      <c r="W58" s="1443">
        <f t="shared" si="42"/>
        <v>0</v>
      </c>
      <c r="X58" s="1474">
        <f>'[20]Feb midyear JS Clark Academy'!E58</f>
        <v>0</v>
      </c>
      <c r="Y58" s="1470">
        <f t="shared" si="43"/>
        <v>0</v>
      </c>
      <c r="Z58" s="1470">
        <f t="shared" si="44"/>
        <v>0</v>
      </c>
      <c r="AA58" s="1031">
        <f t="shared" si="45"/>
        <v>0</v>
      </c>
      <c r="AB58" s="1090">
        <f t="shared" si="46"/>
        <v>0</v>
      </c>
      <c r="AC58" s="1031">
        <f t="shared" si="47"/>
        <v>0</v>
      </c>
      <c r="AD58" s="1031">
        <v>0</v>
      </c>
      <c r="AE58" s="1031">
        <f t="shared" si="48"/>
        <v>0</v>
      </c>
      <c r="AF58" s="1031">
        <f t="shared" si="49"/>
        <v>0</v>
      </c>
      <c r="AG58" s="1448">
        <f t="shared" si="50"/>
        <v>0</v>
      </c>
      <c r="AH58" s="1448">
        <f t="shared" si="51"/>
        <v>0</v>
      </c>
      <c r="AI58" s="1032">
        <f t="shared" si="56"/>
        <v>0</v>
      </c>
      <c r="AJ58" s="1032">
        <f t="shared" si="57"/>
        <v>0</v>
      </c>
      <c r="AL58" s="49">
        <f t="shared" si="53"/>
        <v>0</v>
      </c>
      <c r="AM58" s="49">
        <f>-'[22]Table 5C1G-JS Clark Academy'!AL58</f>
        <v>0</v>
      </c>
      <c r="AN58" s="49">
        <f>-'[21]Table 5C1G-JS Clark Academy'!P58</f>
        <v>0</v>
      </c>
      <c r="AO58" s="49">
        <f t="shared" si="54"/>
        <v>0</v>
      </c>
      <c r="AP58" s="49"/>
    </row>
    <row r="59" spans="1:42">
      <c r="A59" s="975">
        <v>53</v>
      </c>
      <c r="B59" s="976" t="s">
        <v>153</v>
      </c>
      <c r="C59" s="1171">
        <v>0</v>
      </c>
      <c r="D59" s="984">
        <f>'Table 3 Levels 1&amp;2'!AL60</f>
        <v>4800.3207499962118</v>
      </c>
      <c r="E59" s="1074">
        <f t="shared" si="32"/>
        <v>0</v>
      </c>
      <c r="F59" s="1074">
        <f>'Table 4 Level 3'!P58</f>
        <v>689.74</v>
      </c>
      <c r="G59" s="1074">
        <f t="shared" si="33"/>
        <v>0</v>
      </c>
      <c r="H59" s="1037">
        <f t="shared" si="34"/>
        <v>0</v>
      </c>
      <c r="I59" s="1417">
        <f>'[1]Oct midyear JS Clark Academy'!K59</f>
        <v>0</v>
      </c>
      <c r="J59" s="1417">
        <f>'[1]Feb midyear JS Clark Academy'!K59</f>
        <v>0</v>
      </c>
      <c r="K59" s="1417">
        <f t="shared" si="35"/>
        <v>0</v>
      </c>
      <c r="L59" s="1436">
        <f t="shared" si="36"/>
        <v>0</v>
      </c>
      <c r="M59" s="1084">
        <f t="shared" si="37"/>
        <v>0</v>
      </c>
      <c r="N59" s="1037">
        <f t="shared" si="38"/>
        <v>0</v>
      </c>
      <c r="O59" s="1037">
        <v>0</v>
      </c>
      <c r="P59" s="1037">
        <f t="shared" si="39"/>
        <v>0</v>
      </c>
      <c r="Q59" s="1037">
        <v>0</v>
      </c>
      <c r="R59" s="1037">
        <f t="shared" si="40"/>
        <v>0</v>
      </c>
      <c r="S59" s="1037">
        <f t="shared" si="41"/>
        <v>0</v>
      </c>
      <c r="T59" s="1029">
        <f>'[14]FY2012-13 Final'!K60</f>
        <v>1935</v>
      </c>
      <c r="U59" s="1031">
        <f t="shared" si="55"/>
        <v>0</v>
      </c>
      <c r="V59" s="1464">
        <f>'[20]Oct midyear JS Clark Academy'!E59</f>
        <v>0</v>
      </c>
      <c r="W59" s="1443">
        <f t="shared" si="42"/>
        <v>0</v>
      </c>
      <c r="X59" s="1474">
        <f>'[20]Feb midyear JS Clark Academy'!E59</f>
        <v>0</v>
      </c>
      <c r="Y59" s="1470">
        <f t="shared" si="43"/>
        <v>0</v>
      </c>
      <c r="Z59" s="1470">
        <f t="shared" si="44"/>
        <v>0</v>
      </c>
      <c r="AA59" s="1031">
        <f t="shared" si="45"/>
        <v>0</v>
      </c>
      <c r="AB59" s="1090">
        <f t="shared" si="46"/>
        <v>0</v>
      </c>
      <c r="AC59" s="1031">
        <f t="shared" si="47"/>
        <v>0</v>
      </c>
      <c r="AD59" s="1031">
        <v>0</v>
      </c>
      <c r="AE59" s="1031">
        <f t="shared" si="48"/>
        <v>0</v>
      </c>
      <c r="AF59" s="1031">
        <f t="shared" si="49"/>
        <v>0</v>
      </c>
      <c r="AG59" s="1448">
        <f t="shared" si="50"/>
        <v>0</v>
      </c>
      <c r="AH59" s="1448">
        <f t="shared" si="51"/>
        <v>0</v>
      </c>
      <c r="AI59" s="1032">
        <f t="shared" si="56"/>
        <v>0</v>
      </c>
      <c r="AJ59" s="1032">
        <f t="shared" si="57"/>
        <v>0</v>
      </c>
      <c r="AL59" s="49">
        <f t="shared" si="53"/>
        <v>0</v>
      </c>
      <c r="AM59" s="49">
        <f>-'[22]Table 5C1G-JS Clark Academy'!AL59</f>
        <v>0</v>
      </c>
      <c r="AN59" s="49">
        <f>-'[21]Table 5C1G-JS Clark Academy'!P59</f>
        <v>0</v>
      </c>
      <c r="AO59" s="49">
        <f t="shared" si="54"/>
        <v>0</v>
      </c>
      <c r="AP59" s="49"/>
    </row>
    <row r="60" spans="1:42">
      <c r="A60" s="975">
        <v>54</v>
      </c>
      <c r="B60" s="976" t="s">
        <v>154</v>
      </c>
      <c r="C60" s="1171">
        <v>0</v>
      </c>
      <c r="D60" s="984">
        <f>'Table 3 Levels 1&amp;2'!AL61</f>
        <v>6010.7753360515026</v>
      </c>
      <c r="E60" s="1074">
        <f t="shared" si="32"/>
        <v>0</v>
      </c>
      <c r="F60" s="1074">
        <f>'Table 4 Level 3'!P59</f>
        <v>951.45</v>
      </c>
      <c r="G60" s="1074">
        <f t="shared" si="33"/>
        <v>0</v>
      </c>
      <c r="H60" s="1037">
        <f t="shared" si="34"/>
        <v>0</v>
      </c>
      <c r="I60" s="1417">
        <f>'[1]Oct midyear JS Clark Academy'!K60</f>
        <v>0</v>
      </c>
      <c r="J60" s="1417">
        <f>'[1]Feb midyear JS Clark Academy'!K60</f>
        <v>0</v>
      </c>
      <c r="K60" s="1417">
        <f t="shared" si="35"/>
        <v>0</v>
      </c>
      <c r="L60" s="1436">
        <f t="shared" si="36"/>
        <v>0</v>
      </c>
      <c r="M60" s="1084">
        <f t="shared" si="37"/>
        <v>0</v>
      </c>
      <c r="N60" s="1037">
        <f t="shared" si="38"/>
        <v>0</v>
      </c>
      <c r="O60" s="1037">
        <v>0</v>
      </c>
      <c r="P60" s="1037">
        <f t="shared" si="39"/>
        <v>0</v>
      </c>
      <c r="Q60" s="1037">
        <v>0</v>
      </c>
      <c r="R60" s="1037">
        <f t="shared" si="40"/>
        <v>0</v>
      </c>
      <c r="S60" s="1037">
        <f t="shared" si="41"/>
        <v>0</v>
      </c>
      <c r="T60" s="1029">
        <f>'[14]FY2012-13 Final'!K61</f>
        <v>3397</v>
      </c>
      <c r="U60" s="1031">
        <f t="shared" si="55"/>
        <v>0</v>
      </c>
      <c r="V60" s="1464">
        <f>'[20]Oct midyear JS Clark Academy'!E60</f>
        <v>0</v>
      </c>
      <c r="W60" s="1443">
        <f t="shared" si="42"/>
        <v>0</v>
      </c>
      <c r="X60" s="1474">
        <f>'[20]Feb midyear JS Clark Academy'!E60</f>
        <v>0</v>
      </c>
      <c r="Y60" s="1470">
        <f t="shared" si="43"/>
        <v>0</v>
      </c>
      <c r="Z60" s="1470">
        <f t="shared" si="44"/>
        <v>0</v>
      </c>
      <c r="AA60" s="1031">
        <f t="shared" si="45"/>
        <v>0</v>
      </c>
      <c r="AB60" s="1090">
        <f t="shared" si="46"/>
        <v>0</v>
      </c>
      <c r="AC60" s="1031">
        <f t="shared" si="47"/>
        <v>0</v>
      </c>
      <c r="AD60" s="1031">
        <v>0</v>
      </c>
      <c r="AE60" s="1031">
        <f t="shared" si="48"/>
        <v>0</v>
      </c>
      <c r="AF60" s="1031">
        <f t="shared" si="49"/>
        <v>0</v>
      </c>
      <c r="AG60" s="1448">
        <f t="shared" si="50"/>
        <v>0</v>
      </c>
      <c r="AH60" s="1448">
        <f t="shared" si="51"/>
        <v>0</v>
      </c>
      <c r="AI60" s="1032">
        <f t="shared" si="56"/>
        <v>0</v>
      </c>
      <c r="AJ60" s="1032">
        <f t="shared" si="57"/>
        <v>0</v>
      </c>
      <c r="AL60" s="49">
        <f t="shared" si="53"/>
        <v>0</v>
      </c>
      <c r="AM60" s="49">
        <f>-'[22]Table 5C1G-JS Clark Academy'!AL60</f>
        <v>0</v>
      </c>
      <c r="AN60" s="49">
        <f>-'[21]Table 5C1G-JS Clark Academy'!P60</f>
        <v>0</v>
      </c>
      <c r="AO60" s="49">
        <f t="shared" si="54"/>
        <v>0</v>
      </c>
      <c r="AP60" s="49"/>
    </row>
    <row r="61" spans="1:42">
      <c r="A61" s="979">
        <v>55</v>
      </c>
      <c r="B61" s="980" t="s">
        <v>155</v>
      </c>
      <c r="C61" s="1172">
        <v>0</v>
      </c>
      <c r="D61" s="986">
        <f>'Table 3 Levels 1&amp;2'!AL62</f>
        <v>4103.7453851303217</v>
      </c>
      <c r="E61" s="1075">
        <f t="shared" si="32"/>
        <v>0</v>
      </c>
      <c r="F61" s="1075">
        <f>'Table 4 Level 3'!P60</f>
        <v>795.14</v>
      </c>
      <c r="G61" s="1075">
        <f t="shared" si="33"/>
        <v>0</v>
      </c>
      <c r="H61" s="1038">
        <f t="shared" si="34"/>
        <v>0</v>
      </c>
      <c r="I61" s="1418">
        <f>'[1]Oct midyear JS Clark Academy'!K61</f>
        <v>0</v>
      </c>
      <c r="J61" s="1418">
        <f>'[1]Feb midyear JS Clark Academy'!K61</f>
        <v>0</v>
      </c>
      <c r="K61" s="1418">
        <f t="shared" si="35"/>
        <v>0</v>
      </c>
      <c r="L61" s="1437">
        <f t="shared" si="36"/>
        <v>0</v>
      </c>
      <c r="M61" s="1085">
        <f t="shared" si="37"/>
        <v>0</v>
      </c>
      <c r="N61" s="1038">
        <f t="shared" si="38"/>
        <v>0</v>
      </c>
      <c r="O61" s="1038">
        <v>0</v>
      </c>
      <c r="P61" s="1038">
        <f t="shared" si="39"/>
        <v>0</v>
      </c>
      <c r="Q61" s="1038">
        <v>0</v>
      </c>
      <c r="R61" s="1038">
        <f t="shared" si="40"/>
        <v>0</v>
      </c>
      <c r="S61" s="1038">
        <f t="shared" si="41"/>
        <v>0</v>
      </c>
      <c r="T61" s="1034">
        <f>'[14]FY2012-13 Final'!K62</f>
        <v>3139</v>
      </c>
      <c r="U61" s="1035">
        <f t="shared" si="55"/>
        <v>0</v>
      </c>
      <c r="V61" s="1465">
        <f>'[20]Oct midyear JS Clark Academy'!E61</f>
        <v>0</v>
      </c>
      <c r="W61" s="1445">
        <f t="shared" si="42"/>
        <v>0</v>
      </c>
      <c r="X61" s="1475">
        <f>'[20]Feb midyear JS Clark Academy'!E61</f>
        <v>0</v>
      </c>
      <c r="Y61" s="1471">
        <f t="shared" si="43"/>
        <v>0</v>
      </c>
      <c r="Z61" s="1471">
        <f t="shared" si="44"/>
        <v>0</v>
      </c>
      <c r="AA61" s="1035">
        <f t="shared" si="45"/>
        <v>0</v>
      </c>
      <c r="AB61" s="1091">
        <f t="shared" si="46"/>
        <v>0</v>
      </c>
      <c r="AC61" s="1035">
        <f t="shared" si="47"/>
        <v>0</v>
      </c>
      <c r="AD61" s="1035">
        <v>0</v>
      </c>
      <c r="AE61" s="1035">
        <f t="shared" si="48"/>
        <v>0</v>
      </c>
      <c r="AF61" s="1035">
        <f t="shared" si="49"/>
        <v>0</v>
      </c>
      <c r="AG61" s="1450">
        <f t="shared" si="50"/>
        <v>0</v>
      </c>
      <c r="AH61" s="1450">
        <f t="shared" si="51"/>
        <v>0</v>
      </c>
      <c r="AI61" s="1036">
        <f t="shared" si="56"/>
        <v>0</v>
      </c>
      <c r="AJ61" s="1036">
        <f t="shared" si="57"/>
        <v>0</v>
      </c>
      <c r="AL61" s="49">
        <f t="shared" si="53"/>
        <v>0</v>
      </c>
      <c r="AM61" s="49">
        <f>-'[22]Table 5C1G-JS Clark Academy'!AL61</f>
        <v>0</v>
      </c>
      <c r="AN61" s="49">
        <f>-'[21]Table 5C1G-JS Clark Academy'!P61</f>
        <v>0</v>
      </c>
      <c r="AO61" s="49">
        <f t="shared" si="54"/>
        <v>0</v>
      </c>
      <c r="AP61" s="49"/>
    </row>
    <row r="62" spans="1:42">
      <c r="A62" s="968">
        <v>56</v>
      </c>
      <c r="B62" s="969" t="s">
        <v>156</v>
      </c>
      <c r="C62" s="1173">
        <v>0</v>
      </c>
      <c r="D62" s="988">
        <f>'Table 3 Levels 1&amp;2'!AL63</f>
        <v>5076.2407002640311</v>
      </c>
      <c r="E62" s="1076">
        <f t="shared" si="32"/>
        <v>0</v>
      </c>
      <c r="F62" s="1076">
        <f>'Table 4 Level 3'!P61</f>
        <v>614.66000000000008</v>
      </c>
      <c r="G62" s="1076">
        <f t="shared" si="33"/>
        <v>0</v>
      </c>
      <c r="H62" s="1039">
        <f t="shared" si="34"/>
        <v>0</v>
      </c>
      <c r="I62" s="1419">
        <f>'[1]Oct midyear JS Clark Academy'!K62</f>
        <v>0</v>
      </c>
      <c r="J62" s="1419">
        <f>'[1]Feb midyear JS Clark Academy'!K62</f>
        <v>0</v>
      </c>
      <c r="K62" s="1419">
        <f t="shared" si="35"/>
        <v>0</v>
      </c>
      <c r="L62" s="1211">
        <f t="shared" si="36"/>
        <v>0</v>
      </c>
      <c r="M62" s="1086">
        <f t="shared" si="37"/>
        <v>0</v>
      </c>
      <c r="N62" s="1039">
        <f t="shared" si="38"/>
        <v>0</v>
      </c>
      <c r="O62" s="1039">
        <v>0</v>
      </c>
      <c r="P62" s="1039">
        <f t="shared" si="39"/>
        <v>0</v>
      </c>
      <c r="Q62" s="1039">
        <v>0</v>
      </c>
      <c r="R62" s="1039">
        <f t="shared" si="40"/>
        <v>0</v>
      </c>
      <c r="S62" s="1039">
        <f t="shared" si="41"/>
        <v>0</v>
      </c>
      <c r="T62" s="1029">
        <f>'[14]FY2012-13 Final'!K63</f>
        <v>2781</v>
      </c>
      <c r="U62" s="973">
        <f t="shared" si="55"/>
        <v>0</v>
      </c>
      <c r="V62" s="1466">
        <f>'[20]Oct midyear JS Clark Academy'!E62</f>
        <v>0</v>
      </c>
      <c r="W62" s="1444">
        <f t="shared" si="42"/>
        <v>0</v>
      </c>
      <c r="X62" s="1466">
        <f>'[20]Feb midyear JS Clark Academy'!E62</f>
        <v>0</v>
      </c>
      <c r="Y62" s="1444">
        <f t="shared" si="43"/>
        <v>0</v>
      </c>
      <c r="Z62" s="1444">
        <f t="shared" si="44"/>
        <v>0</v>
      </c>
      <c r="AA62" s="973">
        <f t="shared" si="45"/>
        <v>0</v>
      </c>
      <c r="AB62" s="1089">
        <f t="shared" si="46"/>
        <v>0</v>
      </c>
      <c r="AC62" s="973">
        <f t="shared" si="47"/>
        <v>0</v>
      </c>
      <c r="AD62" s="973">
        <v>0</v>
      </c>
      <c r="AE62" s="973">
        <f t="shared" si="48"/>
        <v>0</v>
      </c>
      <c r="AF62" s="973">
        <f t="shared" si="49"/>
        <v>0</v>
      </c>
      <c r="AG62" s="1214">
        <f t="shared" si="50"/>
        <v>0</v>
      </c>
      <c r="AH62" s="1214">
        <f t="shared" si="51"/>
        <v>0</v>
      </c>
      <c r="AI62" s="974">
        <f t="shared" si="56"/>
        <v>0</v>
      </c>
      <c r="AJ62" s="974">
        <f t="shared" si="57"/>
        <v>0</v>
      </c>
      <c r="AL62" s="49">
        <f t="shared" si="53"/>
        <v>0</v>
      </c>
      <c r="AM62" s="49">
        <f>-'[22]Table 5C1G-JS Clark Academy'!AL62</f>
        <v>0</v>
      </c>
      <c r="AN62" s="49">
        <f>-'[21]Table 5C1G-JS Clark Academy'!P62</f>
        <v>0</v>
      </c>
      <c r="AO62" s="49">
        <f t="shared" si="54"/>
        <v>0</v>
      </c>
      <c r="AP62" s="49"/>
    </row>
    <row r="63" spans="1:42">
      <c r="A63" s="975">
        <v>57</v>
      </c>
      <c r="B63" s="976" t="s">
        <v>157</v>
      </c>
      <c r="C63" s="1171">
        <v>0</v>
      </c>
      <c r="D63" s="984">
        <f>'Table 3 Levels 1&amp;2'!AL64</f>
        <v>4409.0708210621269</v>
      </c>
      <c r="E63" s="1074">
        <f t="shared" si="32"/>
        <v>0</v>
      </c>
      <c r="F63" s="1074">
        <f>'Table 4 Level 3'!P62</f>
        <v>764.51</v>
      </c>
      <c r="G63" s="1074">
        <f t="shared" si="33"/>
        <v>0</v>
      </c>
      <c r="H63" s="1037">
        <f t="shared" si="34"/>
        <v>0</v>
      </c>
      <c r="I63" s="1417">
        <f>'[1]Oct midyear JS Clark Academy'!K63</f>
        <v>0</v>
      </c>
      <c r="J63" s="1417">
        <f>'[1]Feb midyear JS Clark Academy'!K63</f>
        <v>0</v>
      </c>
      <c r="K63" s="1417">
        <f t="shared" si="35"/>
        <v>0</v>
      </c>
      <c r="L63" s="1436">
        <f t="shared" si="36"/>
        <v>0</v>
      </c>
      <c r="M63" s="1084">
        <f t="shared" si="37"/>
        <v>0</v>
      </c>
      <c r="N63" s="1037">
        <f t="shared" si="38"/>
        <v>0</v>
      </c>
      <c r="O63" s="1037">
        <v>0</v>
      </c>
      <c r="P63" s="1037">
        <f t="shared" si="39"/>
        <v>0</v>
      </c>
      <c r="Q63" s="1037">
        <v>0</v>
      </c>
      <c r="R63" s="1037">
        <f t="shared" si="40"/>
        <v>0</v>
      </c>
      <c r="S63" s="1037">
        <f t="shared" si="41"/>
        <v>0</v>
      </c>
      <c r="T63" s="1029">
        <f>'[14]FY2012-13 Final'!K64</f>
        <v>2991</v>
      </c>
      <c r="U63" s="1031">
        <f t="shared" si="55"/>
        <v>0</v>
      </c>
      <c r="V63" s="1464">
        <f>'[20]Oct midyear JS Clark Academy'!E63</f>
        <v>0</v>
      </c>
      <c r="W63" s="1443">
        <f t="shared" si="42"/>
        <v>0</v>
      </c>
      <c r="X63" s="1474">
        <f>'[20]Feb midyear JS Clark Academy'!E63</f>
        <v>0</v>
      </c>
      <c r="Y63" s="1470">
        <f t="shared" si="43"/>
        <v>0</v>
      </c>
      <c r="Z63" s="1470">
        <f t="shared" si="44"/>
        <v>0</v>
      </c>
      <c r="AA63" s="1031">
        <f t="shared" si="45"/>
        <v>0</v>
      </c>
      <c r="AB63" s="1090">
        <f t="shared" si="46"/>
        <v>0</v>
      </c>
      <c r="AC63" s="1031">
        <f t="shared" si="47"/>
        <v>0</v>
      </c>
      <c r="AD63" s="1031">
        <v>0</v>
      </c>
      <c r="AE63" s="1031">
        <f t="shared" si="48"/>
        <v>0</v>
      </c>
      <c r="AF63" s="1031">
        <f t="shared" si="49"/>
        <v>0</v>
      </c>
      <c r="AG63" s="1448">
        <f t="shared" si="50"/>
        <v>0</v>
      </c>
      <c r="AH63" s="1448">
        <f t="shared" si="51"/>
        <v>0</v>
      </c>
      <c r="AI63" s="1032">
        <f t="shared" si="56"/>
        <v>0</v>
      </c>
      <c r="AJ63" s="1032">
        <f t="shared" si="57"/>
        <v>0</v>
      </c>
      <c r="AL63" s="49">
        <f t="shared" si="53"/>
        <v>0</v>
      </c>
      <c r="AM63" s="49">
        <f>-'[22]Table 5C1G-JS Clark Academy'!AL63</f>
        <v>0</v>
      </c>
      <c r="AN63" s="49">
        <f>-'[21]Table 5C1G-JS Clark Academy'!P63</f>
        <v>0</v>
      </c>
      <c r="AO63" s="49">
        <f t="shared" si="54"/>
        <v>0</v>
      </c>
      <c r="AP63" s="49"/>
    </row>
    <row r="64" spans="1:42">
      <c r="A64" s="975">
        <v>58</v>
      </c>
      <c r="B64" s="976" t="s">
        <v>158</v>
      </c>
      <c r="C64" s="1171">
        <v>0</v>
      </c>
      <c r="D64" s="984">
        <f>'Table 3 Levels 1&amp;2'!AL65</f>
        <v>5341.4512666086594</v>
      </c>
      <c r="E64" s="1074">
        <f t="shared" si="32"/>
        <v>0</v>
      </c>
      <c r="F64" s="1074">
        <f>'Table 4 Level 3'!P63</f>
        <v>697.04</v>
      </c>
      <c r="G64" s="1074">
        <f t="shared" si="33"/>
        <v>0</v>
      </c>
      <c r="H64" s="1037">
        <f t="shared" si="34"/>
        <v>0</v>
      </c>
      <c r="I64" s="1417">
        <f>'[1]Oct midyear JS Clark Academy'!K64</f>
        <v>0</v>
      </c>
      <c r="J64" s="1417">
        <f>'[1]Feb midyear JS Clark Academy'!K64</f>
        <v>0</v>
      </c>
      <c r="K64" s="1417">
        <f t="shared" si="35"/>
        <v>0</v>
      </c>
      <c r="L64" s="1436">
        <f t="shared" si="36"/>
        <v>0</v>
      </c>
      <c r="M64" s="1084">
        <f t="shared" si="37"/>
        <v>0</v>
      </c>
      <c r="N64" s="1037">
        <f t="shared" si="38"/>
        <v>0</v>
      </c>
      <c r="O64" s="1037">
        <v>0</v>
      </c>
      <c r="P64" s="1037">
        <f t="shared" si="39"/>
        <v>0</v>
      </c>
      <c r="Q64" s="1037">
        <v>0</v>
      </c>
      <c r="R64" s="1037">
        <f t="shared" si="40"/>
        <v>0</v>
      </c>
      <c r="S64" s="1037">
        <f t="shared" si="41"/>
        <v>0</v>
      </c>
      <c r="T64" s="1029">
        <f>'[14]FY2012-13 Final'!K65</f>
        <v>2057</v>
      </c>
      <c r="U64" s="1031">
        <f t="shared" si="55"/>
        <v>0</v>
      </c>
      <c r="V64" s="1464">
        <f>'[20]Oct midyear JS Clark Academy'!E64</f>
        <v>0</v>
      </c>
      <c r="W64" s="1443">
        <f t="shared" si="42"/>
        <v>0</v>
      </c>
      <c r="X64" s="1474">
        <f>'[20]Feb midyear JS Clark Academy'!E64</f>
        <v>0</v>
      </c>
      <c r="Y64" s="1470">
        <f t="shared" si="43"/>
        <v>0</v>
      </c>
      <c r="Z64" s="1470">
        <f t="shared" si="44"/>
        <v>0</v>
      </c>
      <c r="AA64" s="1031">
        <f t="shared" si="45"/>
        <v>0</v>
      </c>
      <c r="AB64" s="1090">
        <f t="shared" si="46"/>
        <v>0</v>
      </c>
      <c r="AC64" s="1031">
        <f t="shared" si="47"/>
        <v>0</v>
      </c>
      <c r="AD64" s="1031">
        <v>0</v>
      </c>
      <c r="AE64" s="1031">
        <f t="shared" si="48"/>
        <v>0</v>
      </c>
      <c r="AF64" s="1031">
        <f t="shared" si="49"/>
        <v>0</v>
      </c>
      <c r="AG64" s="1448">
        <f t="shared" si="50"/>
        <v>0</v>
      </c>
      <c r="AH64" s="1448">
        <f t="shared" si="51"/>
        <v>0</v>
      </c>
      <c r="AI64" s="1032">
        <f t="shared" si="56"/>
        <v>0</v>
      </c>
      <c r="AJ64" s="1032">
        <f t="shared" si="57"/>
        <v>0</v>
      </c>
      <c r="AL64" s="49">
        <f t="shared" si="53"/>
        <v>0</v>
      </c>
      <c r="AM64" s="49">
        <f>-'[22]Table 5C1G-JS Clark Academy'!AL64</f>
        <v>0</v>
      </c>
      <c r="AN64" s="49">
        <f>-'[21]Table 5C1G-JS Clark Academy'!P64</f>
        <v>0</v>
      </c>
      <c r="AO64" s="49">
        <f t="shared" si="54"/>
        <v>0</v>
      </c>
      <c r="AP64" s="49"/>
    </row>
    <row r="65" spans="1:44">
      <c r="A65" s="975">
        <v>59</v>
      </c>
      <c r="B65" s="976" t="s">
        <v>159</v>
      </c>
      <c r="C65" s="1171">
        <v>0</v>
      </c>
      <c r="D65" s="984">
        <f>'Table 3 Levels 1&amp;2'!AL66</f>
        <v>6342.1695127641487</v>
      </c>
      <c r="E65" s="1074">
        <f t="shared" si="32"/>
        <v>0</v>
      </c>
      <c r="F65" s="1074">
        <f>'Table 4 Level 3'!P64</f>
        <v>689.52</v>
      </c>
      <c r="G65" s="1074">
        <f t="shared" si="33"/>
        <v>0</v>
      </c>
      <c r="H65" s="1037">
        <f t="shared" si="34"/>
        <v>0</v>
      </c>
      <c r="I65" s="1417">
        <f>'[1]Oct midyear JS Clark Academy'!K65</f>
        <v>0</v>
      </c>
      <c r="J65" s="1417">
        <f>'[1]Feb midyear JS Clark Academy'!K65</f>
        <v>0</v>
      </c>
      <c r="K65" s="1417">
        <f t="shared" si="35"/>
        <v>0</v>
      </c>
      <c r="L65" s="1436">
        <f t="shared" si="36"/>
        <v>0</v>
      </c>
      <c r="M65" s="1084">
        <f t="shared" si="37"/>
        <v>0</v>
      </c>
      <c r="N65" s="1037">
        <f t="shared" si="38"/>
        <v>0</v>
      </c>
      <c r="O65" s="1037">
        <v>0</v>
      </c>
      <c r="P65" s="1037">
        <f t="shared" si="39"/>
        <v>0</v>
      </c>
      <c r="Q65" s="1037">
        <v>0</v>
      </c>
      <c r="R65" s="1037">
        <f t="shared" si="40"/>
        <v>0</v>
      </c>
      <c r="S65" s="1037">
        <f t="shared" si="41"/>
        <v>0</v>
      </c>
      <c r="T65" s="1029">
        <f>'[14]FY2012-13 Final'!K66</f>
        <v>1530</v>
      </c>
      <c r="U65" s="1031">
        <f t="shared" si="55"/>
        <v>0</v>
      </c>
      <c r="V65" s="1464">
        <f>'[20]Oct midyear JS Clark Academy'!E65</f>
        <v>0</v>
      </c>
      <c r="W65" s="1443">
        <f t="shared" si="42"/>
        <v>0</v>
      </c>
      <c r="X65" s="1474">
        <f>'[20]Feb midyear JS Clark Academy'!E65</f>
        <v>0</v>
      </c>
      <c r="Y65" s="1470">
        <f t="shared" si="43"/>
        <v>0</v>
      </c>
      <c r="Z65" s="1470">
        <f t="shared" si="44"/>
        <v>0</v>
      </c>
      <c r="AA65" s="1031">
        <f t="shared" si="45"/>
        <v>0</v>
      </c>
      <c r="AB65" s="1090">
        <f t="shared" si="46"/>
        <v>0</v>
      </c>
      <c r="AC65" s="1031">
        <f t="shared" si="47"/>
        <v>0</v>
      </c>
      <c r="AD65" s="1031">
        <v>0</v>
      </c>
      <c r="AE65" s="1031">
        <f t="shared" si="48"/>
        <v>0</v>
      </c>
      <c r="AF65" s="1031">
        <f t="shared" si="49"/>
        <v>0</v>
      </c>
      <c r="AG65" s="1448">
        <f t="shared" si="50"/>
        <v>0</v>
      </c>
      <c r="AH65" s="1448">
        <f t="shared" si="51"/>
        <v>0</v>
      </c>
      <c r="AI65" s="1032">
        <f t="shared" si="56"/>
        <v>0</v>
      </c>
      <c r="AJ65" s="1032">
        <f t="shared" si="57"/>
        <v>0</v>
      </c>
      <c r="AL65" s="49">
        <f t="shared" si="53"/>
        <v>0</v>
      </c>
      <c r="AM65" s="49">
        <f>-'[22]Table 5C1G-JS Clark Academy'!AL65</f>
        <v>0</v>
      </c>
      <c r="AN65" s="49">
        <f>-'[21]Table 5C1G-JS Clark Academy'!P65</f>
        <v>0</v>
      </c>
      <c r="AO65" s="49">
        <f t="shared" si="54"/>
        <v>0</v>
      </c>
      <c r="AP65" s="49"/>
    </row>
    <row r="66" spans="1:44">
      <c r="A66" s="979">
        <v>60</v>
      </c>
      <c r="B66" s="980" t="s">
        <v>160</v>
      </c>
      <c r="C66" s="1172">
        <v>0</v>
      </c>
      <c r="D66" s="986">
        <f>'Table 3 Levels 1&amp;2'!AL67</f>
        <v>4836.7830262372299</v>
      </c>
      <c r="E66" s="1075">
        <f t="shared" si="32"/>
        <v>0</v>
      </c>
      <c r="F66" s="1075">
        <f>'Table 4 Level 3'!P65</f>
        <v>594.04</v>
      </c>
      <c r="G66" s="1075">
        <f t="shared" si="33"/>
        <v>0</v>
      </c>
      <c r="H66" s="1038">
        <f t="shared" si="34"/>
        <v>0</v>
      </c>
      <c r="I66" s="1418">
        <f>'[1]Oct midyear JS Clark Academy'!K66</f>
        <v>0</v>
      </c>
      <c r="J66" s="1418">
        <f>'[1]Feb midyear JS Clark Academy'!K66</f>
        <v>0</v>
      </c>
      <c r="K66" s="1418">
        <f t="shared" si="35"/>
        <v>0</v>
      </c>
      <c r="L66" s="1437">
        <f t="shared" si="36"/>
        <v>0</v>
      </c>
      <c r="M66" s="1085">
        <f t="shared" si="37"/>
        <v>0</v>
      </c>
      <c r="N66" s="1038">
        <f t="shared" si="38"/>
        <v>0</v>
      </c>
      <c r="O66" s="1038">
        <v>0</v>
      </c>
      <c r="P66" s="1038">
        <f t="shared" si="39"/>
        <v>0</v>
      </c>
      <c r="Q66" s="1038">
        <v>0</v>
      </c>
      <c r="R66" s="1038">
        <f t="shared" si="40"/>
        <v>0</v>
      </c>
      <c r="S66" s="1038">
        <f t="shared" si="41"/>
        <v>0</v>
      </c>
      <c r="T66" s="1034">
        <f>'[14]FY2012-13 Final'!K67</f>
        <v>3925</v>
      </c>
      <c r="U66" s="1035">
        <f t="shared" si="55"/>
        <v>0</v>
      </c>
      <c r="V66" s="1465">
        <f>'[20]Oct midyear JS Clark Academy'!E66</f>
        <v>0</v>
      </c>
      <c r="W66" s="1445">
        <f t="shared" si="42"/>
        <v>0</v>
      </c>
      <c r="X66" s="1475">
        <f>'[20]Feb midyear JS Clark Academy'!E66</f>
        <v>0</v>
      </c>
      <c r="Y66" s="1471">
        <f t="shared" si="43"/>
        <v>0</v>
      </c>
      <c r="Z66" s="1471">
        <f t="shared" si="44"/>
        <v>0</v>
      </c>
      <c r="AA66" s="1035">
        <f t="shared" si="45"/>
        <v>0</v>
      </c>
      <c r="AB66" s="1091">
        <f t="shared" si="46"/>
        <v>0</v>
      </c>
      <c r="AC66" s="1035">
        <f t="shared" si="47"/>
        <v>0</v>
      </c>
      <c r="AD66" s="1035">
        <v>0</v>
      </c>
      <c r="AE66" s="1035">
        <f t="shared" si="48"/>
        <v>0</v>
      </c>
      <c r="AF66" s="1035">
        <f t="shared" si="49"/>
        <v>0</v>
      </c>
      <c r="AG66" s="1450">
        <f t="shared" si="50"/>
        <v>0</v>
      </c>
      <c r="AH66" s="1450">
        <f t="shared" si="51"/>
        <v>0</v>
      </c>
      <c r="AI66" s="1036">
        <f t="shared" si="56"/>
        <v>0</v>
      </c>
      <c r="AJ66" s="1036">
        <f t="shared" si="57"/>
        <v>0</v>
      </c>
      <c r="AL66" s="49">
        <f t="shared" si="53"/>
        <v>0</v>
      </c>
      <c r="AM66" s="49">
        <f>-'[22]Table 5C1G-JS Clark Academy'!AL66</f>
        <v>0</v>
      </c>
      <c r="AN66" s="49">
        <f>-'[21]Table 5C1G-JS Clark Academy'!P66</f>
        <v>0</v>
      </c>
      <c r="AO66" s="49">
        <f t="shared" si="54"/>
        <v>0</v>
      </c>
      <c r="AP66" s="49"/>
    </row>
    <row r="67" spans="1:44">
      <c r="A67" s="968">
        <v>61</v>
      </c>
      <c r="B67" s="969" t="s">
        <v>161</v>
      </c>
      <c r="C67" s="1173">
        <v>0</v>
      </c>
      <c r="D67" s="988">
        <f>'Table 3 Levels 1&amp;2'!AL68</f>
        <v>3068.5254213785697</v>
      </c>
      <c r="E67" s="1076">
        <f t="shared" si="32"/>
        <v>0</v>
      </c>
      <c r="F67" s="1076">
        <f>'Table 4 Level 3'!P66</f>
        <v>833.70999999999992</v>
      </c>
      <c r="G67" s="1076">
        <f t="shared" si="33"/>
        <v>0</v>
      </c>
      <c r="H67" s="1039">
        <f t="shared" si="34"/>
        <v>0</v>
      </c>
      <c r="I67" s="1419">
        <f>'[1]Oct midyear JS Clark Academy'!K67</f>
        <v>0</v>
      </c>
      <c r="J67" s="1419">
        <f>'[1]Feb midyear JS Clark Academy'!K67</f>
        <v>0</v>
      </c>
      <c r="K67" s="1419">
        <f t="shared" si="35"/>
        <v>0</v>
      </c>
      <c r="L67" s="1211">
        <f t="shared" si="36"/>
        <v>0</v>
      </c>
      <c r="M67" s="1086">
        <f t="shared" si="37"/>
        <v>0</v>
      </c>
      <c r="N67" s="1039">
        <f t="shared" si="38"/>
        <v>0</v>
      </c>
      <c r="O67" s="1039">
        <v>0</v>
      </c>
      <c r="P67" s="1039">
        <f t="shared" si="39"/>
        <v>0</v>
      </c>
      <c r="Q67" s="1039">
        <v>0</v>
      </c>
      <c r="R67" s="1039">
        <f t="shared" si="40"/>
        <v>0</v>
      </c>
      <c r="S67" s="1039">
        <f t="shared" si="41"/>
        <v>0</v>
      </c>
      <c r="T67" s="1029">
        <f>'[14]FY2012-13 Final'!K68</f>
        <v>6698</v>
      </c>
      <c r="U67" s="973">
        <f t="shared" si="55"/>
        <v>0</v>
      </c>
      <c r="V67" s="1466">
        <f>'[20]Oct midyear JS Clark Academy'!E67</f>
        <v>0</v>
      </c>
      <c r="W67" s="1444">
        <f t="shared" si="42"/>
        <v>0</v>
      </c>
      <c r="X67" s="1466">
        <f>'[20]Feb midyear JS Clark Academy'!E67</f>
        <v>0</v>
      </c>
      <c r="Y67" s="1444">
        <f t="shared" si="43"/>
        <v>0</v>
      </c>
      <c r="Z67" s="1444">
        <f t="shared" si="44"/>
        <v>0</v>
      </c>
      <c r="AA67" s="973">
        <f t="shared" si="45"/>
        <v>0</v>
      </c>
      <c r="AB67" s="1089">
        <f t="shared" si="46"/>
        <v>0</v>
      </c>
      <c r="AC67" s="973">
        <f t="shared" si="47"/>
        <v>0</v>
      </c>
      <c r="AD67" s="973">
        <v>0</v>
      </c>
      <c r="AE67" s="973">
        <f t="shared" si="48"/>
        <v>0</v>
      </c>
      <c r="AF67" s="973">
        <f t="shared" si="49"/>
        <v>0</v>
      </c>
      <c r="AG67" s="1214">
        <f t="shared" si="50"/>
        <v>0</v>
      </c>
      <c r="AH67" s="1214">
        <f t="shared" si="51"/>
        <v>0</v>
      </c>
      <c r="AI67" s="974">
        <f t="shared" si="56"/>
        <v>0</v>
      </c>
      <c r="AJ67" s="974">
        <f t="shared" si="57"/>
        <v>0</v>
      </c>
      <c r="AL67" s="49">
        <f t="shared" si="53"/>
        <v>0</v>
      </c>
      <c r="AM67" s="49">
        <f>-'[22]Table 5C1G-JS Clark Academy'!AL67</f>
        <v>0</v>
      </c>
      <c r="AN67" s="49">
        <f>-'[21]Table 5C1G-JS Clark Academy'!P67</f>
        <v>0</v>
      </c>
      <c r="AO67" s="49">
        <f t="shared" si="54"/>
        <v>0</v>
      </c>
      <c r="AP67" s="49"/>
    </row>
    <row r="68" spans="1:44">
      <c r="A68" s="975">
        <v>62</v>
      </c>
      <c r="B68" s="976" t="s">
        <v>162</v>
      </c>
      <c r="C68" s="1171">
        <v>0</v>
      </c>
      <c r="D68" s="984">
        <f>'Table 3 Levels 1&amp;2'!AL69</f>
        <v>5577.0282124990472</v>
      </c>
      <c r="E68" s="1074">
        <f t="shared" si="32"/>
        <v>0</v>
      </c>
      <c r="F68" s="1074">
        <f>'Table 4 Level 3'!P67</f>
        <v>516.08000000000004</v>
      </c>
      <c r="G68" s="1074">
        <f t="shared" si="33"/>
        <v>0</v>
      </c>
      <c r="H68" s="1037">
        <f t="shared" si="34"/>
        <v>0</v>
      </c>
      <c r="I68" s="1417">
        <f>'[1]Oct midyear JS Clark Academy'!K68</f>
        <v>0</v>
      </c>
      <c r="J68" s="1417">
        <f>'[1]Feb midyear JS Clark Academy'!K68</f>
        <v>0</v>
      </c>
      <c r="K68" s="1417">
        <f t="shared" si="35"/>
        <v>0</v>
      </c>
      <c r="L68" s="1436">
        <f t="shared" si="36"/>
        <v>0</v>
      </c>
      <c r="M68" s="1084">
        <f t="shared" si="37"/>
        <v>0</v>
      </c>
      <c r="N68" s="1037">
        <f t="shared" si="38"/>
        <v>0</v>
      </c>
      <c r="O68" s="1037">
        <v>0</v>
      </c>
      <c r="P68" s="1037">
        <f t="shared" si="39"/>
        <v>0</v>
      </c>
      <c r="Q68" s="1037">
        <v>0</v>
      </c>
      <c r="R68" s="1037">
        <f t="shared" si="40"/>
        <v>0</v>
      </c>
      <c r="S68" s="1037">
        <f t="shared" si="41"/>
        <v>0</v>
      </c>
      <c r="T68" s="1029">
        <f>'[14]FY2012-13 Final'!K69</f>
        <v>1785</v>
      </c>
      <c r="U68" s="1031">
        <f t="shared" si="55"/>
        <v>0</v>
      </c>
      <c r="V68" s="1464">
        <f>'[20]Oct midyear JS Clark Academy'!E68</f>
        <v>0</v>
      </c>
      <c r="W68" s="1443">
        <f t="shared" si="42"/>
        <v>0</v>
      </c>
      <c r="X68" s="1474">
        <f>'[20]Feb midyear JS Clark Academy'!E68</f>
        <v>0</v>
      </c>
      <c r="Y68" s="1470">
        <f t="shared" si="43"/>
        <v>0</v>
      </c>
      <c r="Z68" s="1470">
        <f t="shared" si="44"/>
        <v>0</v>
      </c>
      <c r="AA68" s="1031">
        <f t="shared" si="45"/>
        <v>0</v>
      </c>
      <c r="AB68" s="1090">
        <f t="shared" si="46"/>
        <v>0</v>
      </c>
      <c r="AC68" s="1031">
        <f t="shared" si="47"/>
        <v>0</v>
      </c>
      <c r="AD68" s="1031">
        <v>0</v>
      </c>
      <c r="AE68" s="1031">
        <f t="shared" si="48"/>
        <v>0</v>
      </c>
      <c r="AF68" s="1031">
        <f t="shared" si="49"/>
        <v>0</v>
      </c>
      <c r="AG68" s="1448">
        <f t="shared" si="50"/>
        <v>0</v>
      </c>
      <c r="AH68" s="1448">
        <f t="shared" si="51"/>
        <v>0</v>
      </c>
      <c r="AI68" s="1032">
        <f t="shared" si="56"/>
        <v>0</v>
      </c>
      <c r="AJ68" s="1032">
        <f t="shared" si="57"/>
        <v>0</v>
      </c>
      <c r="AL68" s="49">
        <f t="shared" si="53"/>
        <v>0</v>
      </c>
      <c r="AM68" s="49">
        <f>-'[22]Table 5C1G-JS Clark Academy'!AL68</f>
        <v>0</v>
      </c>
      <c r="AN68" s="49">
        <f>-'[21]Table 5C1G-JS Clark Academy'!P68</f>
        <v>0</v>
      </c>
      <c r="AO68" s="49">
        <f t="shared" si="54"/>
        <v>0</v>
      </c>
      <c r="AP68" s="49"/>
    </row>
    <row r="69" spans="1:44">
      <c r="A69" s="975">
        <v>63</v>
      </c>
      <c r="B69" s="976" t="s">
        <v>163</v>
      </c>
      <c r="C69" s="1171">
        <v>0</v>
      </c>
      <c r="D69" s="984">
        <f>'Table 3 Levels 1&amp;2'!AL70</f>
        <v>4427.207711317601</v>
      </c>
      <c r="E69" s="1074">
        <f t="shared" si="32"/>
        <v>0</v>
      </c>
      <c r="F69" s="1074">
        <f>'Table 4 Level 3'!P68</f>
        <v>756.79</v>
      </c>
      <c r="G69" s="1074">
        <f t="shared" si="33"/>
        <v>0</v>
      </c>
      <c r="H69" s="1037">
        <f t="shared" si="34"/>
        <v>0</v>
      </c>
      <c r="I69" s="1417">
        <f>'[1]Oct midyear JS Clark Academy'!K69</f>
        <v>0</v>
      </c>
      <c r="J69" s="1417">
        <f>'[1]Feb midyear JS Clark Academy'!K69</f>
        <v>0</v>
      </c>
      <c r="K69" s="1417">
        <f t="shared" si="35"/>
        <v>0</v>
      </c>
      <c r="L69" s="1436">
        <f t="shared" si="36"/>
        <v>0</v>
      </c>
      <c r="M69" s="1084">
        <f t="shared" si="37"/>
        <v>0</v>
      </c>
      <c r="N69" s="1037">
        <f t="shared" si="38"/>
        <v>0</v>
      </c>
      <c r="O69" s="1037">
        <v>0</v>
      </c>
      <c r="P69" s="1037">
        <f t="shared" si="39"/>
        <v>0</v>
      </c>
      <c r="Q69" s="1037">
        <v>0</v>
      </c>
      <c r="R69" s="1037">
        <f t="shared" si="40"/>
        <v>0</v>
      </c>
      <c r="S69" s="1037">
        <f t="shared" si="41"/>
        <v>0</v>
      </c>
      <c r="T69" s="1029">
        <f>'[14]FY2012-13 Final'!K70</f>
        <v>7190</v>
      </c>
      <c r="U69" s="1031">
        <f t="shared" si="55"/>
        <v>0</v>
      </c>
      <c r="V69" s="1464">
        <f>'[20]Oct midyear JS Clark Academy'!E69</f>
        <v>0</v>
      </c>
      <c r="W69" s="1443">
        <f t="shared" si="42"/>
        <v>0</v>
      </c>
      <c r="X69" s="1474">
        <f>'[20]Feb midyear JS Clark Academy'!E69</f>
        <v>0</v>
      </c>
      <c r="Y69" s="1470">
        <f t="shared" si="43"/>
        <v>0</v>
      </c>
      <c r="Z69" s="1470">
        <f t="shared" si="44"/>
        <v>0</v>
      </c>
      <c r="AA69" s="1031">
        <f t="shared" si="45"/>
        <v>0</v>
      </c>
      <c r="AB69" s="1090">
        <f t="shared" si="46"/>
        <v>0</v>
      </c>
      <c r="AC69" s="1031">
        <f t="shared" si="47"/>
        <v>0</v>
      </c>
      <c r="AD69" s="1031">
        <v>0</v>
      </c>
      <c r="AE69" s="1031">
        <f t="shared" si="48"/>
        <v>0</v>
      </c>
      <c r="AF69" s="1031">
        <f t="shared" si="49"/>
        <v>0</v>
      </c>
      <c r="AG69" s="1448">
        <f t="shared" si="50"/>
        <v>0</v>
      </c>
      <c r="AH69" s="1448">
        <f t="shared" si="51"/>
        <v>0</v>
      </c>
      <c r="AI69" s="1032">
        <f t="shared" si="56"/>
        <v>0</v>
      </c>
      <c r="AJ69" s="1032">
        <f t="shared" si="57"/>
        <v>0</v>
      </c>
      <c r="AL69" s="49">
        <f t="shared" si="53"/>
        <v>0</v>
      </c>
      <c r="AM69" s="49">
        <f>-'[22]Table 5C1G-JS Clark Academy'!AL69</f>
        <v>0</v>
      </c>
      <c r="AN69" s="49">
        <f>-'[21]Table 5C1G-JS Clark Academy'!P69</f>
        <v>0</v>
      </c>
      <c r="AO69" s="49">
        <f t="shared" si="54"/>
        <v>0</v>
      </c>
      <c r="AP69" s="49"/>
    </row>
    <row r="70" spans="1:44">
      <c r="A70" s="975">
        <v>64</v>
      </c>
      <c r="B70" s="976" t="s">
        <v>164</v>
      </c>
      <c r="C70" s="1171">
        <v>0</v>
      </c>
      <c r="D70" s="984">
        <f>'Table 3 Levels 1&amp;2'!AL71</f>
        <v>5888.4725850181812</v>
      </c>
      <c r="E70" s="1074">
        <f t="shared" si="32"/>
        <v>0</v>
      </c>
      <c r="F70" s="1074">
        <f>'Table 4 Level 3'!P69</f>
        <v>592.66</v>
      </c>
      <c r="G70" s="1074">
        <f t="shared" si="33"/>
        <v>0</v>
      </c>
      <c r="H70" s="1037">
        <f t="shared" si="34"/>
        <v>0</v>
      </c>
      <c r="I70" s="1417">
        <f>'[1]Oct midyear JS Clark Academy'!K70</f>
        <v>0</v>
      </c>
      <c r="J70" s="1417">
        <f>'[1]Feb midyear JS Clark Academy'!K70</f>
        <v>0</v>
      </c>
      <c r="K70" s="1417">
        <f t="shared" si="35"/>
        <v>0</v>
      </c>
      <c r="L70" s="1436">
        <f t="shared" si="36"/>
        <v>0</v>
      </c>
      <c r="M70" s="1084">
        <f t="shared" si="37"/>
        <v>0</v>
      </c>
      <c r="N70" s="1037">
        <f t="shared" si="38"/>
        <v>0</v>
      </c>
      <c r="O70" s="1037">
        <v>0</v>
      </c>
      <c r="P70" s="1037">
        <f t="shared" si="39"/>
        <v>0</v>
      </c>
      <c r="Q70" s="1037">
        <v>0</v>
      </c>
      <c r="R70" s="1037">
        <f t="shared" si="40"/>
        <v>0</v>
      </c>
      <c r="S70" s="1037">
        <f t="shared" si="41"/>
        <v>0</v>
      </c>
      <c r="T70" s="1029">
        <f>'[14]FY2012-13 Final'!K71</f>
        <v>2702</v>
      </c>
      <c r="U70" s="1031">
        <f t="shared" si="55"/>
        <v>0</v>
      </c>
      <c r="V70" s="1464">
        <f>'[20]Oct midyear JS Clark Academy'!E70</f>
        <v>0</v>
      </c>
      <c r="W70" s="1443">
        <f t="shared" si="42"/>
        <v>0</v>
      </c>
      <c r="X70" s="1474">
        <f>'[20]Feb midyear JS Clark Academy'!E70</f>
        <v>0</v>
      </c>
      <c r="Y70" s="1470">
        <f t="shared" si="43"/>
        <v>0</v>
      </c>
      <c r="Z70" s="1470">
        <f t="shared" si="44"/>
        <v>0</v>
      </c>
      <c r="AA70" s="1031">
        <f t="shared" si="45"/>
        <v>0</v>
      </c>
      <c r="AB70" s="1090">
        <f t="shared" si="46"/>
        <v>0</v>
      </c>
      <c r="AC70" s="1031">
        <f t="shared" si="47"/>
        <v>0</v>
      </c>
      <c r="AD70" s="1031">
        <v>0</v>
      </c>
      <c r="AE70" s="1031">
        <f t="shared" si="48"/>
        <v>0</v>
      </c>
      <c r="AF70" s="1031">
        <f t="shared" si="49"/>
        <v>0</v>
      </c>
      <c r="AG70" s="1448">
        <f t="shared" si="50"/>
        <v>0</v>
      </c>
      <c r="AH70" s="1448">
        <f t="shared" si="51"/>
        <v>0</v>
      </c>
      <c r="AI70" s="1032">
        <f t="shared" si="56"/>
        <v>0</v>
      </c>
      <c r="AJ70" s="1032">
        <f t="shared" si="57"/>
        <v>0</v>
      </c>
      <c r="AL70" s="49">
        <f t="shared" si="53"/>
        <v>0</v>
      </c>
      <c r="AM70" s="49">
        <f>-'[22]Table 5C1G-JS Clark Academy'!AL70</f>
        <v>0</v>
      </c>
      <c r="AN70" s="49">
        <f>-'[21]Table 5C1G-JS Clark Academy'!P70</f>
        <v>0</v>
      </c>
      <c r="AO70" s="49">
        <f t="shared" si="54"/>
        <v>0</v>
      </c>
      <c r="AP70" s="49"/>
    </row>
    <row r="71" spans="1:44">
      <c r="A71" s="979">
        <v>65</v>
      </c>
      <c r="B71" s="980" t="s">
        <v>165</v>
      </c>
      <c r="C71" s="1172">
        <v>0</v>
      </c>
      <c r="D71" s="986">
        <f>'Table 3 Levels 1&amp;2'!AL72</f>
        <v>4583.9609010774066</v>
      </c>
      <c r="E71" s="1075">
        <f t="shared" si="32"/>
        <v>0</v>
      </c>
      <c r="F71" s="1075">
        <f>'Table 4 Level 3'!P70</f>
        <v>829.12</v>
      </c>
      <c r="G71" s="1075">
        <f t="shared" si="33"/>
        <v>0</v>
      </c>
      <c r="H71" s="1038">
        <f t="shared" si="34"/>
        <v>0</v>
      </c>
      <c r="I71" s="1418">
        <f>'[1]Oct midyear JS Clark Academy'!K71</f>
        <v>0</v>
      </c>
      <c r="J71" s="1418">
        <f>'[1]Feb midyear JS Clark Academy'!K71</f>
        <v>0</v>
      </c>
      <c r="K71" s="1418">
        <f t="shared" si="35"/>
        <v>0</v>
      </c>
      <c r="L71" s="1437">
        <f t="shared" si="36"/>
        <v>0</v>
      </c>
      <c r="M71" s="1085">
        <f t="shared" si="37"/>
        <v>0</v>
      </c>
      <c r="N71" s="1038">
        <f t="shared" si="38"/>
        <v>0</v>
      </c>
      <c r="O71" s="1038">
        <v>0</v>
      </c>
      <c r="P71" s="1038">
        <f t="shared" si="39"/>
        <v>0</v>
      </c>
      <c r="Q71" s="1038">
        <v>0</v>
      </c>
      <c r="R71" s="1038">
        <f t="shared" si="40"/>
        <v>0</v>
      </c>
      <c r="S71" s="1038">
        <f t="shared" si="41"/>
        <v>0</v>
      </c>
      <c r="T71" s="1034">
        <f>'[14]FY2012-13 Final'!K72</f>
        <v>4936</v>
      </c>
      <c r="U71" s="1035">
        <f t="shared" ref="U71:U75" si="58">C71*T71</f>
        <v>0</v>
      </c>
      <c r="V71" s="1465">
        <f>'[20]Oct midyear JS Clark Academy'!E71</f>
        <v>0</v>
      </c>
      <c r="W71" s="1445">
        <f t="shared" si="42"/>
        <v>0</v>
      </c>
      <c r="X71" s="1475">
        <f>'[20]Feb midyear JS Clark Academy'!E71</f>
        <v>0</v>
      </c>
      <c r="Y71" s="1471">
        <f t="shared" si="43"/>
        <v>0</v>
      </c>
      <c r="Z71" s="1471">
        <f t="shared" si="44"/>
        <v>0</v>
      </c>
      <c r="AA71" s="1035">
        <f t="shared" si="45"/>
        <v>0</v>
      </c>
      <c r="AB71" s="1091">
        <f t="shared" si="46"/>
        <v>0</v>
      </c>
      <c r="AC71" s="1035">
        <f t="shared" si="47"/>
        <v>0</v>
      </c>
      <c r="AD71" s="1035">
        <v>0</v>
      </c>
      <c r="AE71" s="1035">
        <f t="shared" si="48"/>
        <v>0</v>
      </c>
      <c r="AF71" s="1035">
        <f t="shared" si="49"/>
        <v>0</v>
      </c>
      <c r="AG71" s="1450">
        <f t="shared" si="50"/>
        <v>0</v>
      </c>
      <c r="AH71" s="1450">
        <f t="shared" si="51"/>
        <v>0</v>
      </c>
      <c r="AI71" s="1036">
        <f t="shared" si="56"/>
        <v>0</v>
      </c>
      <c r="AJ71" s="1036">
        <f t="shared" si="57"/>
        <v>0</v>
      </c>
      <c r="AL71" s="49">
        <f t="shared" si="53"/>
        <v>0</v>
      </c>
      <c r="AM71" s="49">
        <f>-'[22]Table 5C1G-JS Clark Academy'!AL71</f>
        <v>0</v>
      </c>
      <c r="AN71" s="49">
        <f>-'[21]Table 5C1G-JS Clark Academy'!P71</f>
        <v>0</v>
      </c>
      <c r="AO71" s="49">
        <f t="shared" si="54"/>
        <v>0</v>
      </c>
      <c r="AP71" s="49"/>
    </row>
    <row r="72" spans="1:44">
      <c r="A72" s="968">
        <v>66</v>
      </c>
      <c r="B72" s="969" t="s">
        <v>166</v>
      </c>
      <c r="C72" s="1173">
        <v>0</v>
      </c>
      <c r="D72" s="988">
        <f>'Table 3 Levels 1&amp;2'!AL73</f>
        <v>6262.4784859426345</v>
      </c>
      <c r="E72" s="1076">
        <f t="shared" ref="E72:E75" si="59">C72*D72</f>
        <v>0</v>
      </c>
      <c r="F72" s="1076">
        <f>'Table 4 Level 3'!P71</f>
        <v>730.06</v>
      </c>
      <c r="G72" s="1076">
        <f t="shared" ref="G72:G75" si="60">C72*F72</f>
        <v>0</v>
      </c>
      <c r="H72" s="1039">
        <f t="shared" ref="H72:H75" si="61">E72+G72</f>
        <v>0</v>
      </c>
      <c r="I72" s="1419">
        <f>'[1]Oct midyear JS Clark Academy'!K72</f>
        <v>0</v>
      </c>
      <c r="J72" s="1419">
        <f>'[1]Feb midyear JS Clark Academy'!K72</f>
        <v>0</v>
      </c>
      <c r="K72" s="1419">
        <f t="shared" ref="K72:K76" si="62">I72+J72</f>
        <v>0</v>
      </c>
      <c r="L72" s="1211">
        <f t="shared" ref="L72:L76" si="63">H72+K72</f>
        <v>0</v>
      </c>
      <c r="M72" s="1086">
        <f t="shared" ref="M72:M76" si="64">-(0.25%*L72)</f>
        <v>0</v>
      </c>
      <c r="N72" s="1039">
        <f t="shared" ref="N72:N76" si="65">SUM(L72:M72)</f>
        <v>0</v>
      </c>
      <c r="O72" s="1039">
        <v>0</v>
      </c>
      <c r="P72" s="1039">
        <f t="shared" ref="P72:P75" si="66">SUM(N72:O72)</f>
        <v>0</v>
      </c>
      <c r="Q72" s="1039">
        <v>0</v>
      </c>
      <c r="R72" s="1039">
        <f t="shared" ref="R72:R75" si="67">P72-Q72</f>
        <v>0</v>
      </c>
      <c r="S72" s="1039">
        <f t="shared" ref="S72:S75" si="68">R72/2</f>
        <v>0</v>
      </c>
      <c r="T72" s="1029">
        <f>'[14]FY2012-13 Final'!K73</f>
        <v>3528</v>
      </c>
      <c r="U72" s="973">
        <f t="shared" si="58"/>
        <v>0</v>
      </c>
      <c r="V72" s="1466">
        <f>'[20]Oct midyear JS Clark Academy'!E72</f>
        <v>0</v>
      </c>
      <c r="W72" s="1444">
        <f t="shared" ref="W72:W75" si="69">V72*T72</f>
        <v>0</v>
      </c>
      <c r="X72" s="1466">
        <f>'[20]Feb midyear JS Clark Academy'!E72</f>
        <v>0</v>
      </c>
      <c r="Y72" s="1444">
        <f t="shared" ref="Y72:Y75" si="70">X72*(T72*0.5)</f>
        <v>0</v>
      </c>
      <c r="Z72" s="1444">
        <f t="shared" ref="Z72:Z75" si="71">W72+Y72</f>
        <v>0</v>
      </c>
      <c r="AA72" s="973">
        <f t="shared" ref="AA72:AA75" si="72">U72+Z72</f>
        <v>0</v>
      </c>
      <c r="AB72" s="1089">
        <f t="shared" ref="AB72:AB75" si="73">-(0.25%*AA72)</f>
        <v>0</v>
      </c>
      <c r="AC72" s="973">
        <f t="shared" ref="AC72:AC75" si="74">SUM(AA72:AB72)</f>
        <v>0</v>
      </c>
      <c r="AD72" s="973">
        <v>0</v>
      </c>
      <c r="AE72" s="973">
        <f t="shared" ref="AE72:AE75" si="75">SUM(AC72:AD72)</f>
        <v>0</v>
      </c>
      <c r="AF72" s="973">
        <f t="shared" ref="AF72:AF75" si="76">AE72/12</f>
        <v>0</v>
      </c>
      <c r="AG72" s="1214">
        <f t="shared" ref="AG72:AG75" si="77">AE72-AF72</f>
        <v>0</v>
      </c>
      <c r="AH72" s="1214">
        <f t="shared" ref="AH72:AH75" si="78">AG72/2</f>
        <v>0</v>
      </c>
      <c r="AI72" s="974">
        <f t="shared" si="56"/>
        <v>0</v>
      </c>
      <c r="AJ72" s="974">
        <f t="shared" si="57"/>
        <v>0</v>
      </c>
      <c r="AL72" s="49">
        <f t="shared" ref="AL72:AL75" si="79">AB72</f>
        <v>0</v>
      </c>
      <c r="AM72" s="49">
        <f>-'[22]Table 5C1G-JS Clark Academy'!AL72</f>
        <v>0</v>
      </c>
      <c r="AN72" s="49">
        <f>-'[21]Table 5C1G-JS Clark Academy'!P72</f>
        <v>0</v>
      </c>
      <c r="AO72" s="49">
        <f t="shared" ref="AO72:AO75" si="80">SUM(AL72:AM72)</f>
        <v>0</v>
      </c>
      <c r="AP72" s="49"/>
    </row>
    <row r="73" spans="1:44">
      <c r="A73" s="975">
        <v>67</v>
      </c>
      <c r="B73" s="976" t="s">
        <v>33</v>
      </c>
      <c r="C73" s="1171">
        <v>0</v>
      </c>
      <c r="D73" s="984">
        <f>'Table 3 Levels 1&amp;2'!AL74</f>
        <v>5059.3528695821524</v>
      </c>
      <c r="E73" s="1074">
        <f t="shared" si="59"/>
        <v>0</v>
      </c>
      <c r="F73" s="1074">
        <f>'Table 4 Level 3'!P72</f>
        <v>715.61</v>
      </c>
      <c r="G73" s="1074">
        <f t="shared" si="60"/>
        <v>0</v>
      </c>
      <c r="H73" s="1037">
        <f t="shared" si="61"/>
        <v>0</v>
      </c>
      <c r="I73" s="1417">
        <f>'[1]Oct midyear JS Clark Academy'!K73</f>
        <v>0</v>
      </c>
      <c r="J73" s="1417">
        <f>'[1]Feb midyear JS Clark Academy'!K73</f>
        <v>0</v>
      </c>
      <c r="K73" s="1417">
        <f t="shared" si="62"/>
        <v>0</v>
      </c>
      <c r="L73" s="1436">
        <f t="shared" si="63"/>
        <v>0</v>
      </c>
      <c r="M73" s="1084">
        <f t="shared" si="64"/>
        <v>0</v>
      </c>
      <c r="N73" s="1037">
        <f t="shared" si="65"/>
        <v>0</v>
      </c>
      <c r="O73" s="1037">
        <v>0</v>
      </c>
      <c r="P73" s="1037">
        <f t="shared" si="66"/>
        <v>0</v>
      </c>
      <c r="Q73" s="1037">
        <v>0</v>
      </c>
      <c r="R73" s="1037">
        <f t="shared" si="67"/>
        <v>0</v>
      </c>
      <c r="S73" s="1037">
        <f t="shared" si="68"/>
        <v>0</v>
      </c>
      <c r="T73" s="1029">
        <f>'[14]FY2012-13 Final'!K74</f>
        <v>5055</v>
      </c>
      <c r="U73" s="1031">
        <f t="shared" si="58"/>
        <v>0</v>
      </c>
      <c r="V73" s="1464">
        <f>'[20]Oct midyear JS Clark Academy'!E73</f>
        <v>0</v>
      </c>
      <c r="W73" s="1443">
        <f t="shared" si="69"/>
        <v>0</v>
      </c>
      <c r="X73" s="1474">
        <f>'[20]Feb midyear JS Clark Academy'!E73</f>
        <v>0</v>
      </c>
      <c r="Y73" s="1470">
        <f t="shared" si="70"/>
        <v>0</v>
      </c>
      <c r="Z73" s="1470">
        <f t="shared" si="71"/>
        <v>0</v>
      </c>
      <c r="AA73" s="1031">
        <f t="shared" si="72"/>
        <v>0</v>
      </c>
      <c r="AB73" s="1090">
        <f t="shared" si="73"/>
        <v>0</v>
      </c>
      <c r="AC73" s="1031">
        <f t="shared" si="74"/>
        <v>0</v>
      </c>
      <c r="AD73" s="1031">
        <v>0</v>
      </c>
      <c r="AE73" s="1031">
        <f t="shared" si="75"/>
        <v>0</v>
      </c>
      <c r="AF73" s="1031">
        <f t="shared" si="76"/>
        <v>0</v>
      </c>
      <c r="AG73" s="1448">
        <f t="shared" si="77"/>
        <v>0</v>
      </c>
      <c r="AH73" s="1448">
        <f t="shared" si="78"/>
        <v>0</v>
      </c>
      <c r="AI73" s="1032">
        <f t="shared" si="56"/>
        <v>0</v>
      </c>
      <c r="AJ73" s="1032">
        <f t="shared" si="57"/>
        <v>0</v>
      </c>
      <c r="AL73" s="49">
        <f t="shared" si="79"/>
        <v>0</v>
      </c>
      <c r="AM73" s="49">
        <f>-'[22]Table 5C1G-JS Clark Academy'!AL73</f>
        <v>0</v>
      </c>
      <c r="AN73" s="49">
        <f>-'[21]Table 5C1G-JS Clark Academy'!P73</f>
        <v>0</v>
      </c>
      <c r="AO73" s="49">
        <f t="shared" si="80"/>
        <v>0</v>
      </c>
      <c r="AP73" s="49"/>
    </row>
    <row r="74" spans="1:44">
      <c r="A74" s="975">
        <v>68</v>
      </c>
      <c r="B74" s="976" t="s">
        <v>31</v>
      </c>
      <c r="C74" s="1171">
        <v>0</v>
      </c>
      <c r="D74" s="984">
        <f>'Table 3 Levels 1&amp;2'!AL75</f>
        <v>5863.2815891318614</v>
      </c>
      <c r="E74" s="1074">
        <f t="shared" si="59"/>
        <v>0</v>
      </c>
      <c r="F74" s="1074">
        <f>'Table 4 Level 3'!P73</f>
        <v>798.7</v>
      </c>
      <c r="G74" s="1074">
        <f t="shared" si="60"/>
        <v>0</v>
      </c>
      <c r="H74" s="1037">
        <f t="shared" si="61"/>
        <v>0</v>
      </c>
      <c r="I74" s="1417">
        <f>'[1]Oct midyear JS Clark Academy'!K74</f>
        <v>0</v>
      </c>
      <c r="J74" s="1417">
        <f>'[1]Feb midyear JS Clark Academy'!K74</f>
        <v>0</v>
      </c>
      <c r="K74" s="1417">
        <f t="shared" si="62"/>
        <v>0</v>
      </c>
      <c r="L74" s="1436">
        <f t="shared" si="63"/>
        <v>0</v>
      </c>
      <c r="M74" s="1084">
        <f t="shared" si="64"/>
        <v>0</v>
      </c>
      <c r="N74" s="1037">
        <f t="shared" si="65"/>
        <v>0</v>
      </c>
      <c r="O74" s="1037">
        <v>0</v>
      </c>
      <c r="P74" s="1037">
        <f t="shared" si="66"/>
        <v>0</v>
      </c>
      <c r="Q74" s="1037">
        <v>0</v>
      </c>
      <c r="R74" s="1037">
        <f t="shared" si="67"/>
        <v>0</v>
      </c>
      <c r="S74" s="1037">
        <f t="shared" si="68"/>
        <v>0</v>
      </c>
      <c r="T74" s="1029">
        <f>'[14]FY2012-13 Final'!K75</f>
        <v>2809</v>
      </c>
      <c r="U74" s="1031">
        <f t="shared" si="58"/>
        <v>0</v>
      </c>
      <c r="V74" s="1464">
        <f>'[20]Oct midyear JS Clark Academy'!E74</f>
        <v>0</v>
      </c>
      <c r="W74" s="1443">
        <f t="shared" si="69"/>
        <v>0</v>
      </c>
      <c r="X74" s="1474">
        <f>'[20]Feb midyear JS Clark Academy'!E74</f>
        <v>0</v>
      </c>
      <c r="Y74" s="1470">
        <f t="shared" si="70"/>
        <v>0</v>
      </c>
      <c r="Z74" s="1470">
        <f t="shared" si="71"/>
        <v>0</v>
      </c>
      <c r="AA74" s="1031">
        <f t="shared" si="72"/>
        <v>0</v>
      </c>
      <c r="AB74" s="1090">
        <f t="shared" si="73"/>
        <v>0</v>
      </c>
      <c r="AC74" s="1031">
        <f t="shared" si="74"/>
        <v>0</v>
      </c>
      <c r="AD74" s="1031">
        <v>0</v>
      </c>
      <c r="AE74" s="1031">
        <f t="shared" si="75"/>
        <v>0</v>
      </c>
      <c r="AF74" s="1031">
        <f t="shared" si="76"/>
        <v>0</v>
      </c>
      <c r="AG74" s="1448">
        <f t="shared" si="77"/>
        <v>0</v>
      </c>
      <c r="AH74" s="1448">
        <f t="shared" si="78"/>
        <v>0</v>
      </c>
      <c r="AI74" s="1032">
        <f t="shared" si="56"/>
        <v>0</v>
      </c>
      <c r="AJ74" s="1032">
        <f t="shared" si="57"/>
        <v>0</v>
      </c>
      <c r="AL74" s="49">
        <f t="shared" si="79"/>
        <v>0</v>
      </c>
      <c r="AM74" s="49">
        <f>-'[22]Table 5C1G-JS Clark Academy'!AL74</f>
        <v>0</v>
      </c>
      <c r="AN74" s="49">
        <f>-'[21]Table 5C1G-JS Clark Academy'!P74</f>
        <v>0</v>
      </c>
      <c r="AO74" s="49">
        <f t="shared" si="80"/>
        <v>0</v>
      </c>
      <c r="AP74" s="49"/>
    </row>
    <row r="75" spans="1:44">
      <c r="A75" s="989">
        <v>69</v>
      </c>
      <c r="B75" s="990" t="s">
        <v>229</v>
      </c>
      <c r="C75" s="1174">
        <v>0</v>
      </c>
      <c r="D75" s="992">
        <f>'Table 3 Levels 1&amp;2'!AL76</f>
        <v>5520.7940729790862</v>
      </c>
      <c r="E75" s="1077">
        <f t="shared" si="59"/>
        <v>0</v>
      </c>
      <c r="F75" s="1077">
        <f>'Table 4 Level 3'!P74</f>
        <v>705.67</v>
      </c>
      <c r="G75" s="1077">
        <f t="shared" si="60"/>
        <v>0</v>
      </c>
      <c r="H75" s="1040">
        <f t="shared" si="61"/>
        <v>0</v>
      </c>
      <c r="I75" s="1420">
        <f>'[1]Oct midyear JS Clark Academy'!K75</f>
        <v>0</v>
      </c>
      <c r="J75" s="1420">
        <f>'[1]Feb midyear JS Clark Academy'!K75</f>
        <v>0</v>
      </c>
      <c r="K75" s="1420">
        <f t="shared" si="62"/>
        <v>0</v>
      </c>
      <c r="L75" s="1438">
        <f t="shared" si="63"/>
        <v>0</v>
      </c>
      <c r="M75" s="1087">
        <f t="shared" si="64"/>
        <v>0</v>
      </c>
      <c r="N75" s="1040">
        <f t="shared" si="65"/>
        <v>0</v>
      </c>
      <c r="O75" s="1040">
        <v>0</v>
      </c>
      <c r="P75" s="1040">
        <f t="shared" si="66"/>
        <v>0</v>
      </c>
      <c r="Q75" s="1040">
        <v>0</v>
      </c>
      <c r="R75" s="1040">
        <f t="shared" si="67"/>
        <v>0</v>
      </c>
      <c r="S75" s="1040">
        <f t="shared" si="68"/>
        <v>0</v>
      </c>
      <c r="T75" s="1029">
        <f>'[14]FY2012-13 Final'!K76</f>
        <v>3329</v>
      </c>
      <c r="U75" s="1041">
        <f t="shared" si="58"/>
        <v>0</v>
      </c>
      <c r="V75" s="1467">
        <f>'[20]Oct midyear JS Clark Academy'!E75</f>
        <v>0</v>
      </c>
      <c r="W75" s="1446">
        <f t="shared" si="69"/>
        <v>0</v>
      </c>
      <c r="X75" s="1476">
        <f>'[20]Feb midyear JS Clark Academy'!E75</f>
        <v>0</v>
      </c>
      <c r="Y75" s="1472">
        <f t="shared" si="70"/>
        <v>0</v>
      </c>
      <c r="Z75" s="1472">
        <f t="shared" si="71"/>
        <v>0</v>
      </c>
      <c r="AA75" s="1041">
        <f t="shared" si="72"/>
        <v>0</v>
      </c>
      <c r="AB75" s="1092">
        <f t="shared" si="73"/>
        <v>0</v>
      </c>
      <c r="AC75" s="1041">
        <f t="shared" si="74"/>
        <v>0</v>
      </c>
      <c r="AD75" s="1041">
        <v>0</v>
      </c>
      <c r="AE75" s="1041">
        <f t="shared" si="75"/>
        <v>0</v>
      </c>
      <c r="AF75" s="1041">
        <f t="shared" si="76"/>
        <v>0</v>
      </c>
      <c r="AG75" s="1041">
        <f t="shared" si="77"/>
        <v>0</v>
      </c>
      <c r="AH75" s="1041">
        <f t="shared" si="78"/>
        <v>0</v>
      </c>
      <c r="AI75" s="1042">
        <f t="shared" si="56"/>
        <v>0</v>
      </c>
      <c r="AJ75" s="1042">
        <f t="shared" si="57"/>
        <v>0</v>
      </c>
      <c r="AL75" s="49">
        <f t="shared" si="79"/>
        <v>0</v>
      </c>
      <c r="AM75" s="49">
        <f>-'[22]Table 5C1G-JS Clark Academy'!AL75</f>
        <v>0</v>
      </c>
      <c r="AN75" s="49">
        <f>-'[21]Table 5C1G-JS Clark Academy'!P75</f>
        <v>0</v>
      </c>
      <c r="AO75" s="49">
        <f t="shared" si="80"/>
        <v>0</v>
      </c>
      <c r="AP75" s="49"/>
    </row>
    <row r="76" spans="1:44" ht="13.5" thickBot="1">
      <c r="A76" s="993"/>
      <c r="B76" s="994" t="s">
        <v>167</v>
      </c>
      <c r="C76" s="995">
        <f>SUM(C7:C75)</f>
        <v>180</v>
      </c>
      <c r="D76" s="996">
        <f>'Table 3 Levels 1&amp;2'!AL77</f>
        <v>4336.5032257801222</v>
      </c>
      <c r="E76" s="1078">
        <f>SUM(E7:E75)</f>
        <v>867450.99355149188</v>
      </c>
      <c r="F76" s="1078">
        <f>'Table 4 Level 3'!P75</f>
        <v>703.90028204588873</v>
      </c>
      <c r="G76" s="1078">
        <f t="shared" ref="G76:R76" si="81">SUM(G7:G75)</f>
        <v>103399.19999999998</v>
      </c>
      <c r="H76" s="997">
        <f t="shared" si="81"/>
        <v>970850.19355149183</v>
      </c>
      <c r="I76" s="1421">
        <f t="shared" si="81"/>
        <v>-6867.128214085069</v>
      </c>
      <c r="J76" s="1421">
        <f t="shared" ref="J76" si="82">SUM(J7:J75)</f>
        <v>-29664.867025184471</v>
      </c>
      <c r="K76" s="1421">
        <f t="shared" si="62"/>
        <v>-36531.995239269541</v>
      </c>
      <c r="L76" s="1212">
        <f t="shared" si="63"/>
        <v>934318.19831222226</v>
      </c>
      <c r="M76" s="1088">
        <f t="shared" si="64"/>
        <v>-2335.7954957805555</v>
      </c>
      <c r="N76" s="997">
        <f t="shared" si="65"/>
        <v>931982.40281644173</v>
      </c>
      <c r="O76" s="997">
        <f t="shared" si="81"/>
        <v>0</v>
      </c>
      <c r="P76" s="997">
        <f t="shared" si="81"/>
        <v>931982.40281644173</v>
      </c>
      <c r="Q76" s="997">
        <f t="shared" si="81"/>
        <v>786020</v>
      </c>
      <c r="R76" s="997">
        <f t="shared" si="81"/>
        <v>145962.40281644173</v>
      </c>
      <c r="S76" s="997">
        <f>SUM(S7:S75)</f>
        <v>72981.201408220863</v>
      </c>
      <c r="T76" s="1043"/>
      <c r="U76" s="998">
        <f t="shared" ref="U76:AJ76" si="83">SUM(U7:U75)</f>
        <v>422100</v>
      </c>
      <c r="V76" s="1477">
        <f>SUM(V7:V75)</f>
        <v>-1</v>
      </c>
      <c r="W76" s="1352">
        <f t="shared" ref="W76:AA76" si="84">SUM(W7:W75)</f>
        <v>648</v>
      </c>
      <c r="X76" s="1484">
        <f>SUM(X7:X75)</f>
        <v>-11</v>
      </c>
      <c r="Y76" s="1486">
        <f>SUM(Y7:Y75)</f>
        <v>-12897.5</v>
      </c>
      <c r="Z76" s="1486">
        <f>SUM(Z7:Z75)</f>
        <v>-12249.5</v>
      </c>
      <c r="AA76" s="1352">
        <f t="shared" si="84"/>
        <v>409850.5</v>
      </c>
      <c r="AB76" s="1093">
        <f t="shared" si="83"/>
        <v>-1024.62625</v>
      </c>
      <c r="AC76" s="998">
        <f t="shared" si="83"/>
        <v>408825.87375000003</v>
      </c>
      <c r="AD76" s="998">
        <f t="shared" si="83"/>
        <v>0</v>
      </c>
      <c r="AE76" s="998">
        <f t="shared" si="83"/>
        <v>408825.87375000003</v>
      </c>
      <c r="AF76" s="998">
        <f t="shared" si="83"/>
        <v>342756</v>
      </c>
      <c r="AG76" s="998">
        <f t="shared" si="83"/>
        <v>66069.873749999999</v>
      </c>
      <c r="AH76" s="998">
        <f t="shared" si="83"/>
        <v>33034.936874999999</v>
      </c>
      <c r="AI76" s="999">
        <f t="shared" si="83"/>
        <v>1340808.2765664416</v>
      </c>
      <c r="AJ76" s="999">
        <f t="shared" si="83"/>
        <v>106016.13828322086</v>
      </c>
      <c r="AL76" s="49">
        <f>SUM(AL7:AL75)</f>
        <v>-1024.62625</v>
      </c>
      <c r="AM76" s="49">
        <f>SUM(AM7:AM75)</f>
        <v>1020.27625</v>
      </c>
      <c r="AN76" s="49">
        <f t="shared" ref="AN76:AO76" si="85">SUM(AN7:AN75)</f>
        <v>1046.7</v>
      </c>
      <c r="AO76" s="49">
        <f t="shared" si="85"/>
        <v>-4.3499999999999996</v>
      </c>
      <c r="AP76" s="49"/>
    </row>
    <row r="77" spans="1:44" ht="13.5" hidden="1" thickTop="1">
      <c r="D77">
        <f>'Table 3 Levels 1&amp;2'!AL77</f>
        <v>4336.5032257801222</v>
      </c>
      <c r="I77" s="8"/>
      <c r="J77" s="8"/>
      <c r="K77" s="8"/>
      <c r="L77" s="1424"/>
      <c r="AP77" s="1542"/>
      <c r="AQ77" s="1542"/>
      <c r="AR77" s="1542"/>
    </row>
    <row r="78" spans="1:44" hidden="1">
      <c r="M78" s="804" t="s">
        <v>1416</v>
      </c>
      <c r="N78" s="49">
        <f>M76</f>
        <v>-2335.7954957805555</v>
      </c>
    </row>
    <row r="79" spans="1:44" hidden="1">
      <c r="M79" s="804" t="s">
        <v>1274</v>
      </c>
      <c r="N79" s="49">
        <f>-'[22]Table 5C1G-JS Clark Academy'!$N$78</f>
        <v>2327.5582628827428</v>
      </c>
    </row>
    <row r="80" spans="1:44" hidden="1">
      <c r="M80" s="804" t="s">
        <v>1275</v>
      </c>
      <c r="N80" s="49">
        <f>-'[21]Table 5C1G-JS Clark Academy'!$I$76</f>
        <v>2418.59574652847</v>
      </c>
    </row>
    <row r="81" spans="13:14" hidden="1">
      <c r="M81" s="804" t="s">
        <v>1276</v>
      </c>
      <c r="N81" s="49">
        <f>SUM(N78:N79)</f>
        <v>-8.2372328978126461</v>
      </c>
    </row>
    <row r="82" spans="13:14" hidden="1"/>
    <row r="83" spans="13:14" hidden="1"/>
    <row r="84" spans="13:14" ht="13.5" thickTop="1"/>
  </sheetData>
  <mergeCells count="35">
    <mergeCell ref="A2:B4"/>
    <mergeCell ref="C2:S2"/>
    <mergeCell ref="T2:AH2"/>
    <mergeCell ref="L3:L4"/>
    <mergeCell ref="V3:V4"/>
    <mergeCell ref="W3:W4"/>
    <mergeCell ref="AA3:AA4"/>
    <mergeCell ref="Q3:Q4"/>
    <mergeCell ref="R3:R4"/>
    <mergeCell ref="Y3:Y4"/>
    <mergeCell ref="Z3:Z4"/>
    <mergeCell ref="U3:U4"/>
    <mergeCell ref="AC3:AC4"/>
    <mergeCell ref="AD3:AD4"/>
    <mergeCell ref="AE3:AE4"/>
    <mergeCell ref="H3:H4"/>
    <mergeCell ref="X3:X4"/>
    <mergeCell ref="P3:P4"/>
    <mergeCell ref="S3:S4"/>
    <mergeCell ref="T3:T4"/>
    <mergeCell ref="C3:C4"/>
    <mergeCell ref="D3:D4"/>
    <mergeCell ref="E3:E4"/>
    <mergeCell ref="F3:F4"/>
    <mergeCell ref="G3:G4"/>
    <mergeCell ref="N3:N4"/>
    <mergeCell ref="O3:O4"/>
    <mergeCell ref="I3:I4"/>
    <mergeCell ref="J3:J4"/>
    <mergeCell ref="K3:K4"/>
    <mergeCell ref="AF3:AF4"/>
    <mergeCell ref="AG3:AG4"/>
    <mergeCell ref="AH3:AH4"/>
    <mergeCell ref="AI2:AI4"/>
    <mergeCell ref="AJ2:AJ4"/>
  </mergeCells>
  <pageMargins left="0.36" right="0.42" top="0.75" bottom="0.75" header="0.3" footer="0.3"/>
  <pageSetup paperSize="5" scale="60" firstPageNumber="62" orientation="portrait" useFirstPageNumber="1" r:id="rId1"/>
  <headerFooter>
    <oddHeader>&amp;L&amp;"Arial,Bold"&amp;20Table 5C1-G: FY2012-13 MFP Budget Letter
J.S. Clark Leadership  Academy (May 2013)</oddHeader>
    <oddFooter>&amp;R&amp;P</oddFooter>
  </headerFooter>
  <colBreaks count="3" manualBreakCount="3">
    <brk id="12" min="1" max="75" man="1"/>
    <brk id="19" max="1048575" man="1"/>
    <brk id="29" min="1" max="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3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8.5703125" bestFit="1" customWidth="1"/>
    <col min="3" max="3" width="11.7109375" bestFit="1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3.28515625" customWidth="1"/>
    <col min="10" max="10" width="13.42578125" customWidth="1"/>
    <col min="11" max="11" width="12.28515625" customWidth="1"/>
    <col min="12" max="12" width="14.28515625" customWidth="1"/>
    <col min="13" max="13" width="12.28515625" customWidth="1"/>
    <col min="14" max="14" width="12" bestFit="1" customWidth="1"/>
    <col min="15" max="15" width="13.42578125" bestFit="1" customWidth="1"/>
    <col min="16" max="18" width="14" customWidth="1"/>
    <col min="19" max="19" width="9.28515625" bestFit="1" customWidth="1"/>
    <col min="20" max="20" width="15.42578125" bestFit="1" customWidth="1"/>
    <col min="21" max="21" width="11" bestFit="1" customWidth="1"/>
    <col min="22" max="26" width="13.42578125" customWidth="1"/>
    <col min="27" max="27" width="12" bestFit="1" customWidth="1"/>
    <col min="28" max="28" width="10.85546875" bestFit="1" customWidth="1"/>
    <col min="29" max="29" width="12" bestFit="1" customWidth="1"/>
    <col min="30" max="30" width="13.42578125" bestFit="1" customWidth="1"/>
    <col min="31" max="33" width="13.140625" customWidth="1"/>
    <col min="34" max="34" width="12" customWidth="1"/>
    <col min="35" max="35" width="11" customWidth="1"/>
    <col min="36" max="36" width="12.140625" customWidth="1"/>
    <col min="37" max="37" width="3.140625" customWidth="1"/>
    <col min="38" max="41" width="0" hidden="1" customWidth="1"/>
    <col min="44" max="44" width="10.5703125" bestFit="1" customWidth="1"/>
  </cols>
  <sheetData>
    <row r="1" spans="1:41"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41" ht="45" customHeight="1">
      <c r="A2" s="2021" t="s">
        <v>1021</v>
      </c>
      <c r="B2" s="2022"/>
      <c r="C2" s="2041" t="s">
        <v>1002</v>
      </c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  <c r="O2" s="2042"/>
      <c r="P2" s="2042"/>
      <c r="Q2" s="2042"/>
      <c r="R2" s="2042"/>
      <c r="S2" s="2043"/>
      <c r="T2" s="1926" t="s">
        <v>701</v>
      </c>
      <c r="U2" s="1927"/>
      <c r="V2" s="1927"/>
      <c r="W2" s="1927"/>
      <c r="X2" s="2032"/>
      <c r="Y2" s="2032"/>
      <c r="Z2" s="2032"/>
      <c r="AA2" s="1927"/>
      <c r="AB2" s="1927"/>
      <c r="AC2" s="1927"/>
      <c r="AD2" s="1927"/>
      <c r="AE2" s="1927"/>
      <c r="AF2" s="1927"/>
      <c r="AG2" s="1927"/>
      <c r="AH2" s="1928"/>
      <c r="AI2" s="1914" t="s">
        <v>1124</v>
      </c>
      <c r="AJ2" s="1914" t="s">
        <v>1106</v>
      </c>
    </row>
    <row r="3" spans="1:41" ht="126.75" customHeight="1">
      <c r="A3" s="2023"/>
      <c r="B3" s="2024"/>
      <c r="C3" s="1911" t="s">
        <v>988</v>
      </c>
      <c r="D3" s="1913" t="s">
        <v>726</v>
      </c>
      <c r="E3" s="1913" t="s">
        <v>1116</v>
      </c>
      <c r="F3" s="1911" t="s">
        <v>1003</v>
      </c>
      <c r="G3" s="1911" t="s">
        <v>702</v>
      </c>
      <c r="H3" s="1911" t="s">
        <v>1117</v>
      </c>
      <c r="I3" s="2027" t="s">
        <v>1190</v>
      </c>
      <c r="J3" s="2027" t="s">
        <v>1206</v>
      </c>
      <c r="K3" s="2027" t="s">
        <v>1207</v>
      </c>
      <c r="L3" s="2028" t="s">
        <v>1203</v>
      </c>
      <c r="M3" s="1199" t="s">
        <v>723</v>
      </c>
      <c r="N3" s="1911" t="s">
        <v>1118</v>
      </c>
      <c r="O3" s="1911" t="s">
        <v>990</v>
      </c>
      <c r="P3" s="1911" t="s">
        <v>1119</v>
      </c>
      <c r="Q3" s="1924" t="s">
        <v>1329</v>
      </c>
      <c r="R3" s="1924" t="s">
        <v>1403</v>
      </c>
      <c r="S3" s="1913" t="s">
        <v>1120</v>
      </c>
      <c r="T3" s="1917" t="s">
        <v>1265</v>
      </c>
      <c r="U3" s="2033" t="s">
        <v>1121</v>
      </c>
      <c r="V3" s="2030" t="s">
        <v>1218</v>
      </c>
      <c r="W3" s="2030" t="s">
        <v>1196</v>
      </c>
      <c r="X3" s="2030" t="s">
        <v>1219</v>
      </c>
      <c r="Y3" s="2030" t="s">
        <v>1220</v>
      </c>
      <c r="Z3" s="2030" t="s">
        <v>1194</v>
      </c>
      <c r="AA3" s="1917" t="s">
        <v>1269</v>
      </c>
      <c r="AB3" s="1409" t="s">
        <v>724</v>
      </c>
      <c r="AC3" s="1917" t="s">
        <v>725</v>
      </c>
      <c r="AD3" s="1917" t="s">
        <v>990</v>
      </c>
      <c r="AE3" s="1917" t="s">
        <v>1122</v>
      </c>
      <c r="AF3" s="2033" t="s">
        <v>1330</v>
      </c>
      <c r="AG3" s="2033" t="s">
        <v>1403</v>
      </c>
      <c r="AH3" s="2033" t="s">
        <v>1217</v>
      </c>
      <c r="AI3" s="1915"/>
      <c r="AJ3" s="1915"/>
    </row>
    <row r="4" spans="1:41" ht="32.25" customHeight="1">
      <c r="A4" s="2025"/>
      <c r="B4" s="2026"/>
      <c r="C4" s="1912"/>
      <c r="D4" s="1913"/>
      <c r="E4" s="1913"/>
      <c r="F4" s="1912"/>
      <c r="G4" s="1912"/>
      <c r="H4" s="1912"/>
      <c r="I4" s="1827"/>
      <c r="J4" s="1827"/>
      <c r="K4" s="1827"/>
      <c r="L4" s="2029"/>
      <c r="M4" s="1079">
        <v>2.5000000000000001E-3</v>
      </c>
      <c r="N4" s="1912"/>
      <c r="O4" s="1912"/>
      <c r="P4" s="1912"/>
      <c r="Q4" s="1912"/>
      <c r="R4" s="1912"/>
      <c r="S4" s="1913"/>
      <c r="T4" s="1918"/>
      <c r="U4" s="1918"/>
      <c r="V4" s="2031"/>
      <c r="W4" s="2031"/>
      <c r="X4" s="2031"/>
      <c r="Y4" s="2031"/>
      <c r="Z4" s="2031"/>
      <c r="AA4" s="1918"/>
      <c r="AB4" s="1080">
        <v>2.5000000000000001E-3</v>
      </c>
      <c r="AC4" s="1918"/>
      <c r="AD4" s="1918"/>
      <c r="AE4" s="1918"/>
      <c r="AF4" s="1918"/>
      <c r="AG4" s="1918"/>
      <c r="AH4" s="1918"/>
      <c r="AI4" s="1916"/>
      <c r="AJ4" s="1916"/>
      <c r="AL4" s="1578" t="s">
        <v>1414</v>
      </c>
      <c r="AM4" s="1578" t="s">
        <v>1259</v>
      </c>
      <c r="AN4" s="1579" t="s">
        <v>1260</v>
      </c>
      <c r="AO4" s="1580" t="s">
        <v>1261</v>
      </c>
    </row>
    <row r="5" spans="1:41" ht="14.25" customHeight="1">
      <c r="A5" s="964"/>
      <c r="B5" s="965"/>
      <c r="C5" s="966">
        <v>1</v>
      </c>
      <c r="D5" s="966">
        <f t="shared" ref="D5" si="0">C5+1</f>
        <v>2</v>
      </c>
      <c r="E5" s="966">
        <f>D5+1</f>
        <v>3</v>
      </c>
      <c r="F5" s="966">
        <f t="shared" ref="F5:H5" si="1">E5+1</f>
        <v>4</v>
      </c>
      <c r="G5" s="966">
        <f t="shared" si="1"/>
        <v>5</v>
      </c>
      <c r="H5" s="966">
        <f t="shared" si="1"/>
        <v>6</v>
      </c>
      <c r="I5" s="966">
        <f t="shared" ref="I5" si="2">H5+1</f>
        <v>7</v>
      </c>
      <c r="J5" s="966">
        <f t="shared" ref="J5" si="3">I5+1</f>
        <v>8</v>
      </c>
      <c r="K5" s="966">
        <f t="shared" ref="K5" si="4">J5+1</f>
        <v>9</v>
      </c>
      <c r="L5" s="966">
        <f t="shared" ref="L5" si="5">K5+1</f>
        <v>10</v>
      </c>
      <c r="M5" s="966">
        <f t="shared" ref="M5" si="6">L5+1</f>
        <v>11</v>
      </c>
      <c r="N5" s="966">
        <f t="shared" ref="N5" si="7">M5+1</f>
        <v>12</v>
      </c>
      <c r="O5" s="966">
        <f t="shared" ref="O5" si="8">N5+1</f>
        <v>13</v>
      </c>
      <c r="P5" s="966">
        <f t="shared" ref="P5" si="9">O5+1</f>
        <v>14</v>
      </c>
      <c r="Q5" s="966">
        <f t="shared" ref="Q5" si="10">P5+1</f>
        <v>15</v>
      </c>
      <c r="R5" s="966">
        <f t="shared" ref="R5" si="11">Q5+1</f>
        <v>16</v>
      </c>
      <c r="S5" s="966">
        <f t="shared" ref="S5" si="12">R5+1</f>
        <v>17</v>
      </c>
      <c r="T5" s="966">
        <f t="shared" ref="T5" si="13">S5+1</f>
        <v>18</v>
      </c>
      <c r="U5" s="966">
        <f t="shared" ref="U5" si="14">T5+1</f>
        <v>19</v>
      </c>
      <c r="V5" s="966">
        <f t="shared" ref="V5" si="15">U5+1</f>
        <v>20</v>
      </c>
      <c r="W5" s="966">
        <f t="shared" ref="W5" si="16">V5+1</f>
        <v>21</v>
      </c>
      <c r="X5" s="966">
        <f t="shared" ref="X5" si="17">W5+1</f>
        <v>22</v>
      </c>
      <c r="Y5" s="966">
        <f t="shared" ref="Y5" si="18">X5+1</f>
        <v>23</v>
      </c>
      <c r="Z5" s="966">
        <f t="shared" ref="Z5" si="19">Y5+1</f>
        <v>24</v>
      </c>
      <c r="AA5" s="966">
        <f t="shared" ref="AA5" si="20">Z5+1</f>
        <v>25</v>
      </c>
      <c r="AB5" s="966">
        <f t="shared" ref="AB5" si="21">AA5+1</f>
        <v>26</v>
      </c>
      <c r="AC5" s="966">
        <f t="shared" ref="AC5" si="22">AB5+1</f>
        <v>27</v>
      </c>
      <c r="AD5" s="966">
        <f t="shared" ref="AD5" si="23">AC5+1</f>
        <v>28</v>
      </c>
      <c r="AE5" s="966">
        <f t="shared" ref="AE5" si="24">AD5+1</f>
        <v>29</v>
      </c>
      <c r="AF5" s="966">
        <f t="shared" ref="AF5" si="25">AE5+1</f>
        <v>30</v>
      </c>
      <c r="AG5" s="966">
        <f t="shared" ref="AG5" si="26">AF5+1</f>
        <v>31</v>
      </c>
      <c r="AH5" s="966">
        <f t="shared" ref="AH5" si="27">AG5+1</f>
        <v>32</v>
      </c>
      <c r="AI5" s="966">
        <f t="shared" ref="AI5" si="28">AH5+1</f>
        <v>33</v>
      </c>
      <c r="AJ5" s="966">
        <f t="shared" ref="AJ5" si="29">AI5+1</f>
        <v>34</v>
      </c>
    </row>
    <row r="6" spans="1:41" ht="27" customHeight="1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401"/>
      <c r="Y6" s="1401"/>
      <c r="Z6" s="1401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</row>
    <row r="7" spans="1:41">
      <c r="A7" s="968">
        <v>1</v>
      </c>
      <c r="B7" s="969" t="s">
        <v>102</v>
      </c>
      <c r="C7" s="970">
        <v>0</v>
      </c>
      <c r="D7" s="971">
        <f>'Table 3 Levels 1&amp;2'!AL8</f>
        <v>4637.919706737428</v>
      </c>
      <c r="E7" s="1071">
        <f>C7*D7</f>
        <v>0</v>
      </c>
      <c r="F7" s="1071">
        <f>'Table 4 Level 3'!P6</f>
        <v>777.48</v>
      </c>
      <c r="G7" s="1071">
        <f>C7*F7</f>
        <v>0</v>
      </c>
      <c r="H7" s="972">
        <f>E7+G7</f>
        <v>0</v>
      </c>
      <c r="I7" s="1414">
        <f>'[1]Oct midyear Southwest LA Chtr'!K7</f>
        <v>0</v>
      </c>
      <c r="J7" s="1414">
        <f>'[1]Feb midyear Southwest LA Ch '!K7</f>
        <v>0</v>
      </c>
      <c r="K7" s="1414">
        <f>I7+J7</f>
        <v>0</v>
      </c>
      <c r="L7" s="1213">
        <f>H7+K7</f>
        <v>0</v>
      </c>
      <c r="M7" s="1081">
        <f>-(0.25%*L7)</f>
        <v>0</v>
      </c>
      <c r="N7" s="972">
        <f>SUM(L7:M7)</f>
        <v>0</v>
      </c>
      <c r="O7" s="972">
        <v>0</v>
      </c>
      <c r="P7" s="972">
        <f>SUM(N7:O7)</f>
        <v>0</v>
      </c>
      <c r="Q7" s="972">
        <v>0</v>
      </c>
      <c r="R7" s="972">
        <f>P7-Q7</f>
        <v>0</v>
      </c>
      <c r="S7" s="972">
        <f>R7/2</f>
        <v>0</v>
      </c>
      <c r="T7" s="1029">
        <f>'[14]FY2012-13 Final'!K8</f>
        <v>2115</v>
      </c>
      <c r="U7" s="973">
        <f t="shared" ref="U7:U38" si="30">C7*T7</f>
        <v>0</v>
      </c>
      <c r="V7" s="1354">
        <f>'[20]Oct midyear Southwest LA Chtr'!E7</f>
        <v>0</v>
      </c>
      <c r="W7" s="1444">
        <f>V7*T7</f>
        <v>0</v>
      </c>
      <c r="X7" s="1466">
        <f>'[20]Feb midyear Southwest LA Ch '!E7</f>
        <v>0</v>
      </c>
      <c r="Y7" s="1444">
        <f>X7*(T7*0.5)</f>
        <v>0</v>
      </c>
      <c r="Z7" s="1444">
        <f>W7+Y7</f>
        <v>0</v>
      </c>
      <c r="AA7" s="973">
        <f>U7+Z7</f>
        <v>0</v>
      </c>
      <c r="AB7" s="1089">
        <f>-(0.25%*AA7)</f>
        <v>0</v>
      </c>
      <c r="AC7" s="973">
        <f>SUM(AA7:AB7)</f>
        <v>0</v>
      </c>
      <c r="AD7" s="973">
        <v>0</v>
      </c>
      <c r="AE7" s="973">
        <f>SUM(AC7:AD7)</f>
        <v>0</v>
      </c>
      <c r="AF7" s="973">
        <v>0</v>
      </c>
      <c r="AG7" s="973">
        <f>AE7-AF7</f>
        <v>0</v>
      </c>
      <c r="AH7" s="973">
        <f>AG7/2</f>
        <v>0</v>
      </c>
      <c r="AI7" s="974">
        <f t="shared" ref="AI7:AI38" si="31">P7+AE7</f>
        <v>0</v>
      </c>
      <c r="AJ7" s="974">
        <f t="shared" ref="AJ7:AJ38" si="32">S7+AH7</f>
        <v>0</v>
      </c>
      <c r="AL7" s="49">
        <f>AB7</f>
        <v>0</v>
      </c>
      <c r="AM7" s="49">
        <f>-'[22]Table 5C1H-Southwest LA Charter'!AL7</f>
        <v>0</v>
      </c>
      <c r="AN7" s="49">
        <f>-'[21]Table 5C1H-Southwest LA Charter'!P7</f>
        <v>0</v>
      </c>
      <c r="AO7" s="49">
        <f>SUM(AL7:AM7)</f>
        <v>0</v>
      </c>
    </row>
    <row r="8" spans="1:41">
      <c r="A8" s="975">
        <v>2</v>
      </c>
      <c r="B8" s="976" t="s">
        <v>103</v>
      </c>
      <c r="C8" s="1168">
        <v>0</v>
      </c>
      <c r="D8" s="978">
        <f>'Table 3 Levels 1&amp;2'!AL9</f>
        <v>6149.545926426621</v>
      </c>
      <c r="E8" s="1072">
        <f t="shared" ref="E8:E71" si="33">C8*D8</f>
        <v>0</v>
      </c>
      <c r="F8" s="1072">
        <f>'Table 4 Level 3'!P7</f>
        <v>842.32</v>
      </c>
      <c r="G8" s="1072">
        <f t="shared" ref="G8:G71" si="34">C8*F8</f>
        <v>0</v>
      </c>
      <c r="H8" s="1030">
        <f t="shared" ref="H8:H71" si="35">E8+G8</f>
        <v>0</v>
      </c>
      <c r="I8" s="1415">
        <f>'[1]Oct midyear Southwest LA Chtr'!K8</f>
        <v>0</v>
      </c>
      <c r="J8" s="1415">
        <f>'[1]Feb midyear Southwest LA Ch '!K8</f>
        <v>0</v>
      </c>
      <c r="K8" s="1415">
        <f t="shared" ref="K8:K71" si="36">I8+J8</f>
        <v>0</v>
      </c>
      <c r="L8" s="1434">
        <f t="shared" ref="L8:L71" si="37">H8+K8</f>
        <v>0</v>
      </c>
      <c r="M8" s="1082">
        <f t="shared" ref="M8:M71" si="38">-(0.25%*L8)</f>
        <v>0</v>
      </c>
      <c r="N8" s="1030">
        <f t="shared" ref="N8:N71" si="39">SUM(L8:M8)</f>
        <v>0</v>
      </c>
      <c r="O8" s="1030">
        <v>0</v>
      </c>
      <c r="P8" s="1030">
        <f t="shared" ref="P8:P71" si="40">SUM(N8:O8)</f>
        <v>0</v>
      </c>
      <c r="Q8" s="1030">
        <v>0</v>
      </c>
      <c r="R8" s="1030">
        <f t="shared" ref="R8:R71" si="41">P8-Q8</f>
        <v>0</v>
      </c>
      <c r="S8" s="1030">
        <f t="shared" ref="S8:S71" si="42">R8/2</f>
        <v>0</v>
      </c>
      <c r="T8" s="1029">
        <f>'[14]FY2012-13 Final'!K9</f>
        <v>2584</v>
      </c>
      <c r="U8" s="1031">
        <f t="shared" si="30"/>
        <v>0</v>
      </c>
      <c r="V8" s="1464">
        <f>'[20]Oct midyear Southwest LA Chtr'!E8</f>
        <v>0</v>
      </c>
      <c r="W8" s="1443">
        <f t="shared" ref="W8:W71" si="43">V8*T8</f>
        <v>0</v>
      </c>
      <c r="X8" s="1474">
        <f>'[20]Feb midyear Southwest LA Ch '!E8</f>
        <v>0</v>
      </c>
      <c r="Y8" s="1470">
        <f t="shared" ref="Y8:Y71" si="44">X8*(T8*0.5)</f>
        <v>0</v>
      </c>
      <c r="Z8" s="1470">
        <f t="shared" ref="Z8:Z71" si="45">W8+Y8</f>
        <v>0</v>
      </c>
      <c r="AA8" s="1031">
        <f t="shared" ref="AA8:AA71" si="46">U8+Z8</f>
        <v>0</v>
      </c>
      <c r="AB8" s="1090">
        <f t="shared" ref="AB8:AB71" si="47">-(0.25%*AA8)</f>
        <v>0</v>
      </c>
      <c r="AC8" s="1031">
        <f t="shared" ref="AC8:AC71" si="48">SUM(AA8:AB8)</f>
        <v>0</v>
      </c>
      <c r="AD8" s="1031">
        <v>0</v>
      </c>
      <c r="AE8" s="1031">
        <f t="shared" ref="AE8:AE71" si="49">SUM(AC8:AD8)</f>
        <v>0</v>
      </c>
      <c r="AF8" s="1031">
        <v>0</v>
      </c>
      <c r="AG8" s="1031">
        <f t="shared" ref="AG8:AG71" si="50">AE8-AF8</f>
        <v>0</v>
      </c>
      <c r="AH8" s="1031">
        <f t="shared" ref="AH8:AH71" si="51">AG8/2</f>
        <v>0</v>
      </c>
      <c r="AI8" s="1032">
        <f t="shared" si="31"/>
        <v>0</v>
      </c>
      <c r="AJ8" s="1032">
        <f t="shared" si="32"/>
        <v>0</v>
      </c>
      <c r="AL8" s="49">
        <f t="shared" ref="AL8:AL71" si="52">AB8</f>
        <v>0</v>
      </c>
      <c r="AM8" s="49">
        <f>-'[22]Table 5C1H-Southwest LA Charter'!AL8</f>
        <v>0</v>
      </c>
      <c r="AN8" s="49">
        <f>-'[21]Table 5C1H-Southwest LA Charter'!P8</f>
        <v>0</v>
      </c>
      <c r="AO8" s="49">
        <f t="shared" ref="AO8:AO71" si="53">SUM(AL8:AM8)</f>
        <v>0</v>
      </c>
    </row>
    <row r="9" spans="1:41">
      <c r="A9" s="975">
        <v>3</v>
      </c>
      <c r="B9" s="976" t="s">
        <v>104</v>
      </c>
      <c r="C9" s="1168">
        <v>0</v>
      </c>
      <c r="D9" s="978">
        <f>'Table 3 Levels 1&amp;2'!AL10</f>
        <v>4340.9401078757892</v>
      </c>
      <c r="E9" s="1072">
        <f t="shared" si="33"/>
        <v>0</v>
      </c>
      <c r="F9" s="1072">
        <f>'Table 4 Level 3'!P8</f>
        <v>596.84</v>
      </c>
      <c r="G9" s="1072">
        <f t="shared" si="34"/>
        <v>0</v>
      </c>
      <c r="H9" s="1030">
        <f t="shared" si="35"/>
        <v>0</v>
      </c>
      <c r="I9" s="1415">
        <f>'[1]Oct midyear Southwest LA Chtr'!K9</f>
        <v>0</v>
      </c>
      <c r="J9" s="1415">
        <f>'[1]Feb midyear Southwest LA Ch '!K9</f>
        <v>0</v>
      </c>
      <c r="K9" s="1415">
        <f t="shared" si="36"/>
        <v>0</v>
      </c>
      <c r="L9" s="1434">
        <f t="shared" si="37"/>
        <v>0</v>
      </c>
      <c r="M9" s="1082">
        <f t="shared" si="38"/>
        <v>0</v>
      </c>
      <c r="N9" s="1030">
        <f t="shared" si="39"/>
        <v>0</v>
      </c>
      <c r="O9" s="1030">
        <v>0</v>
      </c>
      <c r="P9" s="1030">
        <f t="shared" si="40"/>
        <v>0</v>
      </c>
      <c r="Q9" s="1030">
        <v>0</v>
      </c>
      <c r="R9" s="1030">
        <f t="shared" si="41"/>
        <v>0</v>
      </c>
      <c r="S9" s="1030">
        <f t="shared" si="42"/>
        <v>0</v>
      </c>
      <c r="T9" s="1029">
        <f>'[14]FY2012-13 Final'!K10</f>
        <v>4977</v>
      </c>
      <c r="U9" s="1031">
        <f t="shared" si="30"/>
        <v>0</v>
      </c>
      <c r="V9" s="1464">
        <f>'[20]Oct midyear Southwest LA Chtr'!E9</f>
        <v>0</v>
      </c>
      <c r="W9" s="1443">
        <f t="shared" si="43"/>
        <v>0</v>
      </c>
      <c r="X9" s="1474">
        <f>'[20]Feb midyear Southwest LA Ch '!E9</f>
        <v>0</v>
      </c>
      <c r="Y9" s="1470">
        <f t="shared" si="44"/>
        <v>0</v>
      </c>
      <c r="Z9" s="1470">
        <f t="shared" si="45"/>
        <v>0</v>
      </c>
      <c r="AA9" s="1031">
        <f t="shared" si="46"/>
        <v>0</v>
      </c>
      <c r="AB9" s="1090">
        <f t="shared" si="47"/>
        <v>0</v>
      </c>
      <c r="AC9" s="1031">
        <f t="shared" si="48"/>
        <v>0</v>
      </c>
      <c r="AD9" s="1031">
        <v>0</v>
      </c>
      <c r="AE9" s="1031">
        <f t="shared" si="49"/>
        <v>0</v>
      </c>
      <c r="AF9" s="1031">
        <v>0</v>
      </c>
      <c r="AG9" s="1031">
        <f t="shared" si="50"/>
        <v>0</v>
      </c>
      <c r="AH9" s="1031">
        <f t="shared" si="51"/>
        <v>0</v>
      </c>
      <c r="AI9" s="1032">
        <f t="shared" si="31"/>
        <v>0</v>
      </c>
      <c r="AJ9" s="1032">
        <f t="shared" si="32"/>
        <v>0</v>
      </c>
      <c r="AL9" s="49">
        <f t="shared" si="52"/>
        <v>0</v>
      </c>
      <c r="AM9" s="49">
        <f>-'[22]Table 5C1H-Southwest LA Charter'!AL9</f>
        <v>0</v>
      </c>
      <c r="AN9" s="49">
        <f>-'[21]Table 5C1H-Southwest LA Charter'!P9</f>
        <v>0</v>
      </c>
      <c r="AO9" s="49">
        <f t="shared" si="53"/>
        <v>0</v>
      </c>
    </row>
    <row r="10" spans="1:41">
      <c r="A10" s="975">
        <v>4</v>
      </c>
      <c r="B10" s="976" t="s">
        <v>105</v>
      </c>
      <c r="C10" s="1168">
        <v>0</v>
      </c>
      <c r="D10" s="978">
        <f>'Table 3 Levels 1&amp;2'!AL11</f>
        <v>6077.3708498182023</v>
      </c>
      <c r="E10" s="1072">
        <f t="shared" si="33"/>
        <v>0</v>
      </c>
      <c r="F10" s="1072">
        <f>'Table 4 Level 3'!P9</f>
        <v>585.76</v>
      </c>
      <c r="G10" s="1072">
        <f t="shared" si="34"/>
        <v>0</v>
      </c>
      <c r="H10" s="1030">
        <f t="shared" si="35"/>
        <v>0</v>
      </c>
      <c r="I10" s="1415">
        <f>'[1]Oct midyear Southwest LA Chtr'!K10</f>
        <v>0</v>
      </c>
      <c r="J10" s="1415">
        <f>'[1]Feb midyear Southwest LA Ch '!K10</f>
        <v>0</v>
      </c>
      <c r="K10" s="1415">
        <f t="shared" si="36"/>
        <v>0</v>
      </c>
      <c r="L10" s="1434">
        <f t="shared" si="37"/>
        <v>0</v>
      </c>
      <c r="M10" s="1082">
        <f t="shared" si="38"/>
        <v>0</v>
      </c>
      <c r="N10" s="1030">
        <f t="shared" si="39"/>
        <v>0</v>
      </c>
      <c r="O10" s="1030">
        <v>0</v>
      </c>
      <c r="P10" s="1030">
        <f t="shared" si="40"/>
        <v>0</v>
      </c>
      <c r="Q10" s="1030">
        <v>0</v>
      </c>
      <c r="R10" s="1030">
        <f t="shared" si="41"/>
        <v>0</v>
      </c>
      <c r="S10" s="1030">
        <f t="shared" si="42"/>
        <v>0</v>
      </c>
      <c r="T10" s="1029">
        <f>'[14]FY2012-13 Final'!K11</f>
        <v>3455</v>
      </c>
      <c r="U10" s="1031">
        <f t="shared" si="30"/>
        <v>0</v>
      </c>
      <c r="V10" s="1464">
        <f>'[20]Oct midyear Southwest LA Chtr'!E10</f>
        <v>0</v>
      </c>
      <c r="W10" s="1443">
        <f t="shared" si="43"/>
        <v>0</v>
      </c>
      <c r="X10" s="1474">
        <f>'[20]Feb midyear Southwest LA Ch '!E10</f>
        <v>0</v>
      </c>
      <c r="Y10" s="1470">
        <f t="shared" si="44"/>
        <v>0</v>
      </c>
      <c r="Z10" s="1470">
        <f t="shared" si="45"/>
        <v>0</v>
      </c>
      <c r="AA10" s="1031">
        <f t="shared" si="46"/>
        <v>0</v>
      </c>
      <c r="AB10" s="1090">
        <f t="shared" si="47"/>
        <v>0</v>
      </c>
      <c r="AC10" s="1031">
        <f t="shared" si="48"/>
        <v>0</v>
      </c>
      <c r="AD10" s="1031">
        <v>0</v>
      </c>
      <c r="AE10" s="1031">
        <f t="shared" si="49"/>
        <v>0</v>
      </c>
      <c r="AF10" s="1031">
        <v>0</v>
      </c>
      <c r="AG10" s="1031">
        <f t="shared" si="50"/>
        <v>0</v>
      </c>
      <c r="AH10" s="1031">
        <f t="shared" si="51"/>
        <v>0</v>
      </c>
      <c r="AI10" s="1032">
        <f t="shared" si="31"/>
        <v>0</v>
      </c>
      <c r="AJ10" s="1032">
        <f t="shared" si="32"/>
        <v>0</v>
      </c>
      <c r="AL10" s="49">
        <f t="shared" si="52"/>
        <v>0</v>
      </c>
      <c r="AM10" s="49">
        <f>-'[22]Table 5C1H-Southwest LA Charter'!AL10</f>
        <v>0</v>
      </c>
      <c r="AN10" s="49">
        <f>-'[21]Table 5C1H-Southwest LA Charter'!P10</f>
        <v>0</v>
      </c>
      <c r="AO10" s="49">
        <f t="shared" si="53"/>
        <v>0</v>
      </c>
    </row>
    <row r="11" spans="1:41">
      <c r="A11" s="979">
        <v>5</v>
      </c>
      <c r="B11" s="980" t="s">
        <v>106</v>
      </c>
      <c r="C11" s="1169">
        <v>0</v>
      </c>
      <c r="D11" s="982">
        <f>'Table 3 Levels 1&amp;2'!AL12</f>
        <v>4878.1095033692254</v>
      </c>
      <c r="E11" s="1073">
        <f t="shared" si="33"/>
        <v>0</v>
      </c>
      <c r="F11" s="1073">
        <f>'Table 4 Level 3'!P10</f>
        <v>555.91</v>
      </c>
      <c r="G11" s="1073">
        <f t="shared" si="34"/>
        <v>0</v>
      </c>
      <c r="H11" s="1033">
        <f t="shared" si="35"/>
        <v>0</v>
      </c>
      <c r="I11" s="1416">
        <f>'[1]Oct midyear Southwest LA Chtr'!K11</f>
        <v>0</v>
      </c>
      <c r="J11" s="1416">
        <f>'[1]Feb midyear Southwest LA Ch '!K11</f>
        <v>0</v>
      </c>
      <c r="K11" s="1416">
        <f t="shared" si="36"/>
        <v>0</v>
      </c>
      <c r="L11" s="1435">
        <f t="shared" si="37"/>
        <v>0</v>
      </c>
      <c r="M11" s="1083">
        <f t="shared" si="38"/>
        <v>0</v>
      </c>
      <c r="N11" s="1033">
        <f t="shared" si="39"/>
        <v>0</v>
      </c>
      <c r="O11" s="1033">
        <v>0</v>
      </c>
      <c r="P11" s="1033">
        <f t="shared" si="40"/>
        <v>0</v>
      </c>
      <c r="Q11" s="1033">
        <v>0</v>
      </c>
      <c r="R11" s="1033">
        <f t="shared" si="41"/>
        <v>0</v>
      </c>
      <c r="S11" s="1033">
        <f t="shared" si="42"/>
        <v>0</v>
      </c>
      <c r="T11" s="1034">
        <f>'[14]FY2012-13 Final'!K12</f>
        <v>1515</v>
      </c>
      <c r="U11" s="1035">
        <f t="shared" si="30"/>
        <v>0</v>
      </c>
      <c r="V11" s="1465">
        <f>'[20]Oct midyear Southwest LA Chtr'!E11</f>
        <v>0</v>
      </c>
      <c r="W11" s="1445">
        <f t="shared" si="43"/>
        <v>0</v>
      </c>
      <c r="X11" s="1475">
        <f>'[20]Feb midyear Southwest LA Ch '!E11</f>
        <v>0</v>
      </c>
      <c r="Y11" s="1471">
        <f t="shared" si="44"/>
        <v>0</v>
      </c>
      <c r="Z11" s="1471">
        <f t="shared" si="45"/>
        <v>0</v>
      </c>
      <c r="AA11" s="1035">
        <f t="shared" si="46"/>
        <v>0</v>
      </c>
      <c r="AB11" s="1091">
        <f t="shared" si="47"/>
        <v>0</v>
      </c>
      <c r="AC11" s="1035">
        <f t="shared" si="48"/>
        <v>0</v>
      </c>
      <c r="AD11" s="1035">
        <v>0</v>
      </c>
      <c r="AE11" s="1035">
        <f t="shared" si="49"/>
        <v>0</v>
      </c>
      <c r="AF11" s="1035">
        <v>0</v>
      </c>
      <c r="AG11" s="1035">
        <f t="shared" si="50"/>
        <v>0</v>
      </c>
      <c r="AH11" s="1035">
        <f t="shared" si="51"/>
        <v>0</v>
      </c>
      <c r="AI11" s="1036">
        <f t="shared" si="31"/>
        <v>0</v>
      </c>
      <c r="AJ11" s="1036">
        <f t="shared" si="32"/>
        <v>0</v>
      </c>
      <c r="AL11" s="49">
        <f t="shared" si="52"/>
        <v>0</v>
      </c>
      <c r="AM11" s="49">
        <f>-'[22]Table 5C1H-Southwest LA Charter'!AL11</f>
        <v>0</v>
      </c>
      <c r="AN11" s="49">
        <f>-'[21]Table 5C1H-Southwest LA Charter'!P11</f>
        <v>0</v>
      </c>
      <c r="AO11" s="49">
        <f t="shared" si="53"/>
        <v>0</v>
      </c>
    </row>
    <row r="12" spans="1:41">
      <c r="A12" s="968">
        <v>6</v>
      </c>
      <c r="B12" s="969" t="s">
        <v>107</v>
      </c>
      <c r="C12" s="1170">
        <v>0</v>
      </c>
      <c r="D12" s="971">
        <f>'Table 3 Levels 1&amp;2'!AL13</f>
        <v>5550.1901239384006</v>
      </c>
      <c r="E12" s="1071">
        <f t="shared" si="33"/>
        <v>0</v>
      </c>
      <c r="F12" s="1071">
        <f>'Table 4 Level 3'!P11</f>
        <v>545.4799999999999</v>
      </c>
      <c r="G12" s="1071">
        <f t="shared" si="34"/>
        <v>0</v>
      </c>
      <c r="H12" s="972">
        <f t="shared" si="35"/>
        <v>0</v>
      </c>
      <c r="I12" s="1414">
        <f>'[1]Oct midyear Southwest LA Chtr'!K12</f>
        <v>0</v>
      </c>
      <c r="J12" s="1414">
        <f>'[1]Feb midyear Southwest LA Ch '!K12</f>
        <v>0</v>
      </c>
      <c r="K12" s="1414">
        <f t="shared" si="36"/>
        <v>0</v>
      </c>
      <c r="L12" s="1213">
        <f t="shared" si="37"/>
        <v>0</v>
      </c>
      <c r="M12" s="1081">
        <f t="shared" si="38"/>
        <v>0</v>
      </c>
      <c r="N12" s="972">
        <f t="shared" si="39"/>
        <v>0</v>
      </c>
      <c r="O12" s="972">
        <v>0</v>
      </c>
      <c r="P12" s="972">
        <f t="shared" si="40"/>
        <v>0</v>
      </c>
      <c r="Q12" s="972">
        <v>0</v>
      </c>
      <c r="R12" s="972">
        <f t="shared" si="41"/>
        <v>0</v>
      </c>
      <c r="S12" s="972">
        <f t="shared" si="42"/>
        <v>0</v>
      </c>
      <c r="T12" s="1029">
        <f>'[14]FY2012-13 Final'!K13</f>
        <v>3579</v>
      </c>
      <c r="U12" s="973">
        <f t="shared" si="30"/>
        <v>0</v>
      </c>
      <c r="V12" s="1466">
        <f>'[20]Oct midyear Southwest LA Chtr'!E12</f>
        <v>0</v>
      </c>
      <c r="W12" s="1444">
        <f t="shared" si="43"/>
        <v>0</v>
      </c>
      <c r="X12" s="1466">
        <f>'[20]Feb midyear Southwest LA Ch '!E12</f>
        <v>0</v>
      </c>
      <c r="Y12" s="1444">
        <f t="shared" si="44"/>
        <v>0</v>
      </c>
      <c r="Z12" s="1444">
        <f t="shared" si="45"/>
        <v>0</v>
      </c>
      <c r="AA12" s="973">
        <f t="shared" si="46"/>
        <v>0</v>
      </c>
      <c r="AB12" s="1089">
        <f t="shared" si="47"/>
        <v>0</v>
      </c>
      <c r="AC12" s="973">
        <f t="shared" si="48"/>
        <v>0</v>
      </c>
      <c r="AD12" s="973">
        <v>0</v>
      </c>
      <c r="AE12" s="973">
        <f t="shared" si="49"/>
        <v>0</v>
      </c>
      <c r="AF12" s="973">
        <v>0</v>
      </c>
      <c r="AG12" s="973">
        <f t="shared" si="50"/>
        <v>0</v>
      </c>
      <c r="AH12" s="973">
        <f t="shared" si="51"/>
        <v>0</v>
      </c>
      <c r="AI12" s="974">
        <f t="shared" si="31"/>
        <v>0</v>
      </c>
      <c r="AJ12" s="974">
        <f t="shared" si="32"/>
        <v>0</v>
      </c>
      <c r="AL12" s="49">
        <f t="shared" si="52"/>
        <v>0</v>
      </c>
      <c r="AM12" s="49">
        <f>-'[22]Table 5C1H-Southwest LA Charter'!AL12</f>
        <v>0</v>
      </c>
      <c r="AN12" s="49">
        <f>-'[21]Table 5C1H-Southwest LA Charter'!P12</f>
        <v>0</v>
      </c>
      <c r="AO12" s="49">
        <f t="shared" si="53"/>
        <v>0</v>
      </c>
    </row>
    <row r="13" spans="1:41">
      <c r="A13" s="975">
        <v>7</v>
      </c>
      <c r="B13" s="976" t="s">
        <v>108</v>
      </c>
      <c r="C13" s="1168">
        <v>0</v>
      </c>
      <c r="D13" s="978">
        <f>'Table 3 Levels 1&amp;2'!AL14</f>
        <v>1550.5347159603245</v>
      </c>
      <c r="E13" s="1072">
        <f t="shared" si="33"/>
        <v>0</v>
      </c>
      <c r="F13" s="1072">
        <f>'Table 4 Level 3'!P12</f>
        <v>756.91999999999985</v>
      </c>
      <c r="G13" s="1072">
        <f t="shared" si="34"/>
        <v>0</v>
      </c>
      <c r="H13" s="1030">
        <f t="shared" si="35"/>
        <v>0</v>
      </c>
      <c r="I13" s="1415">
        <f>'[1]Oct midyear Southwest LA Chtr'!K13</f>
        <v>0</v>
      </c>
      <c r="J13" s="1415">
        <f>'[1]Feb midyear Southwest LA Ch '!K13</f>
        <v>0</v>
      </c>
      <c r="K13" s="1415">
        <f t="shared" si="36"/>
        <v>0</v>
      </c>
      <c r="L13" s="1434">
        <f t="shared" si="37"/>
        <v>0</v>
      </c>
      <c r="M13" s="1082">
        <f t="shared" si="38"/>
        <v>0</v>
      </c>
      <c r="N13" s="1030">
        <f t="shared" si="39"/>
        <v>0</v>
      </c>
      <c r="O13" s="1030">
        <v>0</v>
      </c>
      <c r="P13" s="1030">
        <f t="shared" si="40"/>
        <v>0</v>
      </c>
      <c r="Q13" s="1030">
        <v>0</v>
      </c>
      <c r="R13" s="1030">
        <f t="shared" si="41"/>
        <v>0</v>
      </c>
      <c r="S13" s="1030">
        <f t="shared" si="42"/>
        <v>0</v>
      </c>
      <c r="T13" s="1029">
        <f>'[14]FY2012-13 Final'!K14</f>
        <v>12483</v>
      </c>
      <c r="U13" s="1031">
        <f t="shared" si="30"/>
        <v>0</v>
      </c>
      <c r="V13" s="1464">
        <f>'[20]Oct midyear Southwest LA Chtr'!E13</f>
        <v>0</v>
      </c>
      <c r="W13" s="1443">
        <f t="shared" si="43"/>
        <v>0</v>
      </c>
      <c r="X13" s="1474">
        <f>'[20]Feb midyear Southwest LA Ch '!E13</f>
        <v>0</v>
      </c>
      <c r="Y13" s="1470">
        <f t="shared" si="44"/>
        <v>0</v>
      </c>
      <c r="Z13" s="1470">
        <f t="shared" si="45"/>
        <v>0</v>
      </c>
      <c r="AA13" s="1031">
        <f t="shared" si="46"/>
        <v>0</v>
      </c>
      <c r="AB13" s="1090">
        <f t="shared" si="47"/>
        <v>0</v>
      </c>
      <c r="AC13" s="1031">
        <f t="shared" si="48"/>
        <v>0</v>
      </c>
      <c r="AD13" s="1031">
        <v>0</v>
      </c>
      <c r="AE13" s="1031">
        <f t="shared" si="49"/>
        <v>0</v>
      </c>
      <c r="AF13" s="1031">
        <v>0</v>
      </c>
      <c r="AG13" s="1031">
        <f t="shared" si="50"/>
        <v>0</v>
      </c>
      <c r="AH13" s="1031">
        <f t="shared" si="51"/>
        <v>0</v>
      </c>
      <c r="AI13" s="1032">
        <f t="shared" si="31"/>
        <v>0</v>
      </c>
      <c r="AJ13" s="1032">
        <f t="shared" si="32"/>
        <v>0</v>
      </c>
      <c r="AL13" s="49">
        <f t="shared" si="52"/>
        <v>0</v>
      </c>
      <c r="AM13" s="49">
        <f>-'[22]Table 5C1H-Southwest LA Charter'!AL13</f>
        <v>0</v>
      </c>
      <c r="AN13" s="49">
        <f>-'[21]Table 5C1H-Southwest LA Charter'!P13</f>
        <v>0</v>
      </c>
      <c r="AO13" s="49">
        <f t="shared" si="53"/>
        <v>0</v>
      </c>
    </row>
    <row r="14" spans="1:41">
      <c r="A14" s="975">
        <v>8</v>
      </c>
      <c r="B14" s="976" t="s">
        <v>109</v>
      </c>
      <c r="C14" s="1168">
        <v>0</v>
      </c>
      <c r="D14" s="978">
        <f>'Table 3 Levels 1&amp;2'!AL15</f>
        <v>4054.7459475361657</v>
      </c>
      <c r="E14" s="1072">
        <f t="shared" si="33"/>
        <v>0</v>
      </c>
      <c r="F14" s="1072">
        <f>'Table 4 Level 3'!P13</f>
        <v>725.76</v>
      </c>
      <c r="G14" s="1072">
        <f t="shared" si="34"/>
        <v>0</v>
      </c>
      <c r="H14" s="1030">
        <f t="shared" si="35"/>
        <v>0</v>
      </c>
      <c r="I14" s="1415">
        <f>'[1]Oct midyear Southwest LA Chtr'!K14</f>
        <v>0</v>
      </c>
      <c r="J14" s="1415">
        <f>'[1]Feb midyear Southwest LA Ch '!K14</f>
        <v>0</v>
      </c>
      <c r="K14" s="1415">
        <f t="shared" si="36"/>
        <v>0</v>
      </c>
      <c r="L14" s="1434">
        <f t="shared" si="37"/>
        <v>0</v>
      </c>
      <c r="M14" s="1082">
        <f t="shared" si="38"/>
        <v>0</v>
      </c>
      <c r="N14" s="1030">
        <f t="shared" si="39"/>
        <v>0</v>
      </c>
      <c r="O14" s="1030">
        <v>0</v>
      </c>
      <c r="P14" s="1030">
        <f t="shared" si="40"/>
        <v>0</v>
      </c>
      <c r="Q14" s="1030">
        <v>0</v>
      </c>
      <c r="R14" s="1030">
        <f t="shared" si="41"/>
        <v>0</v>
      </c>
      <c r="S14" s="1030">
        <f t="shared" si="42"/>
        <v>0</v>
      </c>
      <c r="T14" s="1029">
        <f>'[14]FY2012-13 Final'!K15</f>
        <v>4187</v>
      </c>
      <c r="U14" s="1031">
        <f t="shared" si="30"/>
        <v>0</v>
      </c>
      <c r="V14" s="1464">
        <f>'[20]Oct midyear Southwest LA Chtr'!E14</f>
        <v>0</v>
      </c>
      <c r="W14" s="1443">
        <f t="shared" si="43"/>
        <v>0</v>
      </c>
      <c r="X14" s="1474">
        <f>'[20]Feb midyear Southwest LA Ch '!E14</f>
        <v>0</v>
      </c>
      <c r="Y14" s="1470">
        <f t="shared" si="44"/>
        <v>0</v>
      </c>
      <c r="Z14" s="1470">
        <f t="shared" si="45"/>
        <v>0</v>
      </c>
      <c r="AA14" s="1031">
        <f t="shared" si="46"/>
        <v>0</v>
      </c>
      <c r="AB14" s="1090">
        <f t="shared" si="47"/>
        <v>0</v>
      </c>
      <c r="AC14" s="1031">
        <f t="shared" si="48"/>
        <v>0</v>
      </c>
      <c r="AD14" s="1031">
        <v>0</v>
      </c>
      <c r="AE14" s="1031">
        <f t="shared" si="49"/>
        <v>0</v>
      </c>
      <c r="AF14" s="1031">
        <v>0</v>
      </c>
      <c r="AG14" s="1031">
        <f t="shared" si="50"/>
        <v>0</v>
      </c>
      <c r="AH14" s="1031">
        <f t="shared" si="51"/>
        <v>0</v>
      </c>
      <c r="AI14" s="1032">
        <f t="shared" si="31"/>
        <v>0</v>
      </c>
      <c r="AJ14" s="1032">
        <f t="shared" si="32"/>
        <v>0</v>
      </c>
      <c r="AL14" s="49">
        <f t="shared" si="52"/>
        <v>0</v>
      </c>
      <c r="AM14" s="49">
        <f>-'[22]Table 5C1H-Southwest LA Charter'!AL14</f>
        <v>0</v>
      </c>
      <c r="AN14" s="49">
        <f>-'[21]Table 5C1H-Southwest LA Charter'!P14</f>
        <v>0</v>
      </c>
      <c r="AO14" s="49">
        <f t="shared" si="53"/>
        <v>0</v>
      </c>
    </row>
    <row r="15" spans="1:41">
      <c r="A15" s="975">
        <v>9</v>
      </c>
      <c r="B15" s="976" t="s">
        <v>110</v>
      </c>
      <c r="C15" s="1168">
        <v>0</v>
      </c>
      <c r="D15" s="978">
        <f>'Table 3 Levels 1&amp;2'!AL16</f>
        <v>4287.1210280148016</v>
      </c>
      <c r="E15" s="1072">
        <f t="shared" si="33"/>
        <v>0</v>
      </c>
      <c r="F15" s="1072">
        <f>'Table 4 Level 3'!P14</f>
        <v>744.76</v>
      </c>
      <c r="G15" s="1072">
        <f t="shared" si="34"/>
        <v>0</v>
      </c>
      <c r="H15" s="1030">
        <f t="shared" si="35"/>
        <v>0</v>
      </c>
      <c r="I15" s="1415">
        <f>'[1]Oct midyear Southwest LA Chtr'!K15</f>
        <v>0</v>
      </c>
      <c r="J15" s="1415">
        <f>'[1]Feb midyear Southwest LA Ch '!K15</f>
        <v>0</v>
      </c>
      <c r="K15" s="1415">
        <f t="shared" si="36"/>
        <v>0</v>
      </c>
      <c r="L15" s="1434">
        <f t="shared" si="37"/>
        <v>0</v>
      </c>
      <c r="M15" s="1082">
        <f t="shared" si="38"/>
        <v>0</v>
      </c>
      <c r="N15" s="1030">
        <f t="shared" si="39"/>
        <v>0</v>
      </c>
      <c r="O15" s="1030">
        <v>0</v>
      </c>
      <c r="P15" s="1030">
        <f t="shared" si="40"/>
        <v>0</v>
      </c>
      <c r="Q15" s="1030">
        <v>0</v>
      </c>
      <c r="R15" s="1030">
        <f t="shared" si="41"/>
        <v>0</v>
      </c>
      <c r="S15" s="1030">
        <f t="shared" si="42"/>
        <v>0</v>
      </c>
      <c r="T15" s="1029">
        <f>'[14]FY2012-13 Final'!K16</f>
        <v>4649</v>
      </c>
      <c r="U15" s="1031">
        <f t="shared" si="30"/>
        <v>0</v>
      </c>
      <c r="V15" s="1464">
        <f>'[20]Oct midyear Southwest LA Chtr'!E15</f>
        <v>0</v>
      </c>
      <c r="W15" s="1443">
        <f t="shared" si="43"/>
        <v>0</v>
      </c>
      <c r="X15" s="1474">
        <f>'[20]Feb midyear Southwest LA Ch '!E15</f>
        <v>0</v>
      </c>
      <c r="Y15" s="1470">
        <f t="shared" si="44"/>
        <v>0</v>
      </c>
      <c r="Z15" s="1470">
        <f t="shared" si="45"/>
        <v>0</v>
      </c>
      <c r="AA15" s="1031">
        <f t="shared" si="46"/>
        <v>0</v>
      </c>
      <c r="AB15" s="1090">
        <f t="shared" si="47"/>
        <v>0</v>
      </c>
      <c r="AC15" s="1031">
        <f t="shared" si="48"/>
        <v>0</v>
      </c>
      <c r="AD15" s="1031">
        <v>0</v>
      </c>
      <c r="AE15" s="1031">
        <f t="shared" si="49"/>
        <v>0</v>
      </c>
      <c r="AF15" s="1031">
        <v>0</v>
      </c>
      <c r="AG15" s="1031">
        <f t="shared" si="50"/>
        <v>0</v>
      </c>
      <c r="AH15" s="1031">
        <f t="shared" si="51"/>
        <v>0</v>
      </c>
      <c r="AI15" s="1032">
        <f t="shared" si="31"/>
        <v>0</v>
      </c>
      <c r="AJ15" s="1032">
        <f t="shared" si="32"/>
        <v>0</v>
      </c>
      <c r="AL15" s="49">
        <f t="shared" si="52"/>
        <v>0</v>
      </c>
      <c r="AM15" s="49">
        <f>-'[22]Table 5C1H-Southwest LA Charter'!AL15</f>
        <v>0</v>
      </c>
      <c r="AN15" s="49">
        <f>-'[21]Table 5C1H-Southwest LA Charter'!P15</f>
        <v>0</v>
      </c>
      <c r="AO15" s="49">
        <f t="shared" si="53"/>
        <v>0</v>
      </c>
    </row>
    <row r="16" spans="1:41">
      <c r="A16" s="979">
        <v>10</v>
      </c>
      <c r="B16" s="980" t="s">
        <v>111</v>
      </c>
      <c r="C16" s="1169">
        <v>450</v>
      </c>
      <c r="D16" s="982">
        <f>'Table 3 Levels 1&amp;2'!AL17</f>
        <v>4320.1782742925079</v>
      </c>
      <c r="E16" s="1073">
        <f t="shared" si="33"/>
        <v>1944080.2234316287</v>
      </c>
      <c r="F16" s="1073">
        <f>'Table 4 Level 3'!P15</f>
        <v>608.04000000000008</v>
      </c>
      <c r="G16" s="1073">
        <f t="shared" si="34"/>
        <v>273618.00000000006</v>
      </c>
      <c r="H16" s="1033">
        <f t="shared" si="35"/>
        <v>2217698.2234316287</v>
      </c>
      <c r="I16" s="1416">
        <f>'[1]Oct midyear Southwest LA Chtr'!K16</f>
        <v>542104.01017217583</v>
      </c>
      <c r="J16" s="1416">
        <f>'[1]Feb midyear Southwest LA Ch '!K16</f>
        <v>-91172.038074411394</v>
      </c>
      <c r="K16" s="1416">
        <f t="shared" si="36"/>
        <v>450931.97209776443</v>
      </c>
      <c r="L16" s="1435">
        <f t="shared" si="37"/>
        <v>2668630.1955293929</v>
      </c>
      <c r="M16" s="1083">
        <f t="shared" si="38"/>
        <v>-6671.5754888234824</v>
      </c>
      <c r="N16" s="1033">
        <f t="shared" si="39"/>
        <v>2661958.6200405695</v>
      </c>
      <c r="O16" s="1033">
        <v>0</v>
      </c>
      <c r="P16" s="1033">
        <f t="shared" si="40"/>
        <v>2661958.6200405695</v>
      </c>
      <c r="Q16" s="1033">
        <f>183594*8+295586+295586</f>
        <v>2059924</v>
      </c>
      <c r="R16" s="1033">
        <f t="shared" si="41"/>
        <v>602034.62004056945</v>
      </c>
      <c r="S16" s="1033">
        <f t="shared" si="42"/>
        <v>301017.31002028473</v>
      </c>
      <c r="T16" s="1034">
        <f>'[14]FY2012-13 Final'!K17</f>
        <v>4395</v>
      </c>
      <c r="U16" s="1035">
        <f t="shared" si="30"/>
        <v>1977750</v>
      </c>
      <c r="V16" s="1465">
        <f>'[20]Oct midyear Southwest LA Chtr'!E16</f>
        <v>110</v>
      </c>
      <c r="W16" s="1445">
        <f t="shared" si="43"/>
        <v>483450</v>
      </c>
      <c r="X16" s="1475">
        <f>'[20]Feb midyear Southwest LA Ch '!E16</f>
        <v>-37</v>
      </c>
      <c r="Y16" s="1471">
        <f t="shared" si="44"/>
        <v>-81307.5</v>
      </c>
      <c r="Z16" s="1471">
        <f t="shared" si="45"/>
        <v>402142.5</v>
      </c>
      <c r="AA16" s="1035">
        <f t="shared" si="46"/>
        <v>2379892.5</v>
      </c>
      <c r="AB16" s="1091">
        <f t="shared" si="47"/>
        <v>-5949.7312499999998</v>
      </c>
      <c r="AC16" s="1035">
        <f t="shared" si="48"/>
        <v>2373942.7687499998</v>
      </c>
      <c r="AD16" s="1035">
        <v>0</v>
      </c>
      <c r="AE16" s="1035">
        <f t="shared" si="49"/>
        <v>2373942.7687499998</v>
      </c>
      <c r="AF16" s="1035">
        <f>161296*8+270354+270354</f>
        <v>1831076</v>
      </c>
      <c r="AG16" s="1035">
        <f t="shared" si="50"/>
        <v>542866.76874999981</v>
      </c>
      <c r="AH16" s="1035">
        <f t="shared" si="51"/>
        <v>271433.38437499991</v>
      </c>
      <c r="AI16" s="1036">
        <f t="shared" si="31"/>
        <v>5035901.3887905693</v>
      </c>
      <c r="AJ16" s="1036">
        <f t="shared" si="32"/>
        <v>572450.69439528463</v>
      </c>
      <c r="AL16" s="49">
        <f t="shared" si="52"/>
        <v>-5949.7312499999998</v>
      </c>
      <c r="AM16" s="49">
        <f>-'[22]Table 5C1H-Southwest LA Charter'!AL16</f>
        <v>5944.3162499999999</v>
      </c>
      <c r="AN16" s="49">
        <f>-'[21]Table 5C1H-Southwest LA Charter'!P16</f>
        <v>4851</v>
      </c>
      <c r="AO16" s="49">
        <f t="shared" si="53"/>
        <v>-5.4149999999999636</v>
      </c>
    </row>
    <row r="17" spans="1:41">
      <c r="A17" s="968">
        <v>11</v>
      </c>
      <c r="B17" s="969" t="s">
        <v>112</v>
      </c>
      <c r="C17" s="1170">
        <v>0</v>
      </c>
      <c r="D17" s="971">
        <f>'Table 3 Levels 1&amp;2'!AL18</f>
        <v>6754.8947842641273</v>
      </c>
      <c r="E17" s="1071">
        <f t="shared" si="33"/>
        <v>0</v>
      </c>
      <c r="F17" s="1071">
        <f>'Table 4 Level 3'!P16</f>
        <v>706.55</v>
      </c>
      <c r="G17" s="1071">
        <f t="shared" si="34"/>
        <v>0</v>
      </c>
      <c r="H17" s="972">
        <f t="shared" si="35"/>
        <v>0</v>
      </c>
      <c r="I17" s="1414">
        <f>'[1]Oct midyear Southwest LA Chtr'!K17</f>
        <v>0</v>
      </c>
      <c r="J17" s="1414">
        <f>'[1]Feb midyear Southwest LA Ch '!K17</f>
        <v>0</v>
      </c>
      <c r="K17" s="1414">
        <f t="shared" si="36"/>
        <v>0</v>
      </c>
      <c r="L17" s="1213">
        <f t="shared" si="37"/>
        <v>0</v>
      </c>
      <c r="M17" s="1081">
        <f t="shared" si="38"/>
        <v>0</v>
      </c>
      <c r="N17" s="972">
        <f t="shared" si="39"/>
        <v>0</v>
      </c>
      <c r="O17" s="972">
        <v>0</v>
      </c>
      <c r="P17" s="972">
        <f t="shared" si="40"/>
        <v>0</v>
      </c>
      <c r="Q17" s="972">
        <v>0</v>
      </c>
      <c r="R17" s="972">
        <f t="shared" si="41"/>
        <v>0</v>
      </c>
      <c r="S17" s="972">
        <f t="shared" si="42"/>
        <v>0</v>
      </c>
      <c r="T17" s="1029">
        <f>'[14]FY2012-13 Final'!K18</f>
        <v>3450</v>
      </c>
      <c r="U17" s="973">
        <f t="shared" si="30"/>
        <v>0</v>
      </c>
      <c r="V17" s="1466">
        <f>'[20]Oct midyear Southwest LA Chtr'!E17</f>
        <v>0</v>
      </c>
      <c r="W17" s="1444">
        <f t="shared" si="43"/>
        <v>0</v>
      </c>
      <c r="X17" s="1466">
        <f>'[20]Feb midyear Southwest LA Ch '!E17</f>
        <v>0</v>
      </c>
      <c r="Y17" s="1444">
        <f t="shared" si="44"/>
        <v>0</v>
      </c>
      <c r="Z17" s="1444">
        <f t="shared" si="45"/>
        <v>0</v>
      </c>
      <c r="AA17" s="973">
        <f t="shared" si="46"/>
        <v>0</v>
      </c>
      <c r="AB17" s="1089">
        <f t="shared" si="47"/>
        <v>0</v>
      </c>
      <c r="AC17" s="973">
        <f t="shared" si="48"/>
        <v>0</v>
      </c>
      <c r="AD17" s="973">
        <v>0</v>
      </c>
      <c r="AE17" s="973">
        <f t="shared" si="49"/>
        <v>0</v>
      </c>
      <c r="AF17" s="973">
        <v>0</v>
      </c>
      <c r="AG17" s="973">
        <f t="shared" si="50"/>
        <v>0</v>
      </c>
      <c r="AH17" s="973">
        <f t="shared" si="51"/>
        <v>0</v>
      </c>
      <c r="AI17" s="974">
        <f t="shared" si="31"/>
        <v>0</v>
      </c>
      <c r="AJ17" s="974">
        <f t="shared" si="32"/>
        <v>0</v>
      </c>
      <c r="AL17" s="49">
        <f t="shared" si="52"/>
        <v>0</v>
      </c>
      <c r="AM17" s="49">
        <f>-'[22]Table 5C1H-Southwest LA Charter'!AL17</f>
        <v>0</v>
      </c>
      <c r="AN17" s="49">
        <f>-'[21]Table 5C1H-Southwest LA Charter'!P17</f>
        <v>0</v>
      </c>
      <c r="AO17" s="49">
        <f t="shared" si="53"/>
        <v>0</v>
      </c>
    </row>
    <row r="18" spans="1:41">
      <c r="A18" s="975">
        <v>12</v>
      </c>
      <c r="B18" s="976" t="s">
        <v>113</v>
      </c>
      <c r="C18" s="1168">
        <v>0</v>
      </c>
      <c r="D18" s="978">
        <f>'Table 3 Levels 1&amp;2'!AL19</f>
        <v>1807.9873469387755</v>
      </c>
      <c r="E18" s="1072">
        <f t="shared" si="33"/>
        <v>0</v>
      </c>
      <c r="F18" s="1072">
        <f>'Table 4 Level 3'!P17</f>
        <v>1063.31</v>
      </c>
      <c r="G18" s="1072">
        <f t="shared" si="34"/>
        <v>0</v>
      </c>
      <c r="H18" s="1030">
        <f t="shared" si="35"/>
        <v>0</v>
      </c>
      <c r="I18" s="1415">
        <f>'[1]Oct midyear Southwest LA Chtr'!K18</f>
        <v>0</v>
      </c>
      <c r="J18" s="1415">
        <f>'[1]Feb midyear Southwest LA Ch '!K18</f>
        <v>0</v>
      </c>
      <c r="K18" s="1415">
        <f t="shared" si="36"/>
        <v>0</v>
      </c>
      <c r="L18" s="1434">
        <f t="shared" si="37"/>
        <v>0</v>
      </c>
      <c r="M18" s="1082">
        <f t="shared" si="38"/>
        <v>0</v>
      </c>
      <c r="N18" s="1030">
        <f t="shared" si="39"/>
        <v>0</v>
      </c>
      <c r="O18" s="1030">
        <v>0</v>
      </c>
      <c r="P18" s="1030">
        <f t="shared" si="40"/>
        <v>0</v>
      </c>
      <c r="Q18" s="1030">
        <v>0</v>
      </c>
      <c r="R18" s="1030">
        <f t="shared" si="41"/>
        <v>0</v>
      </c>
      <c r="S18" s="1030">
        <f t="shared" si="42"/>
        <v>0</v>
      </c>
      <c r="T18" s="1029">
        <f>'[14]FY2012-13 Final'!K19</f>
        <v>12561</v>
      </c>
      <c r="U18" s="1031">
        <f t="shared" si="30"/>
        <v>0</v>
      </c>
      <c r="V18" s="1464">
        <f>'[20]Oct midyear Southwest LA Chtr'!E18</f>
        <v>0</v>
      </c>
      <c r="W18" s="1443">
        <f t="shared" si="43"/>
        <v>0</v>
      </c>
      <c r="X18" s="1474">
        <f>'[20]Feb midyear Southwest LA Ch '!E18</f>
        <v>0</v>
      </c>
      <c r="Y18" s="1470">
        <f t="shared" si="44"/>
        <v>0</v>
      </c>
      <c r="Z18" s="1470">
        <f t="shared" si="45"/>
        <v>0</v>
      </c>
      <c r="AA18" s="1031">
        <f t="shared" si="46"/>
        <v>0</v>
      </c>
      <c r="AB18" s="1090">
        <f t="shared" si="47"/>
        <v>0</v>
      </c>
      <c r="AC18" s="1031">
        <f t="shared" si="48"/>
        <v>0</v>
      </c>
      <c r="AD18" s="1031">
        <v>0</v>
      </c>
      <c r="AE18" s="1031">
        <f t="shared" si="49"/>
        <v>0</v>
      </c>
      <c r="AF18" s="1031">
        <v>0</v>
      </c>
      <c r="AG18" s="1031">
        <f t="shared" si="50"/>
        <v>0</v>
      </c>
      <c r="AH18" s="1031">
        <f t="shared" si="51"/>
        <v>0</v>
      </c>
      <c r="AI18" s="1032">
        <f t="shared" si="31"/>
        <v>0</v>
      </c>
      <c r="AJ18" s="1032">
        <f t="shared" si="32"/>
        <v>0</v>
      </c>
      <c r="AL18" s="49">
        <f t="shared" si="52"/>
        <v>0</v>
      </c>
      <c r="AM18" s="49">
        <f>-'[22]Table 5C1H-Southwest LA Charter'!AL18</f>
        <v>0</v>
      </c>
      <c r="AN18" s="49">
        <f>-'[21]Table 5C1H-Southwest LA Charter'!P18</f>
        <v>0</v>
      </c>
      <c r="AO18" s="49">
        <f t="shared" si="53"/>
        <v>0</v>
      </c>
    </row>
    <row r="19" spans="1:41">
      <c r="A19" s="975">
        <v>13</v>
      </c>
      <c r="B19" s="976" t="s">
        <v>114</v>
      </c>
      <c r="C19" s="1168">
        <v>0</v>
      </c>
      <c r="D19" s="978">
        <f>'Table 3 Levels 1&amp;2'!AL20</f>
        <v>6143.511131744569</v>
      </c>
      <c r="E19" s="1072">
        <f t="shared" si="33"/>
        <v>0</v>
      </c>
      <c r="F19" s="1072">
        <f>'Table 4 Level 3'!P18</f>
        <v>749.43000000000006</v>
      </c>
      <c r="G19" s="1072">
        <f t="shared" si="34"/>
        <v>0</v>
      </c>
      <c r="H19" s="1030">
        <f t="shared" si="35"/>
        <v>0</v>
      </c>
      <c r="I19" s="1415">
        <f>'[1]Oct midyear Southwest LA Chtr'!K19</f>
        <v>0</v>
      </c>
      <c r="J19" s="1415">
        <f>'[1]Feb midyear Southwest LA Ch '!K19</f>
        <v>0</v>
      </c>
      <c r="K19" s="1415">
        <f t="shared" si="36"/>
        <v>0</v>
      </c>
      <c r="L19" s="1434">
        <f t="shared" si="37"/>
        <v>0</v>
      </c>
      <c r="M19" s="1082">
        <f t="shared" si="38"/>
        <v>0</v>
      </c>
      <c r="N19" s="1030">
        <f t="shared" si="39"/>
        <v>0</v>
      </c>
      <c r="O19" s="1030">
        <v>0</v>
      </c>
      <c r="P19" s="1030">
        <f t="shared" si="40"/>
        <v>0</v>
      </c>
      <c r="Q19" s="1030">
        <v>0</v>
      </c>
      <c r="R19" s="1030">
        <f t="shared" si="41"/>
        <v>0</v>
      </c>
      <c r="S19" s="1030">
        <f t="shared" si="42"/>
        <v>0</v>
      </c>
      <c r="T19" s="1029">
        <f>'[14]FY2012-13 Final'!K20</f>
        <v>2538</v>
      </c>
      <c r="U19" s="1031">
        <f t="shared" si="30"/>
        <v>0</v>
      </c>
      <c r="V19" s="1464">
        <f>'[20]Oct midyear Southwest LA Chtr'!E19</f>
        <v>0</v>
      </c>
      <c r="W19" s="1443">
        <f t="shared" si="43"/>
        <v>0</v>
      </c>
      <c r="X19" s="1474">
        <f>'[20]Feb midyear Southwest LA Ch '!E19</f>
        <v>0</v>
      </c>
      <c r="Y19" s="1470">
        <f t="shared" si="44"/>
        <v>0</v>
      </c>
      <c r="Z19" s="1470">
        <f t="shared" si="45"/>
        <v>0</v>
      </c>
      <c r="AA19" s="1031">
        <f t="shared" si="46"/>
        <v>0</v>
      </c>
      <c r="AB19" s="1090">
        <f t="shared" si="47"/>
        <v>0</v>
      </c>
      <c r="AC19" s="1031">
        <f t="shared" si="48"/>
        <v>0</v>
      </c>
      <c r="AD19" s="1031">
        <v>0</v>
      </c>
      <c r="AE19" s="1031">
        <f t="shared" si="49"/>
        <v>0</v>
      </c>
      <c r="AF19" s="1031">
        <v>0</v>
      </c>
      <c r="AG19" s="1448">
        <f t="shared" si="50"/>
        <v>0</v>
      </c>
      <c r="AH19" s="1448">
        <f t="shared" si="51"/>
        <v>0</v>
      </c>
      <c r="AI19" s="1032">
        <f t="shared" si="31"/>
        <v>0</v>
      </c>
      <c r="AJ19" s="1032">
        <f t="shared" si="32"/>
        <v>0</v>
      </c>
      <c r="AL19" s="49">
        <f t="shared" si="52"/>
        <v>0</v>
      </c>
      <c r="AM19" s="49">
        <f>-'[22]Table 5C1H-Southwest LA Charter'!AL19</f>
        <v>0</v>
      </c>
      <c r="AN19" s="49">
        <f>-'[21]Table 5C1H-Southwest LA Charter'!P19</f>
        <v>0</v>
      </c>
      <c r="AO19" s="49">
        <f t="shared" si="53"/>
        <v>0</v>
      </c>
    </row>
    <row r="20" spans="1:41">
      <c r="A20" s="975">
        <v>14</v>
      </c>
      <c r="B20" s="976" t="s">
        <v>115</v>
      </c>
      <c r="C20" s="1168">
        <v>0</v>
      </c>
      <c r="D20" s="978">
        <f>'Table 3 Levels 1&amp;2'!AL21</f>
        <v>5304.5609177528095</v>
      </c>
      <c r="E20" s="1072">
        <f t="shared" si="33"/>
        <v>0</v>
      </c>
      <c r="F20" s="1072">
        <f>'Table 4 Level 3'!P19</f>
        <v>809.9799999999999</v>
      </c>
      <c r="G20" s="1072">
        <f t="shared" si="34"/>
        <v>0</v>
      </c>
      <c r="H20" s="1030">
        <f t="shared" si="35"/>
        <v>0</v>
      </c>
      <c r="I20" s="1415">
        <f>'[1]Oct midyear Southwest LA Chtr'!K20</f>
        <v>0</v>
      </c>
      <c r="J20" s="1415">
        <f>'[1]Feb midyear Southwest LA Ch '!K20</f>
        <v>0</v>
      </c>
      <c r="K20" s="1415">
        <f t="shared" si="36"/>
        <v>0</v>
      </c>
      <c r="L20" s="1434">
        <f t="shared" si="37"/>
        <v>0</v>
      </c>
      <c r="M20" s="1082">
        <f t="shared" si="38"/>
        <v>0</v>
      </c>
      <c r="N20" s="1030">
        <f t="shared" si="39"/>
        <v>0</v>
      </c>
      <c r="O20" s="1030">
        <v>0</v>
      </c>
      <c r="P20" s="1030">
        <f t="shared" si="40"/>
        <v>0</v>
      </c>
      <c r="Q20" s="1030">
        <v>0</v>
      </c>
      <c r="R20" s="1030">
        <f t="shared" si="41"/>
        <v>0</v>
      </c>
      <c r="S20" s="1030">
        <f t="shared" si="42"/>
        <v>0</v>
      </c>
      <c r="T20" s="1029">
        <f>'[14]FY2012-13 Final'!K21</f>
        <v>3890</v>
      </c>
      <c r="U20" s="1031">
        <f t="shared" si="30"/>
        <v>0</v>
      </c>
      <c r="V20" s="1464">
        <f>'[20]Oct midyear Southwest LA Chtr'!E20</f>
        <v>0</v>
      </c>
      <c r="W20" s="1443">
        <f t="shared" si="43"/>
        <v>0</v>
      </c>
      <c r="X20" s="1474">
        <f>'[20]Feb midyear Southwest LA Ch '!E20</f>
        <v>0</v>
      </c>
      <c r="Y20" s="1470">
        <f t="shared" si="44"/>
        <v>0</v>
      </c>
      <c r="Z20" s="1470">
        <f t="shared" si="45"/>
        <v>0</v>
      </c>
      <c r="AA20" s="1031">
        <f t="shared" si="46"/>
        <v>0</v>
      </c>
      <c r="AB20" s="1090">
        <f t="shared" si="47"/>
        <v>0</v>
      </c>
      <c r="AC20" s="1031">
        <f t="shared" si="48"/>
        <v>0</v>
      </c>
      <c r="AD20" s="1031">
        <v>0</v>
      </c>
      <c r="AE20" s="1031">
        <f t="shared" si="49"/>
        <v>0</v>
      </c>
      <c r="AF20" s="1031">
        <v>0</v>
      </c>
      <c r="AG20" s="1448">
        <f t="shared" si="50"/>
        <v>0</v>
      </c>
      <c r="AH20" s="1448">
        <f t="shared" si="51"/>
        <v>0</v>
      </c>
      <c r="AI20" s="1032">
        <f t="shared" si="31"/>
        <v>0</v>
      </c>
      <c r="AJ20" s="1032">
        <f t="shared" si="32"/>
        <v>0</v>
      </c>
      <c r="AL20" s="49">
        <f t="shared" si="52"/>
        <v>0</v>
      </c>
      <c r="AM20" s="49">
        <f>-'[22]Table 5C1H-Southwest LA Charter'!AL20</f>
        <v>0</v>
      </c>
      <c r="AN20" s="49">
        <f>-'[21]Table 5C1H-Southwest LA Charter'!P20</f>
        <v>0</v>
      </c>
      <c r="AO20" s="49">
        <f t="shared" si="53"/>
        <v>0</v>
      </c>
    </row>
    <row r="21" spans="1:41">
      <c r="A21" s="979">
        <v>15</v>
      </c>
      <c r="B21" s="980" t="s">
        <v>116</v>
      </c>
      <c r="C21" s="1169">
        <v>0</v>
      </c>
      <c r="D21" s="982">
        <f>'Table 3 Levels 1&amp;2'!AL22</f>
        <v>5440.6588926253107</v>
      </c>
      <c r="E21" s="1073">
        <f t="shared" si="33"/>
        <v>0</v>
      </c>
      <c r="F21" s="1073">
        <f>'Table 4 Level 3'!P20</f>
        <v>553.79999999999995</v>
      </c>
      <c r="G21" s="1073">
        <f t="shared" si="34"/>
        <v>0</v>
      </c>
      <c r="H21" s="1033">
        <f t="shared" si="35"/>
        <v>0</v>
      </c>
      <c r="I21" s="1416">
        <f>'[1]Oct midyear Southwest LA Chtr'!K21</f>
        <v>0</v>
      </c>
      <c r="J21" s="1416">
        <f>'[1]Feb midyear Southwest LA Ch '!K21</f>
        <v>0</v>
      </c>
      <c r="K21" s="1416">
        <f t="shared" si="36"/>
        <v>0</v>
      </c>
      <c r="L21" s="1435">
        <f t="shared" si="37"/>
        <v>0</v>
      </c>
      <c r="M21" s="1083">
        <f t="shared" si="38"/>
        <v>0</v>
      </c>
      <c r="N21" s="1033">
        <f t="shared" si="39"/>
        <v>0</v>
      </c>
      <c r="O21" s="1033">
        <v>0</v>
      </c>
      <c r="P21" s="1033">
        <f t="shared" si="40"/>
        <v>0</v>
      </c>
      <c r="Q21" s="1033">
        <v>0</v>
      </c>
      <c r="R21" s="1033">
        <f t="shared" si="41"/>
        <v>0</v>
      </c>
      <c r="S21" s="1033">
        <f t="shared" si="42"/>
        <v>0</v>
      </c>
      <c r="T21" s="1034">
        <f>'[14]FY2012-13 Final'!K22</f>
        <v>2752</v>
      </c>
      <c r="U21" s="1035">
        <f t="shared" si="30"/>
        <v>0</v>
      </c>
      <c r="V21" s="1465">
        <f>'[20]Oct midyear Southwest LA Chtr'!E21</f>
        <v>0</v>
      </c>
      <c r="W21" s="1445">
        <f t="shared" si="43"/>
        <v>0</v>
      </c>
      <c r="X21" s="1475">
        <f>'[20]Feb midyear Southwest LA Ch '!E21</f>
        <v>0</v>
      </c>
      <c r="Y21" s="1471">
        <f t="shared" si="44"/>
        <v>0</v>
      </c>
      <c r="Z21" s="1471">
        <f t="shared" si="45"/>
        <v>0</v>
      </c>
      <c r="AA21" s="1035">
        <f t="shared" si="46"/>
        <v>0</v>
      </c>
      <c r="AB21" s="1091">
        <f t="shared" si="47"/>
        <v>0</v>
      </c>
      <c r="AC21" s="1035">
        <f t="shared" si="48"/>
        <v>0</v>
      </c>
      <c r="AD21" s="1035">
        <v>0</v>
      </c>
      <c r="AE21" s="1035">
        <f t="shared" si="49"/>
        <v>0</v>
      </c>
      <c r="AF21" s="1035">
        <v>0</v>
      </c>
      <c r="AG21" s="1450">
        <f t="shared" si="50"/>
        <v>0</v>
      </c>
      <c r="AH21" s="1450">
        <f t="shared" si="51"/>
        <v>0</v>
      </c>
      <c r="AI21" s="1036">
        <f t="shared" si="31"/>
        <v>0</v>
      </c>
      <c r="AJ21" s="1036">
        <f t="shared" si="32"/>
        <v>0</v>
      </c>
      <c r="AL21" s="49">
        <f t="shared" si="52"/>
        <v>0</v>
      </c>
      <c r="AM21" s="49">
        <f>-'[22]Table 5C1H-Southwest LA Charter'!AL21</f>
        <v>0</v>
      </c>
      <c r="AN21" s="49">
        <f>-'[21]Table 5C1H-Southwest LA Charter'!P21</f>
        <v>0</v>
      </c>
      <c r="AO21" s="49">
        <f t="shared" si="53"/>
        <v>0</v>
      </c>
    </row>
    <row r="22" spans="1:41">
      <c r="A22" s="968">
        <v>16</v>
      </c>
      <c r="B22" s="969" t="s">
        <v>117</v>
      </c>
      <c r="C22" s="1170">
        <v>0</v>
      </c>
      <c r="D22" s="971">
        <f>'Table 3 Levels 1&amp;2'!AL23</f>
        <v>1508.2103091706706</v>
      </c>
      <c r="E22" s="1071">
        <f t="shared" si="33"/>
        <v>0</v>
      </c>
      <c r="F22" s="1071">
        <f>'Table 4 Level 3'!P21</f>
        <v>686.73</v>
      </c>
      <c r="G22" s="1071">
        <f t="shared" si="34"/>
        <v>0</v>
      </c>
      <c r="H22" s="972">
        <f t="shared" si="35"/>
        <v>0</v>
      </c>
      <c r="I22" s="1414">
        <f>'[1]Oct midyear Southwest LA Chtr'!K22</f>
        <v>0</v>
      </c>
      <c r="J22" s="1414">
        <f>'[1]Feb midyear Southwest LA Ch '!K22</f>
        <v>0</v>
      </c>
      <c r="K22" s="1414">
        <f t="shared" si="36"/>
        <v>0</v>
      </c>
      <c r="L22" s="1213">
        <f t="shared" si="37"/>
        <v>0</v>
      </c>
      <c r="M22" s="1081">
        <f t="shared" si="38"/>
        <v>0</v>
      </c>
      <c r="N22" s="972">
        <f t="shared" si="39"/>
        <v>0</v>
      </c>
      <c r="O22" s="972">
        <v>0</v>
      </c>
      <c r="P22" s="972">
        <f t="shared" si="40"/>
        <v>0</v>
      </c>
      <c r="Q22" s="972">
        <v>0</v>
      </c>
      <c r="R22" s="972">
        <f t="shared" si="41"/>
        <v>0</v>
      </c>
      <c r="S22" s="972">
        <f t="shared" si="42"/>
        <v>0</v>
      </c>
      <c r="T22" s="1029">
        <f>'[14]FY2012-13 Final'!K23</f>
        <v>15097</v>
      </c>
      <c r="U22" s="973">
        <f t="shared" si="30"/>
        <v>0</v>
      </c>
      <c r="V22" s="1466">
        <f>'[20]Oct midyear Southwest LA Chtr'!E22</f>
        <v>0</v>
      </c>
      <c r="W22" s="1444">
        <f t="shared" si="43"/>
        <v>0</v>
      </c>
      <c r="X22" s="1466">
        <f>'[20]Feb midyear Southwest LA Ch '!E22</f>
        <v>0</v>
      </c>
      <c r="Y22" s="1444">
        <f t="shared" si="44"/>
        <v>0</v>
      </c>
      <c r="Z22" s="1444">
        <f t="shared" si="45"/>
        <v>0</v>
      </c>
      <c r="AA22" s="973">
        <f t="shared" si="46"/>
        <v>0</v>
      </c>
      <c r="AB22" s="1089">
        <f t="shared" si="47"/>
        <v>0</v>
      </c>
      <c r="AC22" s="973">
        <f t="shared" si="48"/>
        <v>0</v>
      </c>
      <c r="AD22" s="973">
        <v>0</v>
      </c>
      <c r="AE22" s="973">
        <f t="shared" si="49"/>
        <v>0</v>
      </c>
      <c r="AF22" s="973">
        <v>0</v>
      </c>
      <c r="AG22" s="1214">
        <f t="shared" si="50"/>
        <v>0</v>
      </c>
      <c r="AH22" s="1214">
        <f t="shared" si="51"/>
        <v>0</v>
      </c>
      <c r="AI22" s="974">
        <f t="shared" si="31"/>
        <v>0</v>
      </c>
      <c r="AJ22" s="974">
        <f t="shared" si="32"/>
        <v>0</v>
      </c>
      <c r="AL22" s="49">
        <f t="shared" si="52"/>
        <v>0</v>
      </c>
      <c r="AM22" s="49">
        <f>-'[22]Table 5C1H-Southwest LA Charter'!AL22</f>
        <v>0</v>
      </c>
      <c r="AN22" s="49">
        <f>-'[21]Table 5C1H-Southwest LA Charter'!P22</f>
        <v>0</v>
      </c>
      <c r="AO22" s="49">
        <f t="shared" si="53"/>
        <v>0</v>
      </c>
    </row>
    <row r="23" spans="1:41">
      <c r="A23" s="975">
        <v>17</v>
      </c>
      <c r="B23" s="976" t="s">
        <v>118</v>
      </c>
      <c r="C23" s="1168">
        <v>0</v>
      </c>
      <c r="D23" s="978">
        <f>'Table 3 Levels 1&amp;2'!AL24</f>
        <v>3395.7244841073689</v>
      </c>
      <c r="E23" s="1072">
        <f t="shared" si="33"/>
        <v>0</v>
      </c>
      <c r="F23" s="1072">
        <f>'Table 5B2_RSD_LA'!F7</f>
        <v>801.47762416806802</v>
      </c>
      <c r="G23" s="1072">
        <f t="shared" si="34"/>
        <v>0</v>
      </c>
      <c r="H23" s="1030">
        <f t="shared" si="35"/>
        <v>0</v>
      </c>
      <c r="I23" s="1415">
        <f>'[1]Oct midyear Southwest LA Chtr'!K23</f>
        <v>0</v>
      </c>
      <c r="J23" s="1415">
        <f>'[1]Feb midyear Southwest LA Ch '!K23</f>
        <v>0</v>
      </c>
      <c r="K23" s="1415">
        <f t="shared" si="36"/>
        <v>0</v>
      </c>
      <c r="L23" s="1434">
        <f t="shared" si="37"/>
        <v>0</v>
      </c>
      <c r="M23" s="1082">
        <f t="shared" si="38"/>
        <v>0</v>
      </c>
      <c r="N23" s="1030">
        <f t="shared" si="39"/>
        <v>0</v>
      </c>
      <c r="O23" s="1030">
        <v>0</v>
      </c>
      <c r="P23" s="1030">
        <f t="shared" si="40"/>
        <v>0</v>
      </c>
      <c r="Q23" s="1030">
        <v>0</v>
      </c>
      <c r="R23" s="1030">
        <f t="shared" si="41"/>
        <v>0</v>
      </c>
      <c r="S23" s="1030">
        <f t="shared" si="42"/>
        <v>0</v>
      </c>
      <c r="T23" s="1029">
        <f>'[14]FY2012-13 Final'!K24</f>
        <v>6601</v>
      </c>
      <c r="U23" s="1031">
        <f t="shared" si="30"/>
        <v>0</v>
      </c>
      <c r="V23" s="1464">
        <f>'[20]Oct midyear Southwest LA Chtr'!E23</f>
        <v>0</v>
      </c>
      <c r="W23" s="1443">
        <f t="shared" si="43"/>
        <v>0</v>
      </c>
      <c r="X23" s="1474">
        <f>'[20]Feb midyear Southwest LA Ch '!E23</f>
        <v>0</v>
      </c>
      <c r="Y23" s="1470">
        <f t="shared" si="44"/>
        <v>0</v>
      </c>
      <c r="Z23" s="1470">
        <f t="shared" si="45"/>
        <v>0</v>
      </c>
      <c r="AA23" s="1031">
        <f t="shared" si="46"/>
        <v>0</v>
      </c>
      <c r="AB23" s="1090">
        <f t="shared" si="47"/>
        <v>0</v>
      </c>
      <c r="AC23" s="1031">
        <f t="shared" si="48"/>
        <v>0</v>
      </c>
      <c r="AD23" s="1031">
        <v>0</v>
      </c>
      <c r="AE23" s="1031">
        <f t="shared" si="49"/>
        <v>0</v>
      </c>
      <c r="AF23" s="1031">
        <v>0</v>
      </c>
      <c r="AG23" s="1448">
        <f t="shared" si="50"/>
        <v>0</v>
      </c>
      <c r="AH23" s="1448">
        <f t="shared" si="51"/>
        <v>0</v>
      </c>
      <c r="AI23" s="1032">
        <f t="shared" si="31"/>
        <v>0</v>
      </c>
      <c r="AJ23" s="1032">
        <f t="shared" si="32"/>
        <v>0</v>
      </c>
      <c r="AL23" s="49">
        <f t="shared" si="52"/>
        <v>0</v>
      </c>
      <c r="AM23" s="49">
        <f>-'[22]Table 5C1H-Southwest LA Charter'!AL23</f>
        <v>0</v>
      </c>
      <c r="AN23" s="49">
        <f>-'[21]Table 5C1H-Southwest LA Charter'!P23</f>
        <v>0</v>
      </c>
      <c r="AO23" s="49">
        <f t="shared" si="53"/>
        <v>0</v>
      </c>
    </row>
    <row r="24" spans="1:41">
      <c r="A24" s="975">
        <v>18</v>
      </c>
      <c r="B24" s="976" t="s">
        <v>119</v>
      </c>
      <c r="C24" s="1168">
        <v>0</v>
      </c>
      <c r="D24" s="978">
        <f>'Table 3 Levels 1&amp;2'!AL25</f>
        <v>5811.9176591224677</v>
      </c>
      <c r="E24" s="1072">
        <f t="shared" si="33"/>
        <v>0</v>
      </c>
      <c r="F24" s="1072">
        <f>'Table 4 Level 3'!P23</f>
        <v>845.94999999999993</v>
      </c>
      <c r="G24" s="1072">
        <f t="shared" si="34"/>
        <v>0</v>
      </c>
      <c r="H24" s="1030">
        <f t="shared" si="35"/>
        <v>0</v>
      </c>
      <c r="I24" s="1415">
        <f>'[1]Oct midyear Southwest LA Chtr'!K24</f>
        <v>0</v>
      </c>
      <c r="J24" s="1415">
        <f>'[1]Feb midyear Southwest LA Ch '!K24</f>
        <v>0</v>
      </c>
      <c r="K24" s="1415">
        <f t="shared" si="36"/>
        <v>0</v>
      </c>
      <c r="L24" s="1434">
        <f t="shared" si="37"/>
        <v>0</v>
      </c>
      <c r="M24" s="1082">
        <f t="shared" si="38"/>
        <v>0</v>
      </c>
      <c r="N24" s="1030">
        <f t="shared" si="39"/>
        <v>0</v>
      </c>
      <c r="O24" s="1030">
        <v>0</v>
      </c>
      <c r="P24" s="1030">
        <f t="shared" si="40"/>
        <v>0</v>
      </c>
      <c r="Q24" s="1030">
        <v>0</v>
      </c>
      <c r="R24" s="1030">
        <f t="shared" si="41"/>
        <v>0</v>
      </c>
      <c r="S24" s="1030">
        <f t="shared" si="42"/>
        <v>0</v>
      </c>
      <c r="T24" s="1029">
        <f>'[14]FY2012-13 Final'!K25</f>
        <v>2179</v>
      </c>
      <c r="U24" s="1031">
        <f t="shared" si="30"/>
        <v>0</v>
      </c>
      <c r="V24" s="1464">
        <f>'[20]Oct midyear Southwest LA Chtr'!E24</f>
        <v>0</v>
      </c>
      <c r="W24" s="1443">
        <f t="shared" si="43"/>
        <v>0</v>
      </c>
      <c r="X24" s="1474">
        <f>'[20]Feb midyear Southwest LA Ch '!E24</f>
        <v>0</v>
      </c>
      <c r="Y24" s="1470">
        <f t="shared" si="44"/>
        <v>0</v>
      </c>
      <c r="Z24" s="1470">
        <f t="shared" si="45"/>
        <v>0</v>
      </c>
      <c r="AA24" s="1031">
        <f t="shared" si="46"/>
        <v>0</v>
      </c>
      <c r="AB24" s="1090">
        <f t="shared" si="47"/>
        <v>0</v>
      </c>
      <c r="AC24" s="1031">
        <f t="shared" si="48"/>
        <v>0</v>
      </c>
      <c r="AD24" s="1031">
        <v>0</v>
      </c>
      <c r="AE24" s="1031">
        <f t="shared" si="49"/>
        <v>0</v>
      </c>
      <c r="AF24" s="1031">
        <v>0</v>
      </c>
      <c r="AG24" s="1448">
        <f t="shared" si="50"/>
        <v>0</v>
      </c>
      <c r="AH24" s="1448">
        <f t="shared" si="51"/>
        <v>0</v>
      </c>
      <c r="AI24" s="1032">
        <f t="shared" si="31"/>
        <v>0</v>
      </c>
      <c r="AJ24" s="1032">
        <f t="shared" si="32"/>
        <v>0</v>
      </c>
      <c r="AL24" s="49">
        <f t="shared" si="52"/>
        <v>0</v>
      </c>
      <c r="AM24" s="49">
        <f>-'[22]Table 5C1H-Southwest LA Charter'!AL24</f>
        <v>0</v>
      </c>
      <c r="AN24" s="49">
        <f>-'[21]Table 5C1H-Southwest LA Charter'!P24</f>
        <v>0</v>
      </c>
      <c r="AO24" s="49">
        <f t="shared" si="53"/>
        <v>0</v>
      </c>
    </row>
    <row r="25" spans="1:41">
      <c r="A25" s="975">
        <v>19</v>
      </c>
      <c r="B25" s="976" t="s">
        <v>120</v>
      </c>
      <c r="C25" s="1168">
        <v>0</v>
      </c>
      <c r="D25" s="978">
        <f>'Table 3 Levels 1&amp;2'!AL26</f>
        <v>5201.7687653250778</v>
      </c>
      <c r="E25" s="1072">
        <f t="shared" si="33"/>
        <v>0</v>
      </c>
      <c r="F25" s="1072">
        <f>'Table 4 Level 3'!P24</f>
        <v>905.43</v>
      </c>
      <c r="G25" s="1072">
        <f t="shared" si="34"/>
        <v>0</v>
      </c>
      <c r="H25" s="1030">
        <f t="shared" si="35"/>
        <v>0</v>
      </c>
      <c r="I25" s="1415">
        <f>'[1]Oct midyear Southwest LA Chtr'!K25</f>
        <v>0</v>
      </c>
      <c r="J25" s="1415">
        <f>'[1]Feb midyear Southwest LA Ch '!K25</f>
        <v>0</v>
      </c>
      <c r="K25" s="1415">
        <f t="shared" si="36"/>
        <v>0</v>
      </c>
      <c r="L25" s="1434">
        <f t="shared" si="37"/>
        <v>0</v>
      </c>
      <c r="M25" s="1082">
        <f t="shared" si="38"/>
        <v>0</v>
      </c>
      <c r="N25" s="1030">
        <f t="shared" si="39"/>
        <v>0</v>
      </c>
      <c r="O25" s="1030">
        <v>0</v>
      </c>
      <c r="P25" s="1030">
        <f t="shared" si="40"/>
        <v>0</v>
      </c>
      <c r="Q25" s="1030">
        <v>0</v>
      </c>
      <c r="R25" s="1030">
        <f t="shared" si="41"/>
        <v>0</v>
      </c>
      <c r="S25" s="1030">
        <f t="shared" si="42"/>
        <v>0</v>
      </c>
      <c r="T25" s="1029">
        <f>'[14]FY2012-13 Final'!K26</f>
        <v>2736</v>
      </c>
      <c r="U25" s="1031">
        <f t="shared" si="30"/>
        <v>0</v>
      </c>
      <c r="V25" s="1464">
        <f>'[20]Oct midyear Southwest LA Chtr'!E25</f>
        <v>0</v>
      </c>
      <c r="W25" s="1443">
        <f t="shared" si="43"/>
        <v>0</v>
      </c>
      <c r="X25" s="1474">
        <f>'[20]Feb midyear Southwest LA Ch '!E25</f>
        <v>0</v>
      </c>
      <c r="Y25" s="1470">
        <f t="shared" si="44"/>
        <v>0</v>
      </c>
      <c r="Z25" s="1470">
        <f t="shared" si="45"/>
        <v>0</v>
      </c>
      <c r="AA25" s="1031">
        <f t="shared" si="46"/>
        <v>0</v>
      </c>
      <c r="AB25" s="1090">
        <f t="shared" si="47"/>
        <v>0</v>
      </c>
      <c r="AC25" s="1031">
        <f t="shared" si="48"/>
        <v>0</v>
      </c>
      <c r="AD25" s="1031">
        <v>0</v>
      </c>
      <c r="AE25" s="1031">
        <f t="shared" si="49"/>
        <v>0</v>
      </c>
      <c r="AF25" s="1031">
        <v>0</v>
      </c>
      <c r="AG25" s="1448">
        <f t="shared" si="50"/>
        <v>0</v>
      </c>
      <c r="AH25" s="1448">
        <f t="shared" si="51"/>
        <v>0</v>
      </c>
      <c r="AI25" s="1032">
        <f t="shared" si="31"/>
        <v>0</v>
      </c>
      <c r="AJ25" s="1032">
        <f t="shared" si="32"/>
        <v>0</v>
      </c>
      <c r="AL25" s="49">
        <f t="shared" si="52"/>
        <v>0</v>
      </c>
      <c r="AM25" s="49">
        <f>-'[22]Table 5C1H-Southwest LA Charter'!AL25</f>
        <v>0</v>
      </c>
      <c r="AN25" s="49">
        <f>-'[21]Table 5C1H-Southwest LA Charter'!P25</f>
        <v>0</v>
      </c>
      <c r="AO25" s="49">
        <f t="shared" si="53"/>
        <v>0</v>
      </c>
    </row>
    <row r="26" spans="1:41">
      <c r="A26" s="979">
        <v>20</v>
      </c>
      <c r="B26" s="980" t="s">
        <v>121</v>
      </c>
      <c r="C26" s="1169">
        <v>0</v>
      </c>
      <c r="D26" s="982">
        <f>'Table 3 Levels 1&amp;2'!AL27</f>
        <v>5446.6066076220959</v>
      </c>
      <c r="E26" s="1073">
        <f t="shared" si="33"/>
        <v>0</v>
      </c>
      <c r="F26" s="1073">
        <f>'Table 4 Level 3'!P25</f>
        <v>586.16999999999996</v>
      </c>
      <c r="G26" s="1073">
        <f t="shared" si="34"/>
        <v>0</v>
      </c>
      <c r="H26" s="1033">
        <f t="shared" si="35"/>
        <v>0</v>
      </c>
      <c r="I26" s="1416">
        <f>'[1]Oct midyear Southwest LA Chtr'!K26</f>
        <v>0</v>
      </c>
      <c r="J26" s="1416">
        <f>'[1]Feb midyear Southwest LA Ch '!K26</f>
        <v>0</v>
      </c>
      <c r="K26" s="1416">
        <f t="shared" si="36"/>
        <v>0</v>
      </c>
      <c r="L26" s="1435">
        <f t="shared" si="37"/>
        <v>0</v>
      </c>
      <c r="M26" s="1083">
        <f t="shared" si="38"/>
        <v>0</v>
      </c>
      <c r="N26" s="1033">
        <f t="shared" si="39"/>
        <v>0</v>
      </c>
      <c r="O26" s="1033">
        <v>0</v>
      </c>
      <c r="P26" s="1033">
        <f t="shared" si="40"/>
        <v>0</v>
      </c>
      <c r="Q26" s="1033">
        <v>0</v>
      </c>
      <c r="R26" s="1033">
        <f t="shared" si="41"/>
        <v>0</v>
      </c>
      <c r="S26" s="1033">
        <f t="shared" si="42"/>
        <v>0</v>
      </c>
      <c r="T26" s="1034">
        <f>'[14]FY2012-13 Final'!K27</f>
        <v>2337</v>
      </c>
      <c r="U26" s="1035">
        <f t="shared" si="30"/>
        <v>0</v>
      </c>
      <c r="V26" s="1465">
        <f>'[20]Oct midyear Southwest LA Chtr'!E26</f>
        <v>0</v>
      </c>
      <c r="W26" s="1445">
        <f t="shared" si="43"/>
        <v>0</v>
      </c>
      <c r="X26" s="1475">
        <f>'[20]Feb midyear Southwest LA Ch '!E26</f>
        <v>0</v>
      </c>
      <c r="Y26" s="1471">
        <f t="shared" si="44"/>
        <v>0</v>
      </c>
      <c r="Z26" s="1471">
        <f t="shared" si="45"/>
        <v>0</v>
      </c>
      <c r="AA26" s="1035">
        <f t="shared" si="46"/>
        <v>0</v>
      </c>
      <c r="AB26" s="1091">
        <f t="shared" si="47"/>
        <v>0</v>
      </c>
      <c r="AC26" s="1035">
        <f t="shared" si="48"/>
        <v>0</v>
      </c>
      <c r="AD26" s="1035">
        <v>0</v>
      </c>
      <c r="AE26" s="1035">
        <f t="shared" si="49"/>
        <v>0</v>
      </c>
      <c r="AF26" s="1035">
        <v>0</v>
      </c>
      <c r="AG26" s="1450">
        <f t="shared" si="50"/>
        <v>0</v>
      </c>
      <c r="AH26" s="1450">
        <f t="shared" si="51"/>
        <v>0</v>
      </c>
      <c r="AI26" s="1036">
        <f t="shared" si="31"/>
        <v>0</v>
      </c>
      <c r="AJ26" s="1036">
        <f t="shared" si="32"/>
        <v>0</v>
      </c>
      <c r="AL26" s="49">
        <f t="shared" si="52"/>
        <v>0</v>
      </c>
      <c r="AM26" s="49">
        <f>-'[22]Table 5C1H-Southwest LA Charter'!AL26</f>
        <v>0</v>
      </c>
      <c r="AN26" s="49">
        <f>-'[21]Table 5C1H-Southwest LA Charter'!P26</f>
        <v>0</v>
      </c>
      <c r="AO26" s="49">
        <f t="shared" si="53"/>
        <v>0</v>
      </c>
    </row>
    <row r="27" spans="1:41">
      <c r="A27" s="968">
        <v>21</v>
      </c>
      <c r="B27" s="969" t="s">
        <v>122</v>
      </c>
      <c r="C27" s="1170">
        <v>0</v>
      </c>
      <c r="D27" s="971">
        <f>'Table 3 Levels 1&amp;2'!AL28</f>
        <v>5761.9798531850847</v>
      </c>
      <c r="E27" s="1071">
        <f t="shared" si="33"/>
        <v>0</v>
      </c>
      <c r="F27" s="1071">
        <f>'Table 4 Level 3'!P26</f>
        <v>610.35</v>
      </c>
      <c r="G27" s="1071">
        <f t="shared" si="34"/>
        <v>0</v>
      </c>
      <c r="H27" s="972">
        <f t="shared" si="35"/>
        <v>0</v>
      </c>
      <c r="I27" s="1414">
        <f>'[1]Oct midyear Southwest LA Chtr'!K27</f>
        <v>0</v>
      </c>
      <c r="J27" s="1414">
        <f>'[1]Feb midyear Southwest LA Ch '!K27</f>
        <v>0</v>
      </c>
      <c r="K27" s="1414">
        <f t="shared" si="36"/>
        <v>0</v>
      </c>
      <c r="L27" s="1213">
        <f t="shared" si="37"/>
        <v>0</v>
      </c>
      <c r="M27" s="1081">
        <f t="shared" si="38"/>
        <v>0</v>
      </c>
      <c r="N27" s="972">
        <f t="shared" si="39"/>
        <v>0</v>
      </c>
      <c r="O27" s="972">
        <v>0</v>
      </c>
      <c r="P27" s="972">
        <f t="shared" si="40"/>
        <v>0</v>
      </c>
      <c r="Q27" s="972">
        <v>0</v>
      </c>
      <c r="R27" s="972">
        <f t="shared" si="41"/>
        <v>0</v>
      </c>
      <c r="S27" s="972">
        <f t="shared" si="42"/>
        <v>0</v>
      </c>
      <c r="T27" s="1029">
        <f>'[14]FY2012-13 Final'!K28</f>
        <v>2293</v>
      </c>
      <c r="U27" s="973">
        <f t="shared" si="30"/>
        <v>0</v>
      </c>
      <c r="V27" s="1466">
        <f>'[20]Oct midyear Southwest LA Chtr'!E27</f>
        <v>0</v>
      </c>
      <c r="W27" s="1444">
        <f t="shared" si="43"/>
        <v>0</v>
      </c>
      <c r="X27" s="1466">
        <f>'[20]Feb midyear Southwest LA Ch '!E27</f>
        <v>0</v>
      </c>
      <c r="Y27" s="1444">
        <f t="shared" si="44"/>
        <v>0</v>
      </c>
      <c r="Z27" s="1444">
        <f t="shared" si="45"/>
        <v>0</v>
      </c>
      <c r="AA27" s="973">
        <f t="shared" si="46"/>
        <v>0</v>
      </c>
      <c r="AB27" s="1089">
        <f t="shared" si="47"/>
        <v>0</v>
      </c>
      <c r="AC27" s="973">
        <f t="shared" si="48"/>
        <v>0</v>
      </c>
      <c r="AD27" s="973">
        <v>0</v>
      </c>
      <c r="AE27" s="973">
        <f t="shared" si="49"/>
        <v>0</v>
      </c>
      <c r="AF27" s="973">
        <v>0</v>
      </c>
      <c r="AG27" s="1214">
        <f t="shared" si="50"/>
        <v>0</v>
      </c>
      <c r="AH27" s="1214">
        <f t="shared" si="51"/>
        <v>0</v>
      </c>
      <c r="AI27" s="974">
        <f t="shared" si="31"/>
        <v>0</v>
      </c>
      <c r="AJ27" s="974">
        <f t="shared" si="32"/>
        <v>0</v>
      </c>
      <c r="AL27" s="49">
        <f t="shared" si="52"/>
        <v>0</v>
      </c>
      <c r="AM27" s="49">
        <f>-'[22]Table 5C1H-Southwest LA Charter'!AL27</f>
        <v>0</v>
      </c>
      <c r="AN27" s="49">
        <f>-'[21]Table 5C1H-Southwest LA Charter'!P27</f>
        <v>0</v>
      </c>
      <c r="AO27" s="49">
        <f t="shared" si="53"/>
        <v>0</v>
      </c>
    </row>
    <row r="28" spans="1:41">
      <c r="A28" s="975">
        <v>22</v>
      </c>
      <c r="B28" s="976" t="s">
        <v>123</v>
      </c>
      <c r="C28" s="1168">
        <v>0</v>
      </c>
      <c r="D28" s="978">
        <f>'Table 3 Levels 1&amp;2'!AL29</f>
        <v>6212.5932514983215</v>
      </c>
      <c r="E28" s="1072">
        <f t="shared" si="33"/>
        <v>0</v>
      </c>
      <c r="F28" s="1072">
        <f>'Table 4 Level 3'!P27</f>
        <v>496.36</v>
      </c>
      <c r="G28" s="1072">
        <f t="shared" si="34"/>
        <v>0</v>
      </c>
      <c r="H28" s="1030">
        <f t="shared" si="35"/>
        <v>0</v>
      </c>
      <c r="I28" s="1415">
        <f>'[1]Oct midyear Southwest LA Chtr'!K28</f>
        <v>0</v>
      </c>
      <c r="J28" s="1415">
        <f>'[1]Feb midyear Southwest LA Ch '!K28</f>
        <v>0</v>
      </c>
      <c r="K28" s="1415">
        <f t="shared" si="36"/>
        <v>0</v>
      </c>
      <c r="L28" s="1434">
        <f t="shared" si="37"/>
        <v>0</v>
      </c>
      <c r="M28" s="1082">
        <f t="shared" si="38"/>
        <v>0</v>
      </c>
      <c r="N28" s="1030">
        <f t="shared" si="39"/>
        <v>0</v>
      </c>
      <c r="O28" s="1030">
        <v>0</v>
      </c>
      <c r="P28" s="1030">
        <f t="shared" si="40"/>
        <v>0</v>
      </c>
      <c r="Q28" s="1030">
        <v>0</v>
      </c>
      <c r="R28" s="1030">
        <f t="shared" si="41"/>
        <v>0</v>
      </c>
      <c r="S28" s="1030">
        <f t="shared" si="42"/>
        <v>0</v>
      </c>
      <c r="T28" s="1029">
        <f>'[14]FY2012-13 Final'!K29</f>
        <v>1412</v>
      </c>
      <c r="U28" s="1031">
        <f t="shared" si="30"/>
        <v>0</v>
      </c>
      <c r="V28" s="1464">
        <f>'[20]Oct midyear Southwest LA Chtr'!E28</f>
        <v>0</v>
      </c>
      <c r="W28" s="1443">
        <f t="shared" si="43"/>
        <v>0</v>
      </c>
      <c r="X28" s="1474">
        <f>'[20]Feb midyear Southwest LA Ch '!E28</f>
        <v>0</v>
      </c>
      <c r="Y28" s="1470">
        <f t="shared" si="44"/>
        <v>0</v>
      </c>
      <c r="Z28" s="1470">
        <f t="shared" si="45"/>
        <v>0</v>
      </c>
      <c r="AA28" s="1031">
        <f t="shared" si="46"/>
        <v>0</v>
      </c>
      <c r="AB28" s="1090">
        <f t="shared" si="47"/>
        <v>0</v>
      </c>
      <c r="AC28" s="1031">
        <f t="shared" si="48"/>
        <v>0</v>
      </c>
      <c r="AD28" s="1031">
        <v>0</v>
      </c>
      <c r="AE28" s="1031">
        <f t="shared" si="49"/>
        <v>0</v>
      </c>
      <c r="AF28" s="1031">
        <v>0</v>
      </c>
      <c r="AG28" s="1448">
        <f t="shared" si="50"/>
        <v>0</v>
      </c>
      <c r="AH28" s="1448">
        <f t="shared" si="51"/>
        <v>0</v>
      </c>
      <c r="AI28" s="1032">
        <f t="shared" si="31"/>
        <v>0</v>
      </c>
      <c r="AJ28" s="1032">
        <f t="shared" si="32"/>
        <v>0</v>
      </c>
      <c r="AL28" s="49">
        <f t="shared" si="52"/>
        <v>0</v>
      </c>
      <c r="AM28" s="49">
        <f>-'[22]Table 5C1H-Southwest LA Charter'!AL28</f>
        <v>0</v>
      </c>
      <c r="AN28" s="49">
        <f>-'[21]Table 5C1H-Southwest LA Charter'!P28</f>
        <v>0</v>
      </c>
      <c r="AO28" s="49">
        <f t="shared" si="53"/>
        <v>0</v>
      </c>
    </row>
    <row r="29" spans="1:41">
      <c r="A29" s="975">
        <v>23</v>
      </c>
      <c r="B29" s="976" t="s">
        <v>124</v>
      </c>
      <c r="C29" s="1168">
        <v>0</v>
      </c>
      <c r="D29" s="978">
        <f>'Table 3 Levels 1&amp;2'!AL30</f>
        <v>4824.5074836036147</v>
      </c>
      <c r="E29" s="1072">
        <f t="shared" si="33"/>
        <v>0</v>
      </c>
      <c r="F29" s="1072">
        <f>'Table 4 Level 3'!P28</f>
        <v>688.58</v>
      </c>
      <c r="G29" s="1072">
        <f t="shared" si="34"/>
        <v>0</v>
      </c>
      <c r="H29" s="1030">
        <f t="shared" si="35"/>
        <v>0</v>
      </c>
      <c r="I29" s="1415">
        <f>'[1]Oct midyear Southwest LA Chtr'!K29</f>
        <v>0</v>
      </c>
      <c r="J29" s="1415">
        <f>'[1]Feb midyear Southwest LA Ch '!K29</f>
        <v>0</v>
      </c>
      <c r="K29" s="1415">
        <f t="shared" si="36"/>
        <v>0</v>
      </c>
      <c r="L29" s="1434">
        <f t="shared" si="37"/>
        <v>0</v>
      </c>
      <c r="M29" s="1082">
        <f t="shared" si="38"/>
        <v>0</v>
      </c>
      <c r="N29" s="1030">
        <f t="shared" si="39"/>
        <v>0</v>
      </c>
      <c r="O29" s="1030">
        <v>0</v>
      </c>
      <c r="P29" s="1030">
        <f t="shared" si="40"/>
        <v>0</v>
      </c>
      <c r="Q29" s="1030">
        <v>0</v>
      </c>
      <c r="R29" s="1030">
        <f t="shared" si="41"/>
        <v>0</v>
      </c>
      <c r="S29" s="1030">
        <f t="shared" si="42"/>
        <v>0</v>
      </c>
      <c r="T29" s="1029">
        <f>'[14]FY2012-13 Final'!K30</f>
        <v>3278</v>
      </c>
      <c r="U29" s="1031">
        <f t="shared" si="30"/>
        <v>0</v>
      </c>
      <c r="V29" s="1464">
        <f>'[20]Oct midyear Southwest LA Chtr'!E29</f>
        <v>0</v>
      </c>
      <c r="W29" s="1443">
        <f t="shared" si="43"/>
        <v>0</v>
      </c>
      <c r="X29" s="1474">
        <f>'[20]Feb midyear Southwest LA Ch '!E29</f>
        <v>0</v>
      </c>
      <c r="Y29" s="1470">
        <f t="shared" si="44"/>
        <v>0</v>
      </c>
      <c r="Z29" s="1470">
        <f t="shared" si="45"/>
        <v>0</v>
      </c>
      <c r="AA29" s="1031">
        <f t="shared" si="46"/>
        <v>0</v>
      </c>
      <c r="AB29" s="1090">
        <f t="shared" si="47"/>
        <v>0</v>
      </c>
      <c r="AC29" s="1031">
        <f t="shared" si="48"/>
        <v>0</v>
      </c>
      <c r="AD29" s="1031">
        <v>0</v>
      </c>
      <c r="AE29" s="1031">
        <f t="shared" si="49"/>
        <v>0</v>
      </c>
      <c r="AF29" s="1031">
        <v>0</v>
      </c>
      <c r="AG29" s="1448">
        <f t="shared" si="50"/>
        <v>0</v>
      </c>
      <c r="AH29" s="1448">
        <f t="shared" si="51"/>
        <v>0</v>
      </c>
      <c r="AI29" s="1032">
        <f t="shared" si="31"/>
        <v>0</v>
      </c>
      <c r="AJ29" s="1032">
        <f t="shared" si="32"/>
        <v>0</v>
      </c>
      <c r="AL29" s="49">
        <f t="shared" si="52"/>
        <v>0</v>
      </c>
      <c r="AM29" s="49">
        <f>-'[22]Table 5C1H-Southwest LA Charter'!AL29</f>
        <v>0</v>
      </c>
      <c r="AN29" s="49">
        <f>-'[21]Table 5C1H-Southwest LA Charter'!P29</f>
        <v>0</v>
      </c>
      <c r="AO29" s="49">
        <f t="shared" si="53"/>
        <v>0</v>
      </c>
    </row>
    <row r="30" spans="1:41">
      <c r="A30" s="975">
        <v>24</v>
      </c>
      <c r="B30" s="976" t="s">
        <v>125</v>
      </c>
      <c r="C30" s="1168">
        <v>0</v>
      </c>
      <c r="D30" s="978">
        <f>'Table 3 Levels 1&amp;2'!AL31</f>
        <v>2654.5104003578617</v>
      </c>
      <c r="E30" s="1072">
        <f t="shared" si="33"/>
        <v>0</v>
      </c>
      <c r="F30" s="1072">
        <f>'Table 4 Level 3'!P29</f>
        <v>854.24999999999989</v>
      </c>
      <c r="G30" s="1072">
        <f t="shared" si="34"/>
        <v>0</v>
      </c>
      <c r="H30" s="1030">
        <f t="shared" si="35"/>
        <v>0</v>
      </c>
      <c r="I30" s="1415">
        <f>'[1]Oct midyear Southwest LA Chtr'!K30</f>
        <v>0</v>
      </c>
      <c r="J30" s="1415">
        <f>'[1]Feb midyear Southwest LA Ch '!K30</f>
        <v>0</v>
      </c>
      <c r="K30" s="1415">
        <f t="shared" si="36"/>
        <v>0</v>
      </c>
      <c r="L30" s="1434">
        <f t="shared" si="37"/>
        <v>0</v>
      </c>
      <c r="M30" s="1082">
        <f t="shared" si="38"/>
        <v>0</v>
      </c>
      <c r="N30" s="1030">
        <f t="shared" si="39"/>
        <v>0</v>
      </c>
      <c r="O30" s="1030">
        <v>0</v>
      </c>
      <c r="P30" s="1030">
        <f t="shared" si="40"/>
        <v>0</v>
      </c>
      <c r="Q30" s="1030">
        <v>0</v>
      </c>
      <c r="R30" s="1030">
        <f t="shared" si="41"/>
        <v>0</v>
      </c>
      <c r="S30" s="1030">
        <f t="shared" si="42"/>
        <v>0</v>
      </c>
      <c r="T30" s="1029">
        <f>'[14]FY2012-13 Final'!K31</f>
        <v>9311</v>
      </c>
      <c r="U30" s="1031">
        <f t="shared" si="30"/>
        <v>0</v>
      </c>
      <c r="V30" s="1464">
        <f>'[20]Oct midyear Southwest LA Chtr'!E30</f>
        <v>0</v>
      </c>
      <c r="W30" s="1443">
        <f t="shared" si="43"/>
        <v>0</v>
      </c>
      <c r="X30" s="1474">
        <f>'[20]Feb midyear Southwest LA Ch '!E30</f>
        <v>0</v>
      </c>
      <c r="Y30" s="1470">
        <f t="shared" si="44"/>
        <v>0</v>
      </c>
      <c r="Z30" s="1470">
        <f t="shared" si="45"/>
        <v>0</v>
      </c>
      <c r="AA30" s="1031">
        <f t="shared" si="46"/>
        <v>0</v>
      </c>
      <c r="AB30" s="1090">
        <f t="shared" si="47"/>
        <v>0</v>
      </c>
      <c r="AC30" s="1031">
        <f t="shared" si="48"/>
        <v>0</v>
      </c>
      <c r="AD30" s="1031">
        <v>0</v>
      </c>
      <c r="AE30" s="1031">
        <f t="shared" si="49"/>
        <v>0</v>
      </c>
      <c r="AF30" s="1031">
        <v>0</v>
      </c>
      <c r="AG30" s="1448">
        <f t="shared" si="50"/>
        <v>0</v>
      </c>
      <c r="AH30" s="1448">
        <f t="shared" si="51"/>
        <v>0</v>
      </c>
      <c r="AI30" s="1032">
        <f t="shared" si="31"/>
        <v>0</v>
      </c>
      <c r="AJ30" s="1032">
        <f t="shared" si="32"/>
        <v>0</v>
      </c>
      <c r="AL30" s="49">
        <f t="shared" si="52"/>
        <v>0</v>
      </c>
      <c r="AM30" s="49">
        <f>-'[22]Table 5C1H-Southwest LA Charter'!AL30</f>
        <v>0</v>
      </c>
      <c r="AN30" s="49">
        <f>-'[21]Table 5C1H-Southwest LA Charter'!P30</f>
        <v>0</v>
      </c>
      <c r="AO30" s="49">
        <f t="shared" si="53"/>
        <v>0</v>
      </c>
    </row>
    <row r="31" spans="1:41">
      <c r="A31" s="979">
        <v>25</v>
      </c>
      <c r="B31" s="980" t="s">
        <v>126</v>
      </c>
      <c r="C31" s="1169">
        <v>0</v>
      </c>
      <c r="D31" s="982">
        <f>'Table 3 Levels 1&amp;2'!AL32</f>
        <v>3876.6607101712493</v>
      </c>
      <c r="E31" s="1073">
        <f t="shared" si="33"/>
        <v>0</v>
      </c>
      <c r="F31" s="1073">
        <f>'Table 4 Level 3'!P30</f>
        <v>653.73</v>
      </c>
      <c r="G31" s="1073">
        <f t="shared" si="34"/>
        <v>0</v>
      </c>
      <c r="H31" s="1033">
        <f t="shared" si="35"/>
        <v>0</v>
      </c>
      <c r="I31" s="1416">
        <f>'[1]Oct midyear Southwest LA Chtr'!K31</f>
        <v>0</v>
      </c>
      <c r="J31" s="1416">
        <f>'[1]Feb midyear Southwest LA Ch '!K31</f>
        <v>0</v>
      </c>
      <c r="K31" s="1416">
        <f t="shared" si="36"/>
        <v>0</v>
      </c>
      <c r="L31" s="1435">
        <f t="shared" si="37"/>
        <v>0</v>
      </c>
      <c r="M31" s="1083">
        <f t="shared" si="38"/>
        <v>0</v>
      </c>
      <c r="N31" s="1033">
        <f t="shared" si="39"/>
        <v>0</v>
      </c>
      <c r="O31" s="1033">
        <v>0</v>
      </c>
      <c r="P31" s="1033">
        <f t="shared" si="40"/>
        <v>0</v>
      </c>
      <c r="Q31" s="1033">
        <v>0</v>
      </c>
      <c r="R31" s="1033">
        <f t="shared" si="41"/>
        <v>0</v>
      </c>
      <c r="S31" s="1033">
        <f t="shared" si="42"/>
        <v>0</v>
      </c>
      <c r="T31" s="1034">
        <f>'[14]FY2012-13 Final'!K32</f>
        <v>5361</v>
      </c>
      <c r="U31" s="1035">
        <f t="shared" si="30"/>
        <v>0</v>
      </c>
      <c r="V31" s="1465">
        <f>'[20]Oct midyear Southwest LA Chtr'!E31</f>
        <v>0</v>
      </c>
      <c r="W31" s="1445">
        <f t="shared" si="43"/>
        <v>0</v>
      </c>
      <c r="X31" s="1475">
        <f>'[20]Feb midyear Southwest LA Ch '!E31</f>
        <v>0</v>
      </c>
      <c r="Y31" s="1471">
        <f t="shared" si="44"/>
        <v>0</v>
      </c>
      <c r="Z31" s="1471">
        <f t="shared" si="45"/>
        <v>0</v>
      </c>
      <c r="AA31" s="1035">
        <f t="shared" si="46"/>
        <v>0</v>
      </c>
      <c r="AB31" s="1091">
        <f t="shared" si="47"/>
        <v>0</v>
      </c>
      <c r="AC31" s="1035">
        <f t="shared" si="48"/>
        <v>0</v>
      </c>
      <c r="AD31" s="1035">
        <v>0</v>
      </c>
      <c r="AE31" s="1035">
        <f t="shared" si="49"/>
        <v>0</v>
      </c>
      <c r="AF31" s="1035">
        <v>0</v>
      </c>
      <c r="AG31" s="1450">
        <f t="shared" si="50"/>
        <v>0</v>
      </c>
      <c r="AH31" s="1450">
        <f t="shared" si="51"/>
        <v>0</v>
      </c>
      <c r="AI31" s="1036">
        <f t="shared" si="31"/>
        <v>0</v>
      </c>
      <c r="AJ31" s="1036">
        <f t="shared" si="32"/>
        <v>0</v>
      </c>
      <c r="AL31" s="49">
        <f t="shared" si="52"/>
        <v>0</v>
      </c>
      <c r="AM31" s="49">
        <f>-'[22]Table 5C1H-Southwest LA Charter'!AL31</f>
        <v>0</v>
      </c>
      <c r="AN31" s="49">
        <f>-'[21]Table 5C1H-Southwest LA Charter'!P31</f>
        <v>0</v>
      </c>
      <c r="AO31" s="49">
        <f t="shared" si="53"/>
        <v>0</v>
      </c>
    </row>
    <row r="32" spans="1:41">
      <c r="A32" s="968">
        <v>26</v>
      </c>
      <c r="B32" s="969" t="s">
        <v>127</v>
      </c>
      <c r="C32" s="1170">
        <v>0</v>
      </c>
      <c r="D32" s="971">
        <f>'Table 3 Levels 1&amp;2'!AL33</f>
        <v>3130.9087022137969</v>
      </c>
      <c r="E32" s="1071">
        <f t="shared" si="33"/>
        <v>0</v>
      </c>
      <c r="F32" s="1071">
        <f>'Table 4 Level 3'!P31</f>
        <v>836.83</v>
      </c>
      <c r="G32" s="1071">
        <f t="shared" si="34"/>
        <v>0</v>
      </c>
      <c r="H32" s="972">
        <f t="shared" si="35"/>
        <v>0</v>
      </c>
      <c r="I32" s="1414">
        <f>'[1]Oct midyear Southwest LA Chtr'!K32</f>
        <v>0</v>
      </c>
      <c r="J32" s="1414">
        <f>'[1]Feb midyear Southwest LA Ch '!K32</f>
        <v>0</v>
      </c>
      <c r="K32" s="1414">
        <f t="shared" si="36"/>
        <v>0</v>
      </c>
      <c r="L32" s="1213">
        <f t="shared" si="37"/>
        <v>0</v>
      </c>
      <c r="M32" s="1081">
        <f t="shared" si="38"/>
        <v>0</v>
      </c>
      <c r="N32" s="972">
        <f t="shared" si="39"/>
        <v>0</v>
      </c>
      <c r="O32" s="972">
        <v>0</v>
      </c>
      <c r="P32" s="972">
        <f t="shared" si="40"/>
        <v>0</v>
      </c>
      <c r="Q32" s="972">
        <v>0</v>
      </c>
      <c r="R32" s="972">
        <f t="shared" si="41"/>
        <v>0</v>
      </c>
      <c r="S32" s="972">
        <f t="shared" si="42"/>
        <v>0</v>
      </c>
      <c r="T32" s="1029">
        <f>'[14]FY2012-13 Final'!K33</f>
        <v>5202</v>
      </c>
      <c r="U32" s="973">
        <f t="shared" si="30"/>
        <v>0</v>
      </c>
      <c r="V32" s="1466">
        <f>'[20]Oct midyear Southwest LA Chtr'!E32</f>
        <v>0</v>
      </c>
      <c r="W32" s="1444">
        <f t="shared" si="43"/>
        <v>0</v>
      </c>
      <c r="X32" s="1466">
        <f>'[20]Feb midyear Southwest LA Ch '!E32</f>
        <v>0</v>
      </c>
      <c r="Y32" s="1444">
        <f t="shared" si="44"/>
        <v>0</v>
      </c>
      <c r="Z32" s="1444">
        <f t="shared" si="45"/>
        <v>0</v>
      </c>
      <c r="AA32" s="973">
        <f t="shared" si="46"/>
        <v>0</v>
      </c>
      <c r="AB32" s="1089">
        <f t="shared" si="47"/>
        <v>0</v>
      </c>
      <c r="AC32" s="973">
        <f t="shared" si="48"/>
        <v>0</v>
      </c>
      <c r="AD32" s="973">
        <v>0</v>
      </c>
      <c r="AE32" s="973">
        <f t="shared" si="49"/>
        <v>0</v>
      </c>
      <c r="AF32" s="973">
        <v>0</v>
      </c>
      <c r="AG32" s="1214">
        <f t="shared" si="50"/>
        <v>0</v>
      </c>
      <c r="AH32" s="1214">
        <f t="shared" si="51"/>
        <v>0</v>
      </c>
      <c r="AI32" s="974">
        <f t="shared" si="31"/>
        <v>0</v>
      </c>
      <c r="AJ32" s="974">
        <f t="shared" si="32"/>
        <v>0</v>
      </c>
      <c r="AL32" s="49">
        <f t="shared" si="52"/>
        <v>0</v>
      </c>
      <c r="AM32" s="49">
        <f>-'[22]Table 5C1H-Southwest LA Charter'!AL32</f>
        <v>0</v>
      </c>
      <c r="AN32" s="49">
        <f>-'[21]Table 5C1H-Southwest LA Charter'!P32</f>
        <v>0</v>
      </c>
      <c r="AO32" s="49">
        <f t="shared" si="53"/>
        <v>0</v>
      </c>
    </row>
    <row r="33" spans="1:41">
      <c r="A33" s="975">
        <v>27</v>
      </c>
      <c r="B33" s="976" t="s">
        <v>128</v>
      </c>
      <c r="C33" s="1171">
        <v>0</v>
      </c>
      <c r="D33" s="984">
        <f>'Table 3 Levels 1&amp;2'!AL34</f>
        <v>5673.3097932359224</v>
      </c>
      <c r="E33" s="1074">
        <f t="shared" si="33"/>
        <v>0</v>
      </c>
      <c r="F33" s="1074">
        <f>'Table 4 Level 3'!P32</f>
        <v>693.06</v>
      </c>
      <c r="G33" s="1074">
        <f t="shared" si="34"/>
        <v>0</v>
      </c>
      <c r="H33" s="1037">
        <f t="shared" si="35"/>
        <v>0</v>
      </c>
      <c r="I33" s="1417">
        <f>'[1]Oct midyear Southwest LA Chtr'!K33</f>
        <v>0</v>
      </c>
      <c r="J33" s="1417">
        <f>'[1]Feb midyear Southwest LA Ch '!K33</f>
        <v>25465.479172943691</v>
      </c>
      <c r="K33" s="1417">
        <f t="shared" si="36"/>
        <v>25465.479172943691</v>
      </c>
      <c r="L33" s="1436">
        <f t="shared" si="37"/>
        <v>25465.479172943691</v>
      </c>
      <c r="M33" s="1084">
        <f t="shared" si="38"/>
        <v>-63.663697932359227</v>
      </c>
      <c r="N33" s="1037">
        <f t="shared" si="39"/>
        <v>25401.815475011332</v>
      </c>
      <c r="O33" s="1037">
        <v>0</v>
      </c>
      <c r="P33" s="1037">
        <f t="shared" si="40"/>
        <v>25401.815475011332</v>
      </c>
      <c r="Q33" s="1037">
        <f>6331+6331</f>
        <v>12662</v>
      </c>
      <c r="R33" s="1037">
        <f t="shared" si="41"/>
        <v>12739.815475011332</v>
      </c>
      <c r="S33" s="1037">
        <f t="shared" si="42"/>
        <v>6369.9077375056659</v>
      </c>
      <c r="T33" s="1029">
        <f>'[14]FY2012-13 Final'!K34</f>
        <v>3093</v>
      </c>
      <c r="U33" s="1031">
        <f t="shared" si="30"/>
        <v>0</v>
      </c>
      <c r="V33" s="1464">
        <f>'[20]Oct midyear Southwest LA Chtr'!E33</f>
        <v>0</v>
      </c>
      <c r="W33" s="1443">
        <f t="shared" si="43"/>
        <v>0</v>
      </c>
      <c r="X33" s="1474">
        <f>'[20]Feb midyear Southwest LA Ch '!E33</f>
        <v>8</v>
      </c>
      <c r="Y33" s="1470">
        <f t="shared" si="44"/>
        <v>12372</v>
      </c>
      <c r="Z33" s="1470">
        <f t="shared" si="45"/>
        <v>12372</v>
      </c>
      <c r="AA33" s="1031">
        <f t="shared" si="46"/>
        <v>12372</v>
      </c>
      <c r="AB33" s="1090">
        <f t="shared" si="47"/>
        <v>-30.93</v>
      </c>
      <c r="AC33" s="1031">
        <f t="shared" si="48"/>
        <v>12341.07</v>
      </c>
      <c r="AD33" s="1031">
        <v>0</v>
      </c>
      <c r="AE33" s="1031">
        <f t="shared" si="49"/>
        <v>12341.07</v>
      </c>
      <c r="AF33" s="1031">
        <f>3083+3083</f>
        <v>6166</v>
      </c>
      <c r="AG33" s="1448">
        <f t="shared" si="50"/>
        <v>6175.07</v>
      </c>
      <c r="AH33" s="1448">
        <f t="shared" si="51"/>
        <v>3087.5349999999999</v>
      </c>
      <c r="AI33" s="1032">
        <f t="shared" si="31"/>
        <v>37742.885475011331</v>
      </c>
      <c r="AJ33" s="1032">
        <f t="shared" si="32"/>
        <v>9457.4427375056657</v>
      </c>
      <c r="AL33" s="49">
        <f t="shared" si="52"/>
        <v>-30.93</v>
      </c>
      <c r="AM33" s="49">
        <f>-'[22]Table 5C1H-Southwest LA Charter'!AL33</f>
        <v>30.91</v>
      </c>
      <c r="AN33" s="49">
        <f>-'[21]Table 5C1H-Southwest LA Charter'!P33</f>
        <v>0</v>
      </c>
      <c r="AO33" s="49">
        <f t="shared" si="53"/>
        <v>-1.9999999999999574E-2</v>
      </c>
    </row>
    <row r="34" spans="1:41">
      <c r="A34" s="975">
        <v>28</v>
      </c>
      <c r="B34" s="976" t="s">
        <v>129</v>
      </c>
      <c r="C34" s="1171">
        <v>0</v>
      </c>
      <c r="D34" s="984">
        <f>'Table 3 Levels 1&amp;2'!AL35</f>
        <v>3225.6961587092846</v>
      </c>
      <c r="E34" s="1074">
        <f t="shared" si="33"/>
        <v>0</v>
      </c>
      <c r="F34" s="1074">
        <f>'Table 4 Level 3'!P33</f>
        <v>694.4</v>
      </c>
      <c r="G34" s="1074">
        <f t="shared" si="34"/>
        <v>0</v>
      </c>
      <c r="H34" s="1037">
        <f t="shared" si="35"/>
        <v>0</v>
      </c>
      <c r="I34" s="1417">
        <f>'[1]Oct midyear Southwest LA Chtr'!K34</f>
        <v>0</v>
      </c>
      <c r="J34" s="1417">
        <f>'[1]Feb midyear Southwest LA Ch '!K34</f>
        <v>0</v>
      </c>
      <c r="K34" s="1417">
        <f t="shared" si="36"/>
        <v>0</v>
      </c>
      <c r="L34" s="1436">
        <f t="shared" si="37"/>
        <v>0</v>
      </c>
      <c r="M34" s="1084">
        <f t="shared" si="38"/>
        <v>0</v>
      </c>
      <c r="N34" s="1037">
        <f t="shared" si="39"/>
        <v>0</v>
      </c>
      <c r="O34" s="1037">
        <v>0</v>
      </c>
      <c r="P34" s="1037">
        <f t="shared" si="40"/>
        <v>0</v>
      </c>
      <c r="Q34" s="1037">
        <v>0</v>
      </c>
      <c r="R34" s="1037">
        <f t="shared" si="41"/>
        <v>0</v>
      </c>
      <c r="S34" s="1037">
        <f t="shared" si="42"/>
        <v>0</v>
      </c>
      <c r="T34" s="1029">
        <f>'[14]FY2012-13 Final'!K35</f>
        <v>5338</v>
      </c>
      <c r="U34" s="1031">
        <f t="shared" si="30"/>
        <v>0</v>
      </c>
      <c r="V34" s="1464">
        <f>'[20]Oct midyear Southwest LA Chtr'!E34</f>
        <v>0</v>
      </c>
      <c r="W34" s="1443">
        <f t="shared" si="43"/>
        <v>0</v>
      </c>
      <c r="X34" s="1474">
        <f>'[20]Feb midyear Southwest LA Ch '!E34</f>
        <v>0</v>
      </c>
      <c r="Y34" s="1470">
        <f t="shared" si="44"/>
        <v>0</v>
      </c>
      <c r="Z34" s="1470">
        <f t="shared" si="45"/>
        <v>0</v>
      </c>
      <c r="AA34" s="1031">
        <f t="shared" si="46"/>
        <v>0</v>
      </c>
      <c r="AB34" s="1090">
        <f t="shared" si="47"/>
        <v>0</v>
      </c>
      <c r="AC34" s="1031">
        <f t="shared" si="48"/>
        <v>0</v>
      </c>
      <c r="AD34" s="1031">
        <v>0</v>
      </c>
      <c r="AE34" s="1031">
        <f t="shared" si="49"/>
        <v>0</v>
      </c>
      <c r="AF34" s="1031">
        <v>0</v>
      </c>
      <c r="AG34" s="1448">
        <f t="shared" si="50"/>
        <v>0</v>
      </c>
      <c r="AH34" s="1448">
        <f t="shared" si="51"/>
        <v>0</v>
      </c>
      <c r="AI34" s="1032">
        <f t="shared" si="31"/>
        <v>0</v>
      </c>
      <c r="AJ34" s="1032">
        <f t="shared" si="32"/>
        <v>0</v>
      </c>
      <c r="AL34" s="49">
        <f t="shared" si="52"/>
        <v>0</v>
      </c>
      <c r="AM34" s="49">
        <f>-'[22]Table 5C1H-Southwest LA Charter'!AL34</f>
        <v>0</v>
      </c>
      <c r="AN34" s="49">
        <f>-'[21]Table 5C1H-Southwest LA Charter'!P34</f>
        <v>0</v>
      </c>
      <c r="AO34" s="49">
        <f t="shared" si="53"/>
        <v>0</v>
      </c>
    </row>
    <row r="35" spans="1:41">
      <c r="A35" s="975">
        <v>29</v>
      </c>
      <c r="B35" s="976" t="s">
        <v>130</v>
      </c>
      <c r="C35" s="1171">
        <v>0</v>
      </c>
      <c r="D35" s="984">
        <f>'Table 3 Levels 1&amp;2'!AL36</f>
        <v>3955.7852148385191</v>
      </c>
      <c r="E35" s="1074">
        <f t="shared" si="33"/>
        <v>0</v>
      </c>
      <c r="F35" s="1074">
        <f>'Table 4 Level 3'!P34</f>
        <v>754.94999999999993</v>
      </c>
      <c r="G35" s="1074">
        <f t="shared" si="34"/>
        <v>0</v>
      </c>
      <c r="H35" s="1037">
        <f t="shared" si="35"/>
        <v>0</v>
      </c>
      <c r="I35" s="1417">
        <f>'[1]Oct midyear Southwest LA Chtr'!K35</f>
        <v>0</v>
      </c>
      <c r="J35" s="1417">
        <f>'[1]Feb midyear Southwest LA Ch '!K35</f>
        <v>0</v>
      </c>
      <c r="K35" s="1417">
        <f t="shared" si="36"/>
        <v>0</v>
      </c>
      <c r="L35" s="1436">
        <f t="shared" si="37"/>
        <v>0</v>
      </c>
      <c r="M35" s="1084">
        <f t="shared" si="38"/>
        <v>0</v>
      </c>
      <c r="N35" s="1037">
        <f t="shared" si="39"/>
        <v>0</v>
      </c>
      <c r="O35" s="1037">
        <v>0</v>
      </c>
      <c r="P35" s="1037">
        <f t="shared" si="40"/>
        <v>0</v>
      </c>
      <c r="Q35" s="1037">
        <v>0</v>
      </c>
      <c r="R35" s="1037">
        <f t="shared" si="41"/>
        <v>0</v>
      </c>
      <c r="S35" s="1037">
        <f t="shared" si="42"/>
        <v>0</v>
      </c>
      <c r="T35" s="1029">
        <f>'[14]FY2012-13 Final'!K36</f>
        <v>4414</v>
      </c>
      <c r="U35" s="1031">
        <f t="shared" si="30"/>
        <v>0</v>
      </c>
      <c r="V35" s="1464">
        <f>'[20]Oct midyear Southwest LA Chtr'!E35</f>
        <v>0</v>
      </c>
      <c r="W35" s="1443">
        <f t="shared" si="43"/>
        <v>0</v>
      </c>
      <c r="X35" s="1474">
        <f>'[20]Feb midyear Southwest LA Ch '!E35</f>
        <v>0</v>
      </c>
      <c r="Y35" s="1470">
        <f t="shared" si="44"/>
        <v>0</v>
      </c>
      <c r="Z35" s="1470">
        <f t="shared" si="45"/>
        <v>0</v>
      </c>
      <c r="AA35" s="1031">
        <f t="shared" si="46"/>
        <v>0</v>
      </c>
      <c r="AB35" s="1090">
        <f t="shared" si="47"/>
        <v>0</v>
      </c>
      <c r="AC35" s="1031">
        <f t="shared" si="48"/>
        <v>0</v>
      </c>
      <c r="AD35" s="1031">
        <v>0</v>
      </c>
      <c r="AE35" s="1031">
        <f t="shared" si="49"/>
        <v>0</v>
      </c>
      <c r="AF35" s="1031">
        <v>0</v>
      </c>
      <c r="AG35" s="1448">
        <f t="shared" si="50"/>
        <v>0</v>
      </c>
      <c r="AH35" s="1448">
        <f t="shared" si="51"/>
        <v>0</v>
      </c>
      <c r="AI35" s="1032">
        <f t="shared" si="31"/>
        <v>0</v>
      </c>
      <c r="AJ35" s="1032">
        <f t="shared" si="32"/>
        <v>0</v>
      </c>
      <c r="AL35" s="49">
        <f t="shared" si="52"/>
        <v>0</v>
      </c>
      <c r="AM35" s="49">
        <f>-'[22]Table 5C1H-Southwest LA Charter'!AL35</f>
        <v>0</v>
      </c>
      <c r="AN35" s="49">
        <f>-'[21]Table 5C1H-Southwest LA Charter'!P35</f>
        <v>0</v>
      </c>
      <c r="AO35" s="49">
        <f t="shared" si="53"/>
        <v>0</v>
      </c>
    </row>
    <row r="36" spans="1:41">
      <c r="A36" s="979">
        <v>30</v>
      </c>
      <c r="B36" s="980" t="s">
        <v>131</v>
      </c>
      <c r="C36" s="1172">
        <v>0</v>
      </c>
      <c r="D36" s="986">
        <f>'Table 3 Levels 1&amp;2'!AL37</f>
        <v>5609.6361466464068</v>
      </c>
      <c r="E36" s="1075">
        <f t="shared" si="33"/>
        <v>0</v>
      </c>
      <c r="F36" s="1075">
        <f>'Table 4 Level 3'!P35</f>
        <v>727.17</v>
      </c>
      <c r="G36" s="1075">
        <f t="shared" si="34"/>
        <v>0</v>
      </c>
      <c r="H36" s="1038">
        <f t="shared" si="35"/>
        <v>0</v>
      </c>
      <c r="I36" s="1418">
        <f>'[1]Oct midyear Southwest LA Chtr'!K36</f>
        <v>0</v>
      </c>
      <c r="J36" s="1418">
        <f>'[1]Feb midyear Southwest LA Ch '!K36</f>
        <v>0</v>
      </c>
      <c r="K36" s="1418">
        <f t="shared" si="36"/>
        <v>0</v>
      </c>
      <c r="L36" s="1437">
        <f t="shared" si="37"/>
        <v>0</v>
      </c>
      <c r="M36" s="1085">
        <f t="shared" si="38"/>
        <v>0</v>
      </c>
      <c r="N36" s="1038">
        <f t="shared" si="39"/>
        <v>0</v>
      </c>
      <c r="O36" s="1038">
        <v>0</v>
      </c>
      <c r="P36" s="1038">
        <f t="shared" si="40"/>
        <v>0</v>
      </c>
      <c r="Q36" s="1038">
        <v>0</v>
      </c>
      <c r="R36" s="1038">
        <f t="shared" si="41"/>
        <v>0</v>
      </c>
      <c r="S36" s="1038">
        <f t="shared" si="42"/>
        <v>0</v>
      </c>
      <c r="T36" s="1034">
        <f>'[14]FY2012-13 Final'!K37</f>
        <v>3703</v>
      </c>
      <c r="U36" s="1035">
        <f t="shared" si="30"/>
        <v>0</v>
      </c>
      <c r="V36" s="1465">
        <f>'[20]Oct midyear Southwest LA Chtr'!E36</f>
        <v>0</v>
      </c>
      <c r="W36" s="1445">
        <f t="shared" si="43"/>
        <v>0</v>
      </c>
      <c r="X36" s="1475">
        <f>'[20]Feb midyear Southwest LA Ch '!E36</f>
        <v>0</v>
      </c>
      <c r="Y36" s="1471">
        <f t="shared" si="44"/>
        <v>0</v>
      </c>
      <c r="Z36" s="1471">
        <f t="shared" si="45"/>
        <v>0</v>
      </c>
      <c r="AA36" s="1035">
        <f t="shared" si="46"/>
        <v>0</v>
      </c>
      <c r="AB36" s="1091">
        <f t="shared" si="47"/>
        <v>0</v>
      </c>
      <c r="AC36" s="1035">
        <f t="shared" si="48"/>
        <v>0</v>
      </c>
      <c r="AD36" s="1035">
        <v>0</v>
      </c>
      <c r="AE36" s="1035">
        <f t="shared" si="49"/>
        <v>0</v>
      </c>
      <c r="AF36" s="1035">
        <v>0</v>
      </c>
      <c r="AG36" s="1450">
        <f t="shared" si="50"/>
        <v>0</v>
      </c>
      <c r="AH36" s="1450">
        <f t="shared" si="51"/>
        <v>0</v>
      </c>
      <c r="AI36" s="1036">
        <f t="shared" si="31"/>
        <v>0</v>
      </c>
      <c r="AJ36" s="1036">
        <f t="shared" si="32"/>
        <v>0</v>
      </c>
      <c r="AL36" s="49">
        <f t="shared" si="52"/>
        <v>0</v>
      </c>
      <c r="AM36" s="49">
        <f>-'[22]Table 5C1H-Southwest LA Charter'!AL36</f>
        <v>0</v>
      </c>
      <c r="AN36" s="49">
        <f>-'[21]Table 5C1H-Southwest LA Charter'!P36</f>
        <v>0</v>
      </c>
      <c r="AO36" s="49">
        <f t="shared" si="53"/>
        <v>0</v>
      </c>
    </row>
    <row r="37" spans="1:41">
      <c r="A37" s="968">
        <v>31</v>
      </c>
      <c r="B37" s="969" t="s">
        <v>132</v>
      </c>
      <c r="C37" s="1173">
        <v>0</v>
      </c>
      <c r="D37" s="988">
        <f>'Table 3 Levels 1&amp;2'!AL38</f>
        <v>4174.0937400224284</v>
      </c>
      <c r="E37" s="1076">
        <f t="shared" si="33"/>
        <v>0</v>
      </c>
      <c r="F37" s="1076">
        <f>'Table 4 Level 3'!P36</f>
        <v>620.83000000000004</v>
      </c>
      <c r="G37" s="1076">
        <f t="shared" si="34"/>
        <v>0</v>
      </c>
      <c r="H37" s="1039">
        <f t="shared" si="35"/>
        <v>0</v>
      </c>
      <c r="I37" s="1419">
        <f>'[1]Oct midyear Southwest LA Chtr'!K37</f>
        <v>0</v>
      </c>
      <c r="J37" s="1419">
        <f>'[1]Feb midyear Southwest LA Ch '!K37</f>
        <v>0</v>
      </c>
      <c r="K37" s="1419">
        <f t="shared" si="36"/>
        <v>0</v>
      </c>
      <c r="L37" s="1211">
        <f t="shared" si="37"/>
        <v>0</v>
      </c>
      <c r="M37" s="1086">
        <f t="shared" si="38"/>
        <v>0</v>
      </c>
      <c r="N37" s="1039">
        <f t="shared" si="39"/>
        <v>0</v>
      </c>
      <c r="O37" s="1039">
        <v>0</v>
      </c>
      <c r="P37" s="1039">
        <f t="shared" si="40"/>
        <v>0</v>
      </c>
      <c r="Q37" s="1039">
        <v>0</v>
      </c>
      <c r="R37" s="1039">
        <f t="shared" si="41"/>
        <v>0</v>
      </c>
      <c r="S37" s="1039">
        <f t="shared" si="42"/>
        <v>0</v>
      </c>
      <c r="T37" s="1029">
        <f>'[14]FY2012-13 Final'!K38</f>
        <v>4709</v>
      </c>
      <c r="U37" s="973">
        <f t="shared" si="30"/>
        <v>0</v>
      </c>
      <c r="V37" s="1466">
        <f>'[20]Oct midyear Southwest LA Chtr'!E37</f>
        <v>0</v>
      </c>
      <c r="W37" s="1444">
        <f t="shared" si="43"/>
        <v>0</v>
      </c>
      <c r="X37" s="1466">
        <f>'[20]Feb midyear Southwest LA Ch '!E37</f>
        <v>0</v>
      </c>
      <c r="Y37" s="1444">
        <f t="shared" si="44"/>
        <v>0</v>
      </c>
      <c r="Z37" s="1444">
        <f t="shared" si="45"/>
        <v>0</v>
      </c>
      <c r="AA37" s="973">
        <f t="shared" si="46"/>
        <v>0</v>
      </c>
      <c r="AB37" s="1089">
        <f t="shared" si="47"/>
        <v>0</v>
      </c>
      <c r="AC37" s="973">
        <f t="shared" si="48"/>
        <v>0</v>
      </c>
      <c r="AD37" s="973">
        <v>0</v>
      </c>
      <c r="AE37" s="973">
        <f t="shared" si="49"/>
        <v>0</v>
      </c>
      <c r="AF37" s="973">
        <v>0</v>
      </c>
      <c r="AG37" s="1214">
        <f t="shared" si="50"/>
        <v>0</v>
      </c>
      <c r="AH37" s="1214">
        <f t="shared" si="51"/>
        <v>0</v>
      </c>
      <c r="AI37" s="974">
        <f t="shared" si="31"/>
        <v>0</v>
      </c>
      <c r="AJ37" s="974">
        <f t="shared" si="32"/>
        <v>0</v>
      </c>
      <c r="AL37" s="49">
        <f t="shared" si="52"/>
        <v>0</v>
      </c>
      <c r="AM37" s="49">
        <f>-'[22]Table 5C1H-Southwest LA Charter'!AL37</f>
        <v>0</v>
      </c>
      <c r="AN37" s="49">
        <f>-'[21]Table 5C1H-Southwest LA Charter'!P37</f>
        <v>0</v>
      </c>
      <c r="AO37" s="49">
        <f t="shared" si="53"/>
        <v>0</v>
      </c>
    </row>
    <row r="38" spans="1:41">
      <c r="A38" s="975">
        <v>32</v>
      </c>
      <c r="B38" s="976" t="s">
        <v>133</v>
      </c>
      <c r="C38" s="1171">
        <v>0</v>
      </c>
      <c r="D38" s="984">
        <f>'Table 3 Levels 1&amp;2'!AL39</f>
        <v>5486.1585166144778</v>
      </c>
      <c r="E38" s="1074">
        <f t="shared" si="33"/>
        <v>0</v>
      </c>
      <c r="F38" s="1074">
        <f>'Table 4 Level 3'!P37</f>
        <v>559.77</v>
      </c>
      <c r="G38" s="1074">
        <f t="shared" si="34"/>
        <v>0</v>
      </c>
      <c r="H38" s="1037">
        <f t="shared" si="35"/>
        <v>0</v>
      </c>
      <c r="I38" s="1417">
        <f>'[1]Oct midyear Southwest LA Chtr'!K38</f>
        <v>0</v>
      </c>
      <c r="J38" s="1417">
        <f>'[1]Feb midyear Southwest LA Ch '!K38</f>
        <v>0</v>
      </c>
      <c r="K38" s="1417">
        <f t="shared" si="36"/>
        <v>0</v>
      </c>
      <c r="L38" s="1436">
        <f t="shared" si="37"/>
        <v>0</v>
      </c>
      <c r="M38" s="1084">
        <f t="shared" si="38"/>
        <v>0</v>
      </c>
      <c r="N38" s="1037">
        <f t="shared" si="39"/>
        <v>0</v>
      </c>
      <c r="O38" s="1037">
        <v>0</v>
      </c>
      <c r="P38" s="1037">
        <f t="shared" si="40"/>
        <v>0</v>
      </c>
      <c r="Q38" s="1037">
        <v>0</v>
      </c>
      <c r="R38" s="1037">
        <f t="shared" si="41"/>
        <v>0</v>
      </c>
      <c r="S38" s="1037">
        <f t="shared" si="42"/>
        <v>0</v>
      </c>
      <c r="T38" s="1029">
        <f>'[14]FY2012-13 Final'!K39</f>
        <v>1967</v>
      </c>
      <c r="U38" s="1031">
        <f t="shared" si="30"/>
        <v>0</v>
      </c>
      <c r="V38" s="1464">
        <f>'[20]Oct midyear Southwest LA Chtr'!E38</f>
        <v>0</v>
      </c>
      <c r="W38" s="1443">
        <f t="shared" si="43"/>
        <v>0</v>
      </c>
      <c r="X38" s="1474">
        <f>'[20]Feb midyear Southwest LA Ch '!E38</f>
        <v>0</v>
      </c>
      <c r="Y38" s="1470">
        <f t="shared" si="44"/>
        <v>0</v>
      </c>
      <c r="Z38" s="1470">
        <f t="shared" si="45"/>
        <v>0</v>
      </c>
      <c r="AA38" s="1031">
        <f t="shared" si="46"/>
        <v>0</v>
      </c>
      <c r="AB38" s="1090">
        <f t="shared" si="47"/>
        <v>0</v>
      </c>
      <c r="AC38" s="1031">
        <f t="shared" si="48"/>
        <v>0</v>
      </c>
      <c r="AD38" s="1031">
        <v>0</v>
      </c>
      <c r="AE38" s="1031">
        <f t="shared" si="49"/>
        <v>0</v>
      </c>
      <c r="AF38" s="1031">
        <v>0</v>
      </c>
      <c r="AG38" s="1448">
        <f t="shared" si="50"/>
        <v>0</v>
      </c>
      <c r="AH38" s="1448">
        <f t="shared" si="51"/>
        <v>0</v>
      </c>
      <c r="AI38" s="1032">
        <f t="shared" si="31"/>
        <v>0</v>
      </c>
      <c r="AJ38" s="1032">
        <f t="shared" si="32"/>
        <v>0</v>
      </c>
      <c r="AL38" s="49">
        <f t="shared" si="52"/>
        <v>0</v>
      </c>
      <c r="AM38" s="49">
        <f>-'[22]Table 5C1H-Southwest LA Charter'!AL38</f>
        <v>0</v>
      </c>
      <c r="AN38" s="49">
        <f>-'[21]Table 5C1H-Southwest LA Charter'!P38</f>
        <v>0</v>
      </c>
      <c r="AO38" s="49">
        <f t="shared" si="53"/>
        <v>0</v>
      </c>
    </row>
    <row r="39" spans="1:41">
      <c r="A39" s="975">
        <v>33</v>
      </c>
      <c r="B39" s="976" t="s">
        <v>134</v>
      </c>
      <c r="C39" s="1171">
        <v>0</v>
      </c>
      <c r="D39" s="984">
        <f>'Table 3 Levels 1&amp;2'!AL40</f>
        <v>5393.8471941993575</v>
      </c>
      <c r="E39" s="1074">
        <f t="shared" si="33"/>
        <v>0</v>
      </c>
      <c r="F39" s="1074">
        <f>'Table 4 Level 3'!P38</f>
        <v>655.31000000000006</v>
      </c>
      <c r="G39" s="1074">
        <f t="shared" si="34"/>
        <v>0</v>
      </c>
      <c r="H39" s="1037">
        <f t="shared" si="35"/>
        <v>0</v>
      </c>
      <c r="I39" s="1417">
        <f>'[1]Oct midyear Southwest LA Chtr'!K39</f>
        <v>0</v>
      </c>
      <c r="J39" s="1417">
        <f>'[1]Feb midyear Southwest LA Ch '!K39</f>
        <v>0</v>
      </c>
      <c r="K39" s="1417">
        <f t="shared" si="36"/>
        <v>0</v>
      </c>
      <c r="L39" s="1436">
        <f t="shared" si="37"/>
        <v>0</v>
      </c>
      <c r="M39" s="1084">
        <f t="shared" si="38"/>
        <v>0</v>
      </c>
      <c r="N39" s="1037">
        <f t="shared" si="39"/>
        <v>0</v>
      </c>
      <c r="O39" s="1037">
        <v>0</v>
      </c>
      <c r="P39" s="1037">
        <f t="shared" si="40"/>
        <v>0</v>
      </c>
      <c r="Q39" s="1037">
        <v>0</v>
      </c>
      <c r="R39" s="1037">
        <f t="shared" si="41"/>
        <v>0</v>
      </c>
      <c r="S39" s="1037">
        <f t="shared" si="42"/>
        <v>0</v>
      </c>
      <c r="T39" s="1029">
        <f>'[14]FY2012-13 Final'!K40</f>
        <v>2990</v>
      </c>
      <c r="U39" s="1031">
        <f t="shared" ref="U39:U70" si="54">C39*T39</f>
        <v>0</v>
      </c>
      <c r="V39" s="1464">
        <f>'[20]Oct midyear Southwest LA Chtr'!E39</f>
        <v>0</v>
      </c>
      <c r="W39" s="1443">
        <f t="shared" si="43"/>
        <v>0</v>
      </c>
      <c r="X39" s="1474">
        <f>'[20]Feb midyear Southwest LA Ch '!E39</f>
        <v>0</v>
      </c>
      <c r="Y39" s="1470">
        <f t="shared" si="44"/>
        <v>0</v>
      </c>
      <c r="Z39" s="1470">
        <f t="shared" si="45"/>
        <v>0</v>
      </c>
      <c r="AA39" s="1031">
        <f t="shared" si="46"/>
        <v>0</v>
      </c>
      <c r="AB39" s="1090">
        <f t="shared" si="47"/>
        <v>0</v>
      </c>
      <c r="AC39" s="1031">
        <f t="shared" si="48"/>
        <v>0</v>
      </c>
      <c r="AD39" s="1031">
        <v>0</v>
      </c>
      <c r="AE39" s="1031">
        <f t="shared" si="49"/>
        <v>0</v>
      </c>
      <c r="AF39" s="1031">
        <v>0</v>
      </c>
      <c r="AG39" s="1448">
        <f t="shared" si="50"/>
        <v>0</v>
      </c>
      <c r="AH39" s="1448">
        <f t="shared" si="51"/>
        <v>0</v>
      </c>
      <c r="AI39" s="1032">
        <f t="shared" ref="AI39:AI75" si="55">P39+AE39</f>
        <v>0</v>
      </c>
      <c r="AJ39" s="1032">
        <f t="shared" ref="AJ39:AJ75" si="56">S39+AH39</f>
        <v>0</v>
      </c>
      <c r="AL39" s="49">
        <f t="shared" si="52"/>
        <v>0</v>
      </c>
      <c r="AM39" s="49">
        <f>-'[22]Table 5C1H-Southwest LA Charter'!AL39</f>
        <v>0</v>
      </c>
      <c r="AN39" s="49">
        <f>-'[21]Table 5C1H-Southwest LA Charter'!P39</f>
        <v>0</v>
      </c>
      <c r="AO39" s="49">
        <f t="shared" si="53"/>
        <v>0</v>
      </c>
    </row>
    <row r="40" spans="1:41">
      <c r="A40" s="975">
        <v>34</v>
      </c>
      <c r="B40" s="976" t="s">
        <v>135</v>
      </c>
      <c r="C40" s="1171">
        <v>0</v>
      </c>
      <c r="D40" s="984">
        <f>'Table 3 Levels 1&amp;2'!AL41</f>
        <v>5864.3549473361072</v>
      </c>
      <c r="E40" s="1074">
        <f t="shared" si="33"/>
        <v>0</v>
      </c>
      <c r="F40" s="1074">
        <f>'Table 4 Level 3'!P39</f>
        <v>644.11000000000013</v>
      </c>
      <c r="G40" s="1074">
        <f t="shared" si="34"/>
        <v>0</v>
      </c>
      <c r="H40" s="1037">
        <f t="shared" si="35"/>
        <v>0</v>
      </c>
      <c r="I40" s="1417">
        <f>'[1]Oct midyear Southwest LA Chtr'!K40</f>
        <v>0</v>
      </c>
      <c r="J40" s="1417">
        <f>'[1]Feb midyear Southwest LA Ch '!K40</f>
        <v>0</v>
      </c>
      <c r="K40" s="1417">
        <f t="shared" si="36"/>
        <v>0</v>
      </c>
      <c r="L40" s="1436">
        <f t="shared" si="37"/>
        <v>0</v>
      </c>
      <c r="M40" s="1084">
        <f t="shared" si="38"/>
        <v>0</v>
      </c>
      <c r="N40" s="1037">
        <f t="shared" si="39"/>
        <v>0</v>
      </c>
      <c r="O40" s="1037">
        <v>0</v>
      </c>
      <c r="P40" s="1037">
        <f t="shared" si="40"/>
        <v>0</v>
      </c>
      <c r="Q40" s="1037">
        <v>0</v>
      </c>
      <c r="R40" s="1037">
        <f t="shared" si="41"/>
        <v>0</v>
      </c>
      <c r="S40" s="1037">
        <f t="shared" si="42"/>
        <v>0</v>
      </c>
      <c r="T40" s="1029">
        <f>'[14]FY2012-13 Final'!K41</f>
        <v>2768</v>
      </c>
      <c r="U40" s="1031">
        <f t="shared" si="54"/>
        <v>0</v>
      </c>
      <c r="V40" s="1464">
        <f>'[20]Oct midyear Southwest LA Chtr'!E40</f>
        <v>0</v>
      </c>
      <c r="W40" s="1443">
        <f t="shared" si="43"/>
        <v>0</v>
      </c>
      <c r="X40" s="1474">
        <f>'[20]Feb midyear Southwest LA Ch '!E40</f>
        <v>0</v>
      </c>
      <c r="Y40" s="1470">
        <f t="shared" si="44"/>
        <v>0</v>
      </c>
      <c r="Z40" s="1470">
        <f t="shared" si="45"/>
        <v>0</v>
      </c>
      <c r="AA40" s="1031">
        <f t="shared" si="46"/>
        <v>0</v>
      </c>
      <c r="AB40" s="1090">
        <f t="shared" si="47"/>
        <v>0</v>
      </c>
      <c r="AC40" s="1031">
        <f t="shared" si="48"/>
        <v>0</v>
      </c>
      <c r="AD40" s="1031">
        <v>0</v>
      </c>
      <c r="AE40" s="1031">
        <f t="shared" si="49"/>
        <v>0</v>
      </c>
      <c r="AF40" s="1031">
        <v>0</v>
      </c>
      <c r="AG40" s="1448">
        <f t="shared" si="50"/>
        <v>0</v>
      </c>
      <c r="AH40" s="1448">
        <f t="shared" si="51"/>
        <v>0</v>
      </c>
      <c r="AI40" s="1032">
        <f t="shared" si="55"/>
        <v>0</v>
      </c>
      <c r="AJ40" s="1032">
        <f t="shared" si="56"/>
        <v>0</v>
      </c>
      <c r="AL40" s="49">
        <f t="shared" si="52"/>
        <v>0</v>
      </c>
      <c r="AM40" s="49">
        <f>-'[22]Table 5C1H-Southwest LA Charter'!AL40</f>
        <v>0</v>
      </c>
      <c r="AN40" s="49">
        <f>-'[21]Table 5C1H-Southwest LA Charter'!P40</f>
        <v>0</v>
      </c>
      <c r="AO40" s="49">
        <f t="shared" si="53"/>
        <v>0</v>
      </c>
    </row>
    <row r="41" spans="1:41">
      <c r="A41" s="979">
        <v>35</v>
      </c>
      <c r="B41" s="980" t="s">
        <v>136</v>
      </c>
      <c r="C41" s="1172">
        <v>0</v>
      </c>
      <c r="D41" s="986">
        <f>'Table 3 Levels 1&amp;2'!AL42</f>
        <v>4848.8680115701454</v>
      </c>
      <c r="E41" s="1075">
        <f t="shared" si="33"/>
        <v>0</v>
      </c>
      <c r="F41" s="1075">
        <f>'Table 4 Level 3'!P40</f>
        <v>537.96</v>
      </c>
      <c r="G41" s="1075">
        <f t="shared" si="34"/>
        <v>0</v>
      </c>
      <c r="H41" s="1038">
        <f t="shared" si="35"/>
        <v>0</v>
      </c>
      <c r="I41" s="1418">
        <f>'[1]Oct midyear Southwest LA Chtr'!K41</f>
        <v>0</v>
      </c>
      <c r="J41" s="1418">
        <f>'[1]Feb midyear Southwest LA Ch '!K41</f>
        <v>0</v>
      </c>
      <c r="K41" s="1418">
        <f t="shared" si="36"/>
        <v>0</v>
      </c>
      <c r="L41" s="1437">
        <f t="shared" si="37"/>
        <v>0</v>
      </c>
      <c r="M41" s="1085">
        <f t="shared" si="38"/>
        <v>0</v>
      </c>
      <c r="N41" s="1038">
        <f t="shared" si="39"/>
        <v>0</v>
      </c>
      <c r="O41" s="1038">
        <v>0</v>
      </c>
      <c r="P41" s="1038">
        <f t="shared" si="40"/>
        <v>0</v>
      </c>
      <c r="Q41" s="1038">
        <v>0</v>
      </c>
      <c r="R41" s="1038">
        <f t="shared" si="41"/>
        <v>0</v>
      </c>
      <c r="S41" s="1038">
        <f t="shared" si="42"/>
        <v>0</v>
      </c>
      <c r="T41" s="1034">
        <f>'[14]FY2012-13 Final'!K42</f>
        <v>3611</v>
      </c>
      <c r="U41" s="1035">
        <f t="shared" si="54"/>
        <v>0</v>
      </c>
      <c r="V41" s="1465">
        <f>'[20]Oct midyear Southwest LA Chtr'!E41</f>
        <v>0</v>
      </c>
      <c r="W41" s="1445">
        <f t="shared" si="43"/>
        <v>0</v>
      </c>
      <c r="X41" s="1475">
        <f>'[20]Feb midyear Southwest LA Ch '!E41</f>
        <v>0</v>
      </c>
      <c r="Y41" s="1471">
        <f t="shared" si="44"/>
        <v>0</v>
      </c>
      <c r="Z41" s="1471">
        <f t="shared" si="45"/>
        <v>0</v>
      </c>
      <c r="AA41" s="1035">
        <f t="shared" si="46"/>
        <v>0</v>
      </c>
      <c r="AB41" s="1091">
        <f t="shared" si="47"/>
        <v>0</v>
      </c>
      <c r="AC41" s="1035">
        <f t="shared" si="48"/>
        <v>0</v>
      </c>
      <c r="AD41" s="1035">
        <v>0</v>
      </c>
      <c r="AE41" s="1035">
        <f t="shared" si="49"/>
        <v>0</v>
      </c>
      <c r="AF41" s="1035">
        <v>0</v>
      </c>
      <c r="AG41" s="1450">
        <f t="shared" si="50"/>
        <v>0</v>
      </c>
      <c r="AH41" s="1450">
        <f t="shared" si="51"/>
        <v>0</v>
      </c>
      <c r="AI41" s="1036">
        <f t="shared" si="55"/>
        <v>0</v>
      </c>
      <c r="AJ41" s="1036">
        <f t="shared" si="56"/>
        <v>0</v>
      </c>
      <c r="AL41" s="49">
        <f t="shared" si="52"/>
        <v>0</v>
      </c>
      <c r="AM41" s="49">
        <f>-'[22]Table 5C1H-Southwest LA Charter'!AL41</f>
        <v>0</v>
      </c>
      <c r="AN41" s="49">
        <f>-'[21]Table 5C1H-Southwest LA Charter'!P41</f>
        <v>0</v>
      </c>
      <c r="AO41" s="49">
        <f t="shared" si="53"/>
        <v>0</v>
      </c>
    </row>
    <row r="42" spans="1:41">
      <c r="A42" s="968">
        <v>36</v>
      </c>
      <c r="B42" s="969" t="s">
        <v>137</v>
      </c>
      <c r="C42" s="1173">
        <v>0</v>
      </c>
      <c r="D42" s="988">
        <f>'Table 3 Levels 1&amp;2'!AL43</f>
        <v>3442.7546828904692</v>
      </c>
      <c r="E42" s="1076">
        <f t="shared" si="33"/>
        <v>0</v>
      </c>
      <c r="F42" s="1076">
        <f>'Table 5B1_RSD_Orleans'!F78</f>
        <v>746.0335616438357</v>
      </c>
      <c r="G42" s="1076">
        <f t="shared" si="34"/>
        <v>0</v>
      </c>
      <c r="H42" s="1039">
        <f t="shared" si="35"/>
        <v>0</v>
      </c>
      <c r="I42" s="1419">
        <f>'[1]Oct midyear Southwest LA Chtr'!K42</f>
        <v>0</v>
      </c>
      <c r="J42" s="1419">
        <f>'[1]Feb midyear Southwest LA Ch '!K42</f>
        <v>0</v>
      </c>
      <c r="K42" s="1419">
        <f t="shared" si="36"/>
        <v>0</v>
      </c>
      <c r="L42" s="1211">
        <f t="shared" si="37"/>
        <v>0</v>
      </c>
      <c r="M42" s="1086">
        <f t="shared" si="38"/>
        <v>0</v>
      </c>
      <c r="N42" s="1039">
        <f t="shared" si="39"/>
        <v>0</v>
      </c>
      <c r="O42" s="1039">
        <v>0</v>
      </c>
      <c r="P42" s="1039">
        <f t="shared" si="40"/>
        <v>0</v>
      </c>
      <c r="Q42" s="1039">
        <v>0</v>
      </c>
      <c r="R42" s="1039">
        <f t="shared" si="41"/>
        <v>0</v>
      </c>
      <c r="S42" s="1039">
        <f t="shared" si="42"/>
        <v>0</v>
      </c>
      <c r="T42" s="1029">
        <f>'[14]FY2012-13 Final'!K43</f>
        <v>4884</v>
      </c>
      <c r="U42" s="973">
        <f t="shared" si="54"/>
        <v>0</v>
      </c>
      <c r="V42" s="1466">
        <f>'[20]Oct midyear Southwest LA Chtr'!E42</f>
        <v>0</v>
      </c>
      <c r="W42" s="1444">
        <f t="shared" si="43"/>
        <v>0</v>
      </c>
      <c r="X42" s="1466">
        <f>'[20]Feb midyear Southwest LA Ch '!E42</f>
        <v>0</v>
      </c>
      <c r="Y42" s="1444">
        <f t="shared" si="44"/>
        <v>0</v>
      </c>
      <c r="Z42" s="1444">
        <f t="shared" si="45"/>
        <v>0</v>
      </c>
      <c r="AA42" s="973">
        <f t="shared" si="46"/>
        <v>0</v>
      </c>
      <c r="AB42" s="1089">
        <f t="shared" si="47"/>
        <v>0</v>
      </c>
      <c r="AC42" s="973">
        <f t="shared" si="48"/>
        <v>0</v>
      </c>
      <c r="AD42" s="973">
        <v>0</v>
      </c>
      <c r="AE42" s="973">
        <f t="shared" si="49"/>
        <v>0</v>
      </c>
      <c r="AF42" s="973">
        <v>0</v>
      </c>
      <c r="AG42" s="1214">
        <f t="shared" si="50"/>
        <v>0</v>
      </c>
      <c r="AH42" s="1214">
        <f t="shared" si="51"/>
        <v>0</v>
      </c>
      <c r="AI42" s="974">
        <f t="shared" si="55"/>
        <v>0</v>
      </c>
      <c r="AJ42" s="974">
        <f t="shared" si="56"/>
        <v>0</v>
      </c>
      <c r="AL42" s="49">
        <f t="shared" si="52"/>
        <v>0</v>
      </c>
      <c r="AM42" s="49">
        <f>-'[22]Table 5C1H-Southwest LA Charter'!AL42</f>
        <v>0</v>
      </c>
      <c r="AN42" s="49">
        <f>-'[21]Table 5C1H-Southwest LA Charter'!P42</f>
        <v>0</v>
      </c>
      <c r="AO42" s="49">
        <f t="shared" si="53"/>
        <v>0</v>
      </c>
    </row>
    <row r="43" spans="1:41">
      <c r="A43" s="975">
        <v>37</v>
      </c>
      <c r="B43" s="976" t="s">
        <v>138</v>
      </c>
      <c r="C43" s="1171">
        <v>0</v>
      </c>
      <c r="D43" s="984">
        <f>'Table 3 Levels 1&amp;2'!AL44</f>
        <v>5492.0643232073926</v>
      </c>
      <c r="E43" s="1074">
        <f t="shared" si="33"/>
        <v>0</v>
      </c>
      <c r="F43" s="1074">
        <f>'Table 4 Level 3'!P42</f>
        <v>653.61</v>
      </c>
      <c r="G43" s="1074">
        <f t="shared" si="34"/>
        <v>0</v>
      </c>
      <c r="H43" s="1037">
        <f t="shared" si="35"/>
        <v>0</v>
      </c>
      <c r="I43" s="1417">
        <f>'[1]Oct midyear Southwest LA Chtr'!K43</f>
        <v>0</v>
      </c>
      <c r="J43" s="1417">
        <f>'[1]Feb midyear Southwest LA Ch '!K43</f>
        <v>0</v>
      </c>
      <c r="K43" s="1417">
        <f t="shared" si="36"/>
        <v>0</v>
      </c>
      <c r="L43" s="1436">
        <f t="shared" si="37"/>
        <v>0</v>
      </c>
      <c r="M43" s="1084">
        <f t="shared" si="38"/>
        <v>0</v>
      </c>
      <c r="N43" s="1037">
        <f t="shared" si="39"/>
        <v>0</v>
      </c>
      <c r="O43" s="1037">
        <v>0</v>
      </c>
      <c r="P43" s="1037">
        <f t="shared" si="40"/>
        <v>0</v>
      </c>
      <c r="Q43" s="1037">
        <v>0</v>
      </c>
      <c r="R43" s="1037">
        <f t="shared" si="41"/>
        <v>0</v>
      </c>
      <c r="S43" s="1037">
        <f t="shared" si="42"/>
        <v>0</v>
      </c>
      <c r="T43" s="1029">
        <f>'[14]FY2012-13 Final'!K44</f>
        <v>3128</v>
      </c>
      <c r="U43" s="1031">
        <f t="shared" si="54"/>
        <v>0</v>
      </c>
      <c r="V43" s="1464">
        <f>'[20]Oct midyear Southwest LA Chtr'!E43</f>
        <v>0</v>
      </c>
      <c r="W43" s="1443">
        <f t="shared" si="43"/>
        <v>0</v>
      </c>
      <c r="X43" s="1474">
        <f>'[20]Feb midyear Southwest LA Ch '!E43</f>
        <v>0</v>
      </c>
      <c r="Y43" s="1470">
        <f t="shared" si="44"/>
        <v>0</v>
      </c>
      <c r="Z43" s="1470">
        <f t="shared" si="45"/>
        <v>0</v>
      </c>
      <c r="AA43" s="1031">
        <f t="shared" si="46"/>
        <v>0</v>
      </c>
      <c r="AB43" s="1090">
        <f t="shared" si="47"/>
        <v>0</v>
      </c>
      <c r="AC43" s="1031">
        <f t="shared" si="48"/>
        <v>0</v>
      </c>
      <c r="AD43" s="1031">
        <v>0</v>
      </c>
      <c r="AE43" s="1031">
        <f t="shared" si="49"/>
        <v>0</v>
      </c>
      <c r="AF43" s="1031">
        <v>0</v>
      </c>
      <c r="AG43" s="1448">
        <f t="shared" si="50"/>
        <v>0</v>
      </c>
      <c r="AH43" s="1448">
        <f t="shared" si="51"/>
        <v>0</v>
      </c>
      <c r="AI43" s="1032">
        <f t="shared" si="55"/>
        <v>0</v>
      </c>
      <c r="AJ43" s="1032">
        <f t="shared" si="56"/>
        <v>0</v>
      </c>
      <c r="AL43" s="49">
        <f t="shared" si="52"/>
        <v>0</v>
      </c>
      <c r="AM43" s="49">
        <f>-'[22]Table 5C1H-Southwest LA Charter'!AL43</f>
        <v>0</v>
      </c>
      <c r="AN43" s="49">
        <f>-'[21]Table 5C1H-Southwest LA Charter'!P43</f>
        <v>0</v>
      </c>
      <c r="AO43" s="49">
        <f t="shared" si="53"/>
        <v>0</v>
      </c>
    </row>
    <row r="44" spans="1:41">
      <c r="A44" s="975">
        <v>38</v>
      </c>
      <c r="B44" s="976" t="s">
        <v>139</v>
      </c>
      <c r="C44" s="1171">
        <v>0</v>
      </c>
      <c r="D44" s="984">
        <f>'Table 3 Levels 1&amp;2'!AL45</f>
        <v>2296.9220537376964</v>
      </c>
      <c r="E44" s="1074">
        <f t="shared" si="33"/>
        <v>0</v>
      </c>
      <c r="F44" s="1074">
        <f>'Table 4 Level 3'!P43</f>
        <v>829.92000000000007</v>
      </c>
      <c r="G44" s="1074">
        <f t="shared" si="34"/>
        <v>0</v>
      </c>
      <c r="H44" s="1037">
        <f t="shared" si="35"/>
        <v>0</v>
      </c>
      <c r="I44" s="1417">
        <f>'[1]Oct midyear Southwest LA Chtr'!K44</f>
        <v>0</v>
      </c>
      <c r="J44" s="1417">
        <f>'[1]Feb midyear Southwest LA Ch '!K44</f>
        <v>0</v>
      </c>
      <c r="K44" s="1417">
        <f t="shared" si="36"/>
        <v>0</v>
      </c>
      <c r="L44" s="1436">
        <f t="shared" si="37"/>
        <v>0</v>
      </c>
      <c r="M44" s="1084">
        <f t="shared" si="38"/>
        <v>0</v>
      </c>
      <c r="N44" s="1037">
        <f t="shared" si="39"/>
        <v>0</v>
      </c>
      <c r="O44" s="1037">
        <v>0</v>
      </c>
      <c r="P44" s="1037">
        <f t="shared" si="40"/>
        <v>0</v>
      </c>
      <c r="Q44" s="1037">
        <v>0</v>
      </c>
      <c r="R44" s="1037">
        <f t="shared" si="41"/>
        <v>0</v>
      </c>
      <c r="S44" s="1037">
        <f t="shared" si="42"/>
        <v>0</v>
      </c>
      <c r="T44" s="1029">
        <f>'[14]FY2012-13 Final'!K45</f>
        <v>10932</v>
      </c>
      <c r="U44" s="1031">
        <f t="shared" si="54"/>
        <v>0</v>
      </c>
      <c r="V44" s="1464">
        <f>'[20]Oct midyear Southwest LA Chtr'!E44</f>
        <v>0</v>
      </c>
      <c r="W44" s="1443">
        <f t="shared" si="43"/>
        <v>0</v>
      </c>
      <c r="X44" s="1474">
        <f>'[20]Feb midyear Southwest LA Ch '!E44</f>
        <v>0</v>
      </c>
      <c r="Y44" s="1470">
        <f t="shared" si="44"/>
        <v>0</v>
      </c>
      <c r="Z44" s="1470">
        <f t="shared" si="45"/>
        <v>0</v>
      </c>
      <c r="AA44" s="1031">
        <f t="shared" si="46"/>
        <v>0</v>
      </c>
      <c r="AB44" s="1090">
        <f t="shared" si="47"/>
        <v>0</v>
      </c>
      <c r="AC44" s="1031">
        <f t="shared" si="48"/>
        <v>0</v>
      </c>
      <c r="AD44" s="1031">
        <v>0</v>
      </c>
      <c r="AE44" s="1031">
        <f t="shared" si="49"/>
        <v>0</v>
      </c>
      <c r="AF44" s="1031">
        <v>0</v>
      </c>
      <c r="AG44" s="1448">
        <f t="shared" si="50"/>
        <v>0</v>
      </c>
      <c r="AH44" s="1448">
        <f t="shared" si="51"/>
        <v>0</v>
      </c>
      <c r="AI44" s="1032">
        <f t="shared" si="55"/>
        <v>0</v>
      </c>
      <c r="AJ44" s="1032">
        <f t="shared" si="56"/>
        <v>0</v>
      </c>
      <c r="AL44" s="49">
        <f t="shared" si="52"/>
        <v>0</v>
      </c>
      <c r="AM44" s="49">
        <f>-'[22]Table 5C1H-Southwest LA Charter'!AL44</f>
        <v>0</v>
      </c>
      <c r="AN44" s="49">
        <f>-'[21]Table 5C1H-Southwest LA Charter'!P44</f>
        <v>0</v>
      </c>
      <c r="AO44" s="49">
        <f t="shared" si="53"/>
        <v>0</v>
      </c>
    </row>
    <row r="45" spans="1:41">
      <c r="A45" s="975">
        <v>39</v>
      </c>
      <c r="B45" s="976" t="s">
        <v>140</v>
      </c>
      <c r="C45" s="1171">
        <v>0</v>
      </c>
      <c r="D45" s="984">
        <f>'Table 3 Levels 1&amp;2'!AL46</f>
        <v>3692.59215316156</v>
      </c>
      <c r="E45" s="1074">
        <f t="shared" si="33"/>
        <v>0</v>
      </c>
      <c r="F45" s="1074">
        <f>'Table 5B2_RSD_LA'!F21</f>
        <v>779.65573042776441</v>
      </c>
      <c r="G45" s="1074">
        <f t="shared" si="34"/>
        <v>0</v>
      </c>
      <c r="H45" s="1037">
        <f t="shared" si="35"/>
        <v>0</v>
      </c>
      <c r="I45" s="1417">
        <f>'[1]Oct midyear Southwest LA Chtr'!K45</f>
        <v>0</v>
      </c>
      <c r="J45" s="1417">
        <f>'[1]Feb midyear Southwest LA Ch '!K45</f>
        <v>0</v>
      </c>
      <c r="K45" s="1417">
        <f t="shared" si="36"/>
        <v>0</v>
      </c>
      <c r="L45" s="1436">
        <f t="shared" si="37"/>
        <v>0</v>
      </c>
      <c r="M45" s="1084">
        <f t="shared" si="38"/>
        <v>0</v>
      </c>
      <c r="N45" s="1037">
        <f t="shared" si="39"/>
        <v>0</v>
      </c>
      <c r="O45" s="1037">
        <v>0</v>
      </c>
      <c r="P45" s="1037">
        <f t="shared" si="40"/>
        <v>0</v>
      </c>
      <c r="Q45" s="1037">
        <v>0</v>
      </c>
      <c r="R45" s="1037">
        <f t="shared" si="41"/>
        <v>0</v>
      </c>
      <c r="S45" s="1037">
        <f t="shared" si="42"/>
        <v>0</v>
      </c>
      <c r="T45" s="1029">
        <f>'[14]FY2012-13 Final'!K46</f>
        <v>4317</v>
      </c>
      <c r="U45" s="1031">
        <f t="shared" si="54"/>
        <v>0</v>
      </c>
      <c r="V45" s="1464">
        <f>'[20]Oct midyear Southwest LA Chtr'!E45</f>
        <v>0</v>
      </c>
      <c r="W45" s="1443">
        <f t="shared" si="43"/>
        <v>0</v>
      </c>
      <c r="X45" s="1474">
        <f>'[20]Feb midyear Southwest LA Ch '!E45</f>
        <v>0</v>
      </c>
      <c r="Y45" s="1470">
        <f t="shared" si="44"/>
        <v>0</v>
      </c>
      <c r="Z45" s="1470">
        <f t="shared" si="45"/>
        <v>0</v>
      </c>
      <c r="AA45" s="1031">
        <f t="shared" si="46"/>
        <v>0</v>
      </c>
      <c r="AB45" s="1090">
        <f t="shared" si="47"/>
        <v>0</v>
      </c>
      <c r="AC45" s="1031">
        <f t="shared" si="48"/>
        <v>0</v>
      </c>
      <c r="AD45" s="1031">
        <v>0</v>
      </c>
      <c r="AE45" s="1031">
        <f t="shared" si="49"/>
        <v>0</v>
      </c>
      <c r="AF45" s="1031">
        <v>0</v>
      </c>
      <c r="AG45" s="1448">
        <f t="shared" si="50"/>
        <v>0</v>
      </c>
      <c r="AH45" s="1448">
        <f t="shared" si="51"/>
        <v>0</v>
      </c>
      <c r="AI45" s="1032">
        <f t="shared" si="55"/>
        <v>0</v>
      </c>
      <c r="AJ45" s="1032">
        <f t="shared" si="56"/>
        <v>0</v>
      </c>
      <c r="AL45" s="49">
        <f t="shared" si="52"/>
        <v>0</v>
      </c>
      <c r="AM45" s="49">
        <f>-'[22]Table 5C1H-Southwest LA Charter'!AL45</f>
        <v>0</v>
      </c>
      <c r="AN45" s="49">
        <f>-'[21]Table 5C1H-Southwest LA Charter'!P45</f>
        <v>0</v>
      </c>
      <c r="AO45" s="49">
        <f t="shared" si="53"/>
        <v>0</v>
      </c>
    </row>
    <row r="46" spans="1:41">
      <c r="A46" s="979">
        <v>40</v>
      </c>
      <c r="B46" s="980" t="s">
        <v>141</v>
      </c>
      <c r="C46" s="1172">
        <v>0</v>
      </c>
      <c r="D46" s="986">
        <f>'Table 3 Levels 1&amp;2'!AL47</f>
        <v>4897.3087815908475</v>
      </c>
      <c r="E46" s="1075">
        <f t="shared" si="33"/>
        <v>0</v>
      </c>
      <c r="F46" s="1075">
        <f>'Table 4 Level 3'!P45</f>
        <v>700.2700000000001</v>
      </c>
      <c r="G46" s="1075">
        <f t="shared" si="34"/>
        <v>0</v>
      </c>
      <c r="H46" s="1038">
        <f t="shared" si="35"/>
        <v>0</v>
      </c>
      <c r="I46" s="1418">
        <f>'[1]Oct midyear Southwest LA Chtr'!K46</f>
        <v>0</v>
      </c>
      <c r="J46" s="1418">
        <f>'[1]Feb midyear Southwest LA Ch '!K46</f>
        <v>0</v>
      </c>
      <c r="K46" s="1418">
        <f t="shared" si="36"/>
        <v>0</v>
      </c>
      <c r="L46" s="1437">
        <f t="shared" si="37"/>
        <v>0</v>
      </c>
      <c r="M46" s="1085">
        <f t="shared" si="38"/>
        <v>0</v>
      </c>
      <c r="N46" s="1038">
        <f t="shared" si="39"/>
        <v>0</v>
      </c>
      <c r="O46" s="1038">
        <v>0</v>
      </c>
      <c r="P46" s="1038">
        <f t="shared" si="40"/>
        <v>0</v>
      </c>
      <c r="Q46" s="1038">
        <v>0</v>
      </c>
      <c r="R46" s="1038">
        <f t="shared" si="41"/>
        <v>0</v>
      </c>
      <c r="S46" s="1038">
        <f t="shared" si="42"/>
        <v>0</v>
      </c>
      <c r="T46" s="1034">
        <f>'[14]FY2012-13 Final'!K47</f>
        <v>2932</v>
      </c>
      <c r="U46" s="1035">
        <f t="shared" si="54"/>
        <v>0</v>
      </c>
      <c r="V46" s="1465">
        <f>'[20]Oct midyear Southwest LA Chtr'!E46</f>
        <v>0</v>
      </c>
      <c r="W46" s="1445">
        <f t="shared" si="43"/>
        <v>0</v>
      </c>
      <c r="X46" s="1475">
        <f>'[20]Feb midyear Southwest LA Ch '!E46</f>
        <v>0</v>
      </c>
      <c r="Y46" s="1471">
        <f t="shared" si="44"/>
        <v>0</v>
      </c>
      <c r="Z46" s="1471">
        <f t="shared" si="45"/>
        <v>0</v>
      </c>
      <c r="AA46" s="1035">
        <f t="shared" si="46"/>
        <v>0</v>
      </c>
      <c r="AB46" s="1091">
        <f t="shared" si="47"/>
        <v>0</v>
      </c>
      <c r="AC46" s="1035">
        <f t="shared" si="48"/>
        <v>0</v>
      </c>
      <c r="AD46" s="1035">
        <v>0</v>
      </c>
      <c r="AE46" s="1035">
        <f t="shared" si="49"/>
        <v>0</v>
      </c>
      <c r="AF46" s="1035">
        <v>0</v>
      </c>
      <c r="AG46" s="1450">
        <f t="shared" si="50"/>
        <v>0</v>
      </c>
      <c r="AH46" s="1450">
        <f t="shared" si="51"/>
        <v>0</v>
      </c>
      <c r="AI46" s="1036">
        <f t="shared" si="55"/>
        <v>0</v>
      </c>
      <c r="AJ46" s="1036">
        <f t="shared" si="56"/>
        <v>0</v>
      </c>
      <c r="AL46" s="49">
        <f t="shared" si="52"/>
        <v>0</v>
      </c>
      <c r="AM46" s="49">
        <f>-'[22]Table 5C1H-Southwest LA Charter'!AL46</f>
        <v>0</v>
      </c>
      <c r="AN46" s="49">
        <f>-'[21]Table 5C1H-Southwest LA Charter'!P46</f>
        <v>0</v>
      </c>
      <c r="AO46" s="49">
        <f t="shared" si="53"/>
        <v>0</v>
      </c>
    </row>
    <row r="47" spans="1:41">
      <c r="A47" s="968">
        <v>41</v>
      </c>
      <c r="B47" s="969" t="s">
        <v>142</v>
      </c>
      <c r="C47" s="1173">
        <v>0</v>
      </c>
      <c r="D47" s="988">
        <f>'Table 3 Levels 1&amp;2'!AL48</f>
        <v>1613.0487891737891</v>
      </c>
      <c r="E47" s="1076">
        <f t="shared" si="33"/>
        <v>0</v>
      </c>
      <c r="F47" s="1076">
        <f>'Table 4 Level 3'!P46</f>
        <v>886.22</v>
      </c>
      <c r="G47" s="1076">
        <f t="shared" si="34"/>
        <v>0</v>
      </c>
      <c r="H47" s="1039">
        <f t="shared" si="35"/>
        <v>0</v>
      </c>
      <c r="I47" s="1419">
        <f>'[1]Oct midyear Southwest LA Chtr'!K47</f>
        <v>0</v>
      </c>
      <c r="J47" s="1419">
        <f>'[1]Feb midyear Southwest LA Ch '!K47</f>
        <v>0</v>
      </c>
      <c r="K47" s="1419">
        <f t="shared" si="36"/>
        <v>0</v>
      </c>
      <c r="L47" s="1211">
        <f t="shared" si="37"/>
        <v>0</v>
      </c>
      <c r="M47" s="1086">
        <f t="shared" si="38"/>
        <v>0</v>
      </c>
      <c r="N47" s="1039">
        <f t="shared" si="39"/>
        <v>0</v>
      </c>
      <c r="O47" s="1039">
        <v>0</v>
      </c>
      <c r="P47" s="1039">
        <f t="shared" si="40"/>
        <v>0</v>
      </c>
      <c r="Q47" s="1039">
        <v>0</v>
      </c>
      <c r="R47" s="1039">
        <f t="shared" si="41"/>
        <v>0</v>
      </c>
      <c r="S47" s="1039">
        <f t="shared" si="42"/>
        <v>0</v>
      </c>
      <c r="T47" s="1029">
        <f>'[14]FY2012-13 Final'!K48</f>
        <v>12026</v>
      </c>
      <c r="U47" s="973">
        <f t="shared" si="54"/>
        <v>0</v>
      </c>
      <c r="V47" s="1466">
        <f>'[20]Oct midyear Southwest LA Chtr'!E47</f>
        <v>0</v>
      </c>
      <c r="W47" s="1444">
        <f t="shared" si="43"/>
        <v>0</v>
      </c>
      <c r="X47" s="1466">
        <f>'[20]Feb midyear Southwest LA Ch '!E47</f>
        <v>0</v>
      </c>
      <c r="Y47" s="1444">
        <f t="shared" si="44"/>
        <v>0</v>
      </c>
      <c r="Z47" s="1444">
        <f t="shared" si="45"/>
        <v>0</v>
      </c>
      <c r="AA47" s="973">
        <f t="shared" si="46"/>
        <v>0</v>
      </c>
      <c r="AB47" s="1089">
        <f t="shared" si="47"/>
        <v>0</v>
      </c>
      <c r="AC47" s="973">
        <f t="shared" si="48"/>
        <v>0</v>
      </c>
      <c r="AD47" s="973">
        <v>0</v>
      </c>
      <c r="AE47" s="973">
        <f t="shared" si="49"/>
        <v>0</v>
      </c>
      <c r="AF47" s="973">
        <v>0</v>
      </c>
      <c r="AG47" s="1214">
        <f t="shared" si="50"/>
        <v>0</v>
      </c>
      <c r="AH47" s="1214">
        <f t="shared" si="51"/>
        <v>0</v>
      </c>
      <c r="AI47" s="974">
        <f t="shared" si="55"/>
        <v>0</v>
      </c>
      <c r="AJ47" s="974">
        <f t="shared" si="56"/>
        <v>0</v>
      </c>
      <c r="AL47" s="49">
        <f t="shared" si="52"/>
        <v>0</v>
      </c>
      <c r="AM47" s="49">
        <f>-'[22]Table 5C1H-Southwest LA Charter'!AL47</f>
        <v>0</v>
      </c>
      <c r="AN47" s="49">
        <f>-'[21]Table 5C1H-Southwest LA Charter'!P47</f>
        <v>0</v>
      </c>
      <c r="AO47" s="49">
        <f t="shared" si="53"/>
        <v>0</v>
      </c>
    </row>
    <row r="48" spans="1:41">
      <c r="A48" s="975">
        <v>42</v>
      </c>
      <c r="B48" s="976" t="s">
        <v>143</v>
      </c>
      <c r="C48" s="1171">
        <v>0</v>
      </c>
      <c r="D48" s="984">
        <f>'Table 3 Levels 1&amp;2'!AL49</f>
        <v>5259.3837602759822</v>
      </c>
      <c r="E48" s="1074">
        <f t="shared" si="33"/>
        <v>0</v>
      </c>
      <c r="F48" s="1074">
        <f>'Table 4 Level 3'!P47</f>
        <v>534.28</v>
      </c>
      <c r="G48" s="1074">
        <f t="shared" si="34"/>
        <v>0</v>
      </c>
      <c r="H48" s="1037">
        <f t="shared" si="35"/>
        <v>0</v>
      </c>
      <c r="I48" s="1417">
        <f>'[1]Oct midyear Southwest LA Chtr'!K48</f>
        <v>0</v>
      </c>
      <c r="J48" s="1417">
        <f>'[1]Feb midyear Southwest LA Ch '!K48</f>
        <v>0</v>
      </c>
      <c r="K48" s="1417">
        <f t="shared" si="36"/>
        <v>0</v>
      </c>
      <c r="L48" s="1436">
        <f t="shared" si="37"/>
        <v>0</v>
      </c>
      <c r="M48" s="1084">
        <f t="shared" si="38"/>
        <v>0</v>
      </c>
      <c r="N48" s="1037">
        <f t="shared" si="39"/>
        <v>0</v>
      </c>
      <c r="O48" s="1037">
        <v>0</v>
      </c>
      <c r="P48" s="1037">
        <f t="shared" si="40"/>
        <v>0</v>
      </c>
      <c r="Q48" s="1037">
        <v>0</v>
      </c>
      <c r="R48" s="1037">
        <f t="shared" si="41"/>
        <v>0</v>
      </c>
      <c r="S48" s="1037">
        <f t="shared" si="42"/>
        <v>0</v>
      </c>
      <c r="T48" s="1029">
        <f>'[14]FY2012-13 Final'!K49</f>
        <v>2881</v>
      </c>
      <c r="U48" s="1031">
        <f t="shared" si="54"/>
        <v>0</v>
      </c>
      <c r="V48" s="1464">
        <f>'[20]Oct midyear Southwest LA Chtr'!E48</f>
        <v>0</v>
      </c>
      <c r="W48" s="1443">
        <f t="shared" si="43"/>
        <v>0</v>
      </c>
      <c r="X48" s="1474">
        <f>'[20]Feb midyear Southwest LA Ch '!E48</f>
        <v>0</v>
      </c>
      <c r="Y48" s="1470">
        <f t="shared" si="44"/>
        <v>0</v>
      </c>
      <c r="Z48" s="1470">
        <f t="shared" si="45"/>
        <v>0</v>
      </c>
      <c r="AA48" s="1031">
        <f t="shared" si="46"/>
        <v>0</v>
      </c>
      <c r="AB48" s="1090">
        <f t="shared" si="47"/>
        <v>0</v>
      </c>
      <c r="AC48" s="1031">
        <f t="shared" si="48"/>
        <v>0</v>
      </c>
      <c r="AD48" s="1031">
        <v>0</v>
      </c>
      <c r="AE48" s="1031">
        <f t="shared" si="49"/>
        <v>0</v>
      </c>
      <c r="AF48" s="1031">
        <v>0</v>
      </c>
      <c r="AG48" s="1448">
        <f t="shared" si="50"/>
        <v>0</v>
      </c>
      <c r="AH48" s="1448">
        <f t="shared" si="51"/>
        <v>0</v>
      </c>
      <c r="AI48" s="1032">
        <f t="shared" si="55"/>
        <v>0</v>
      </c>
      <c r="AJ48" s="1032">
        <f t="shared" si="56"/>
        <v>0</v>
      </c>
      <c r="AL48" s="49">
        <f t="shared" si="52"/>
        <v>0</v>
      </c>
      <c r="AM48" s="49">
        <f>-'[22]Table 5C1H-Southwest LA Charter'!AL48</f>
        <v>0</v>
      </c>
      <c r="AN48" s="49">
        <f>-'[21]Table 5C1H-Southwest LA Charter'!P48</f>
        <v>0</v>
      </c>
      <c r="AO48" s="49">
        <f t="shared" si="53"/>
        <v>0</v>
      </c>
    </row>
    <row r="49" spans="1:41">
      <c r="A49" s="975">
        <v>43</v>
      </c>
      <c r="B49" s="976" t="s">
        <v>144</v>
      </c>
      <c r="C49" s="1171">
        <v>0</v>
      </c>
      <c r="D49" s="984">
        <f>'Table 3 Levels 1&amp;2'!AL50</f>
        <v>5602.7225412254893</v>
      </c>
      <c r="E49" s="1074">
        <f t="shared" si="33"/>
        <v>0</v>
      </c>
      <c r="F49" s="1074">
        <f>'Table 4 Level 3'!P48</f>
        <v>574.6099999999999</v>
      </c>
      <c r="G49" s="1074">
        <f t="shared" si="34"/>
        <v>0</v>
      </c>
      <c r="H49" s="1037">
        <f t="shared" si="35"/>
        <v>0</v>
      </c>
      <c r="I49" s="1417">
        <f>'[1]Oct midyear Southwest LA Chtr'!K49</f>
        <v>0</v>
      </c>
      <c r="J49" s="1417">
        <f>'[1]Feb midyear Southwest LA Ch '!K49</f>
        <v>0</v>
      </c>
      <c r="K49" s="1417">
        <f t="shared" si="36"/>
        <v>0</v>
      </c>
      <c r="L49" s="1436">
        <f t="shared" si="37"/>
        <v>0</v>
      </c>
      <c r="M49" s="1084">
        <f t="shared" si="38"/>
        <v>0</v>
      </c>
      <c r="N49" s="1037">
        <f t="shared" si="39"/>
        <v>0</v>
      </c>
      <c r="O49" s="1037">
        <v>0</v>
      </c>
      <c r="P49" s="1037">
        <f t="shared" si="40"/>
        <v>0</v>
      </c>
      <c r="Q49" s="1037">
        <v>0</v>
      </c>
      <c r="R49" s="1037">
        <f t="shared" si="41"/>
        <v>0</v>
      </c>
      <c r="S49" s="1037">
        <f t="shared" si="42"/>
        <v>0</v>
      </c>
      <c r="T49" s="1029">
        <f>'[14]FY2012-13 Final'!K50</f>
        <v>5270</v>
      </c>
      <c r="U49" s="1031">
        <f t="shared" si="54"/>
        <v>0</v>
      </c>
      <c r="V49" s="1464">
        <f>'[20]Oct midyear Southwest LA Chtr'!E49</f>
        <v>0</v>
      </c>
      <c r="W49" s="1443">
        <f t="shared" si="43"/>
        <v>0</v>
      </c>
      <c r="X49" s="1474">
        <f>'[20]Feb midyear Southwest LA Ch '!E49</f>
        <v>0</v>
      </c>
      <c r="Y49" s="1470">
        <f t="shared" si="44"/>
        <v>0</v>
      </c>
      <c r="Z49" s="1470">
        <f t="shared" si="45"/>
        <v>0</v>
      </c>
      <c r="AA49" s="1031">
        <f t="shared" si="46"/>
        <v>0</v>
      </c>
      <c r="AB49" s="1090">
        <f t="shared" si="47"/>
        <v>0</v>
      </c>
      <c r="AC49" s="1031">
        <f t="shared" si="48"/>
        <v>0</v>
      </c>
      <c r="AD49" s="1031">
        <v>0</v>
      </c>
      <c r="AE49" s="1031">
        <f t="shared" si="49"/>
        <v>0</v>
      </c>
      <c r="AF49" s="1031">
        <v>0</v>
      </c>
      <c r="AG49" s="1448">
        <f t="shared" si="50"/>
        <v>0</v>
      </c>
      <c r="AH49" s="1448">
        <f t="shared" si="51"/>
        <v>0</v>
      </c>
      <c r="AI49" s="1032">
        <f t="shared" si="55"/>
        <v>0</v>
      </c>
      <c r="AJ49" s="1032">
        <f t="shared" si="56"/>
        <v>0</v>
      </c>
      <c r="AL49" s="49">
        <f t="shared" si="52"/>
        <v>0</v>
      </c>
      <c r="AM49" s="49">
        <f>-'[22]Table 5C1H-Southwest LA Charter'!AL49</f>
        <v>0</v>
      </c>
      <c r="AN49" s="49">
        <f>-'[21]Table 5C1H-Southwest LA Charter'!P49</f>
        <v>0</v>
      </c>
      <c r="AO49" s="49">
        <f t="shared" si="53"/>
        <v>0</v>
      </c>
    </row>
    <row r="50" spans="1:41">
      <c r="A50" s="975">
        <v>44</v>
      </c>
      <c r="B50" s="976" t="s">
        <v>145</v>
      </c>
      <c r="C50" s="1171">
        <v>0</v>
      </c>
      <c r="D50" s="984">
        <f>'Table 3 Levels 1&amp;2'!AL51</f>
        <v>4123.0310925034155</v>
      </c>
      <c r="E50" s="1074">
        <f t="shared" si="33"/>
        <v>0</v>
      </c>
      <c r="F50" s="1074">
        <f>'Table 4 Level 3'!P49</f>
        <v>663.16000000000008</v>
      </c>
      <c r="G50" s="1074">
        <f t="shared" si="34"/>
        <v>0</v>
      </c>
      <c r="H50" s="1037">
        <f t="shared" si="35"/>
        <v>0</v>
      </c>
      <c r="I50" s="1417">
        <f>'[1]Oct midyear Southwest LA Chtr'!K50</f>
        <v>0</v>
      </c>
      <c r="J50" s="1417">
        <f>'[1]Feb midyear Southwest LA Ch '!K50</f>
        <v>0</v>
      </c>
      <c r="K50" s="1417">
        <f t="shared" si="36"/>
        <v>0</v>
      </c>
      <c r="L50" s="1436">
        <f t="shared" si="37"/>
        <v>0</v>
      </c>
      <c r="M50" s="1084">
        <f t="shared" si="38"/>
        <v>0</v>
      </c>
      <c r="N50" s="1037">
        <f t="shared" si="39"/>
        <v>0</v>
      </c>
      <c r="O50" s="1037">
        <v>0</v>
      </c>
      <c r="P50" s="1037">
        <f t="shared" si="40"/>
        <v>0</v>
      </c>
      <c r="Q50" s="1037">
        <v>0</v>
      </c>
      <c r="R50" s="1037">
        <f t="shared" si="41"/>
        <v>0</v>
      </c>
      <c r="S50" s="1037">
        <f t="shared" si="42"/>
        <v>0</v>
      </c>
      <c r="T50" s="1029">
        <f>'[14]FY2012-13 Final'!K51</f>
        <v>4133</v>
      </c>
      <c r="U50" s="1031">
        <f t="shared" si="54"/>
        <v>0</v>
      </c>
      <c r="V50" s="1464">
        <f>'[20]Oct midyear Southwest LA Chtr'!E50</f>
        <v>0</v>
      </c>
      <c r="W50" s="1443">
        <f t="shared" si="43"/>
        <v>0</v>
      </c>
      <c r="X50" s="1474">
        <f>'[20]Feb midyear Southwest LA Ch '!E50</f>
        <v>0</v>
      </c>
      <c r="Y50" s="1470">
        <f t="shared" si="44"/>
        <v>0</v>
      </c>
      <c r="Z50" s="1470">
        <f t="shared" si="45"/>
        <v>0</v>
      </c>
      <c r="AA50" s="1031">
        <f t="shared" si="46"/>
        <v>0</v>
      </c>
      <c r="AB50" s="1090">
        <f t="shared" si="47"/>
        <v>0</v>
      </c>
      <c r="AC50" s="1031">
        <f t="shared" si="48"/>
        <v>0</v>
      </c>
      <c r="AD50" s="1031">
        <v>0</v>
      </c>
      <c r="AE50" s="1031">
        <f t="shared" si="49"/>
        <v>0</v>
      </c>
      <c r="AF50" s="1031">
        <v>0</v>
      </c>
      <c r="AG50" s="1448">
        <f t="shared" si="50"/>
        <v>0</v>
      </c>
      <c r="AH50" s="1448">
        <f t="shared" si="51"/>
        <v>0</v>
      </c>
      <c r="AI50" s="1032">
        <f t="shared" si="55"/>
        <v>0</v>
      </c>
      <c r="AJ50" s="1032">
        <f t="shared" si="56"/>
        <v>0</v>
      </c>
      <c r="AL50" s="49">
        <f t="shared" si="52"/>
        <v>0</v>
      </c>
      <c r="AM50" s="49">
        <f>-'[22]Table 5C1H-Southwest LA Charter'!AL50</f>
        <v>0</v>
      </c>
      <c r="AN50" s="49">
        <f>-'[21]Table 5C1H-Southwest LA Charter'!P50</f>
        <v>0</v>
      </c>
      <c r="AO50" s="49">
        <f t="shared" si="53"/>
        <v>0</v>
      </c>
    </row>
    <row r="51" spans="1:41">
      <c r="A51" s="979">
        <v>45</v>
      </c>
      <c r="B51" s="980" t="s">
        <v>146</v>
      </c>
      <c r="C51" s="1172">
        <v>0</v>
      </c>
      <c r="D51" s="986">
        <f>'Table 3 Levels 1&amp;2'!AL52</f>
        <v>2428.6757675555082</v>
      </c>
      <c r="E51" s="1075">
        <f t="shared" si="33"/>
        <v>0</v>
      </c>
      <c r="F51" s="1075">
        <f>'Table 4 Level 3'!P50</f>
        <v>753.96000000000015</v>
      </c>
      <c r="G51" s="1075">
        <f t="shared" si="34"/>
        <v>0</v>
      </c>
      <c r="H51" s="1038">
        <f t="shared" si="35"/>
        <v>0</v>
      </c>
      <c r="I51" s="1418">
        <f>'[1]Oct midyear Southwest LA Chtr'!K51</f>
        <v>0</v>
      </c>
      <c r="J51" s="1418">
        <f>'[1]Feb midyear Southwest LA Ch '!K51</f>
        <v>0</v>
      </c>
      <c r="K51" s="1418">
        <f t="shared" si="36"/>
        <v>0</v>
      </c>
      <c r="L51" s="1437">
        <f t="shared" si="37"/>
        <v>0</v>
      </c>
      <c r="M51" s="1085">
        <f t="shared" si="38"/>
        <v>0</v>
      </c>
      <c r="N51" s="1038">
        <f t="shared" si="39"/>
        <v>0</v>
      </c>
      <c r="O51" s="1038">
        <v>0</v>
      </c>
      <c r="P51" s="1038">
        <f t="shared" si="40"/>
        <v>0</v>
      </c>
      <c r="Q51" s="1038">
        <v>0</v>
      </c>
      <c r="R51" s="1038">
        <f t="shared" si="41"/>
        <v>0</v>
      </c>
      <c r="S51" s="1038">
        <f t="shared" si="42"/>
        <v>0</v>
      </c>
      <c r="T51" s="1034">
        <f>'[14]FY2012-13 Final'!K52</f>
        <v>12446</v>
      </c>
      <c r="U51" s="1035">
        <f t="shared" si="54"/>
        <v>0</v>
      </c>
      <c r="V51" s="1465">
        <f>'[20]Oct midyear Southwest LA Chtr'!E51</f>
        <v>0</v>
      </c>
      <c r="W51" s="1445">
        <f t="shared" si="43"/>
        <v>0</v>
      </c>
      <c r="X51" s="1475">
        <f>'[20]Feb midyear Southwest LA Ch '!E51</f>
        <v>0</v>
      </c>
      <c r="Y51" s="1471">
        <f t="shared" si="44"/>
        <v>0</v>
      </c>
      <c r="Z51" s="1471">
        <f t="shared" si="45"/>
        <v>0</v>
      </c>
      <c r="AA51" s="1035">
        <f t="shared" si="46"/>
        <v>0</v>
      </c>
      <c r="AB51" s="1091">
        <f t="shared" si="47"/>
        <v>0</v>
      </c>
      <c r="AC51" s="1035">
        <f t="shared" si="48"/>
        <v>0</v>
      </c>
      <c r="AD51" s="1035">
        <v>0</v>
      </c>
      <c r="AE51" s="1035">
        <f t="shared" si="49"/>
        <v>0</v>
      </c>
      <c r="AF51" s="1035">
        <v>0</v>
      </c>
      <c r="AG51" s="1450">
        <f t="shared" si="50"/>
        <v>0</v>
      </c>
      <c r="AH51" s="1450">
        <f t="shared" si="51"/>
        <v>0</v>
      </c>
      <c r="AI51" s="1036">
        <f t="shared" si="55"/>
        <v>0</v>
      </c>
      <c r="AJ51" s="1036">
        <f t="shared" si="56"/>
        <v>0</v>
      </c>
      <c r="AL51" s="49">
        <f t="shared" si="52"/>
        <v>0</v>
      </c>
      <c r="AM51" s="49">
        <f>-'[22]Table 5C1H-Southwest LA Charter'!AL51</f>
        <v>0</v>
      </c>
      <c r="AN51" s="49">
        <f>-'[21]Table 5C1H-Southwest LA Charter'!P51</f>
        <v>0</v>
      </c>
      <c r="AO51" s="49">
        <f t="shared" si="53"/>
        <v>0</v>
      </c>
    </row>
    <row r="52" spans="1:41">
      <c r="A52" s="968">
        <v>46</v>
      </c>
      <c r="B52" s="969" t="s">
        <v>147</v>
      </c>
      <c r="C52" s="1173">
        <v>0</v>
      </c>
      <c r="D52" s="988">
        <f>'Table 3 Levels 1&amp;2'!AL53</f>
        <v>5783.612845780598</v>
      </c>
      <c r="E52" s="1076">
        <f t="shared" si="33"/>
        <v>0</v>
      </c>
      <c r="F52" s="1076">
        <f>'Table 4 Level 3'!P51</f>
        <v>728.06</v>
      </c>
      <c r="G52" s="1076">
        <f t="shared" si="34"/>
        <v>0</v>
      </c>
      <c r="H52" s="1039">
        <f t="shared" si="35"/>
        <v>0</v>
      </c>
      <c r="I52" s="1419">
        <f>'[1]Oct midyear Southwest LA Chtr'!K52</f>
        <v>0</v>
      </c>
      <c r="J52" s="1419">
        <f>'[1]Feb midyear Southwest LA Ch '!K52</f>
        <v>0</v>
      </c>
      <c r="K52" s="1419">
        <f t="shared" si="36"/>
        <v>0</v>
      </c>
      <c r="L52" s="1211">
        <f t="shared" si="37"/>
        <v>0</v>
      </c>
      <c r="M52" s="1086">
        <f t="shared" si="38"/>
        <v>0</v>
      </c>
      <c r="N52" s="1039">
        <f t="shared" si="39"/>
        <v>0</v>
      </c>
      <c r="O52" s="1039">
        <v>0</v>
      </c>
      <c r="P52" s="1039">
        <f t="shared" si="40"/>
        <v>0</v>
      </c>
      <c r="Q52" s="1039">
        <v>0</v>
      </c>
      <c r="R52" s="1039">
        <f t="shared" si="41"/>
        <v>0</v>
      </c>
      <c r="S52" s="1039">
        <f t="shared" si="42"/>
        <v>0</v>
      </c>
      <c r="T52" s="1029">
        <f>'[14]FY2012-13 Final'!K53</f>
        <v>1976</v>
      </c>
      <c r="U52" s="973">
        <f t="shared" si="54"/>
        <v>0</v>
      </c>
      <c r="V52" s="1466">
        <f>'[20]Oct midyear Southwest LA Chtr'!E52</f>
        <v>0</v>
      </c>
      <c r="W52" s="1444">
        <f t="shared" si="43"/>
        <v>0</v>
      </c>
      <c r="X52" s="1466">
        <f>'[20]Feb midyear Southwest LA Ch '!E52</f>
        <v>0</v>
      </c>
      <c r="Y52" s="1444">
        <f t="shared" si="44"/>
        <v>0</v>
      </c>
      <c r="Z52" s="1444">
        <f t="shared" si="45"/>
        <v>0</v>
      </c>
      <c r="AA52" s="973">
        <f t="shared" si="46"/>
        <v>0</v>
      </c>
      <c r="AB52" s="1089">
        <f t="shared" si="47"/>
        <v>0</v>
      </c>
      <c r="AC52" s="973">
        <f t="shared" si="48"/>
        <v>0</v>
      </c>
      <c r="AD52" s="973">
        <v>0</v>
      </c>
      <c r="AE52" s="973">
        <f t="shared" si="49"/>
        <v>0</v>
      </c>
      <c r="AF52" s="973">
        <v>0</v>
      </c>
      <c r="AG52" s="1214">
        <f t="shared" si="50"/>
        <v>0</v>
      </c>
      <c r="AH52" s="1214">
        <f t="shared" si="51"/>
        <v>0</v>
      </c>
      <c r="AI52" s="974">
        <f t="shared" si="55"/>
        <v>0</v>
      </c>
      <c r="AJ52" s="974">
        <f t="shared" si="56"/>
        <v>0</v>
      </c>
      <c r="AL52" s="49">
        <f t="shared" si="52"/>
        <v>0</v>
      </c>
      <c r="AM52" s="49">
        <f>-'[22]Table 5C1H-Southwest LA Charter'!AL52</f>
        <v>0</v>
      </c>
      <c r="AN52" s="49">
        <f>-'[21]Table 5C1H-Southwest LA Charter'!P52</f>
        <v>0</v>
      </c>
      <c r="AO52" s="49">
        <f t="shared" si="53"/>
        <v>0</v>
      </c>
    </row>
    <row r="53" spans="1:41">
      <c r="A53" s="975">
        <v>47</v>
      </c>
      <c r="B53" s="976" t="s">
        <v>148</v>
      </c>
      <c r="C53" s="1171">
        <v>0</v>
      </c>
      <c r="D53" s="984">
        <f>'Table 3 Levels 1&amp;2'!AL54</f>
        <v>3209.8138023141523</v>
      </c>
      <c r="E53" s="1074">
        <f t="shared" si="33"/>
        <v>0</v>
      </c>
      <c r="F53" s="1074">
        <f>'Table 4 Level 3'!P52</f>
        <v>910.76</v>
      </c>
      <c r="G53" s="1074">
        <f t="shared" si="34"/>
        <v>0</v>
      </c>
      <c r="H53" s="1037">
        <f t="shared" si="35"/>
        <v>0</v>
      </c>
      <c r="I53" s="1417">
        <f>'[1]Oct midyear Southwest LA Chtr'!K53</f>
        <v>0</v>
      </c>
      <c r="J53" s="1417">
        <f>'[1]Feb midyear Southwest LA Ch '!K53</f>
        <v>0</v>
      </c>
      <c r="K53" s="1417">
        <f t="shared" si="36"/>
        <v>0</v>
      </c>
      <c r="L53" s="1436">
        <f t="shared" si="37"/>
        <v>0</v>
      </c>
      <c r="M53" s="1084">
        <f t="shared" si="38"/>
        <v>0</v>
      </c>
      <c r="N53" s="1037">
        <f t="shared" si="39"/>
        <v>0</v>
      </c>
      <c r="O53" s="1037">
        <v>0</v>
      </c>
      <c r="P53" s="1037">
        <f t="shared" si="40"/>
        <v>0</v>
      </c>
      <c r="Q53" s="1037">
        <v>0</v>
      </c>
      <c r="R53" s="1037">
        <f t="shared" si="41"/>
        <v>0</v>
      </c>
      <c r="S53" s="1037">
        <f t="shared" si="42"/>
        <v>0</v>
      </c>
      <c r="T53" s="1029">
        <f>'[14]FY2012-13 Final'!K54</f>
        <v>10067</v>
      </c>
      <c r="U53" s="1031">
        <f t="shared" si="54"/>
        <v>0</v>
      </c>
      <c r="V53" s="1464">
        <f>'[20]Oct midyear Southwest LA Chtr'!E53</f>
        <v>0</v>
      </c>
      <c r="W53" s="1443">
        <f t="shared" si="43"/>
        <v>0</v>
      </c>
      <c r="X53" s="1474">
        <f>'[20]Feb midyear Southwest LA Ch '!E53</f>
        <v>0</v>
      </c>
      <c r="Y53" s="1470">
        <f t="shared" si="44"/>
        <v>0</v>
      </c>
      <c r="Z53" s="1470">
        <f t="shared" si="45"/>
        <v>0</v>
      </c>
      <c r="AA53" s="1031">
        <f t="shared" si="46"/>
        <v>0</v>
      </c>
      <c r="AB53" s="1090">
        <f t="shared" si="47"/>
        <v>0</v>
      </c>
      <c r="AC53" s="1031">
        <f t="shared" si="48"/>
        <v>0</v>
      </c>
      <c r="AD53" s="1031">
        <v>0</v>
      </c>
      <c r="AE53" s="1031">
        <f t="shared" si="49"/>
        <v>0</v>
      </c>
      <c r="AF53" s="1031">
        <v>0</v>
      </c>
      <c r="AG53" s="1448">
        <f t="shared" si="50"/>
        <v>0</v>
      </c>
      <c r="AH53" s="1448">
        <f t="shared" si="51"/>
        <v>0</v>
      </c>
      <c r="AI53" s="1032">
        <f t="shared" si="55"/>
        <v>0</v>
      </c>
      <c r="AJ53" s="1032">
        <f t="shared" si="56"/>
        <v>0</v>
      </c>
      <c r="AL53" s="49">
        <f t="shared" si="52"/>
        <v>0</v>
      </c>
      <c r="AM53" s="49">
        <f>-'[22]Table 5C1H-Southwest LA Charter'!AL53</f>
        <v>0</v>
      </c>
      <c r="AN53" s="49">
        <f>-'[21]Table 5C1H-Southwest LA Charter'!P53</f>
        <v>0</v>
      </c>
      <c r="AO53" s="49">
        <f t="shared" si="53"/>
        <v>0</v>
      </c>
    </row>
    <row r="54" spans="1:41">
      <c r="A54" s="975">
        <v>48</v>
      </c>
      <c r="B54" s="976" t="s">
        <v>217</v>
      </c>
      <c r="C54" s="1171">
        <v>0</v>
      </c>
      <c r="D54" s="984">
        <f>'Table 3 Levels 1&amp;2'!AL55</f>
        <v>4278.1956772731837</v>
      </c>
      <c r="E54" s="1074">
        <f t="shared" si="33"/>
        <v>0</v>
      </c>
      <c r="F54" s="1074">
        <f>'Table 4 Level 3'!P53</f>
        <v>871.07</v>
      </c>
      <c r="G54" s="1074">
        <f t="shared" si="34"/>
        <v>0</v>
      </c>
      <c r="H54" s="1037">
        <f t="shared" si="35"/>
        <v>0</v>
      </c>
      <c r="I54" s="1417">
        <f>'[1]Oct midyear Southwest LA Chtr'!K54</f>
        <v>0</v>
      </c>
      <c r="J54" s="1417">
        <f>'[1]Feb midyear Southwest LA Ch '!K54</f>
        <v>0</v>
      </c>
      <c r="K54" s="1417">
        <f t="shared" si="36"/>
        <v>0</v>
      </c>
      <c r="L54" s="1436">
        <f t="shared" si="37"/>
        <v>0</v>
      </c>
      <c r="M54" s="1084">
        <f t="shared" si="38"/>
        <v>0</v>
      </c>
      <c r="N54" s="1037">
        <f t="shared" si="39"/>
        <v>0</v>
      </c>
      <c r="O54" s="1037">
        <v>0</v>
      </c>
      <c r="P54" s="1037">
        <f t="shared" si="40"/>
        <v>0</v>
      </c>
      <c r="Q54" s="1037">
        <v>0</v>
      </c>
      <c r="R54" s="1037">
        <f t="shared" si="41"/>
        <v>0</v>
      </c>
      <c r="S54" s="1037">
        <f t="shared" si="42"/>
        <v>0</v>
      </c>
      <c r="T54" s="1029">
        <f>'[14]FY2012-13 Final'!K55</f>
        <v>5849</v>
      </c>
      <c r="U54" s="1031">
        <f t="shared" si="54"/>
        <v>0</v>
      </c>
      <c r="V54" s="1464">
        <f>'[20]Oct midyear Southwest LA Chtr'!E54</f>
        <v>0</v>
      </c>
      <c r="W54" s="1443">
        <f t="shared" si="43"/>
        <v>0</v>
      </c>
      <c r="X54" s="1474">
        <f>'[20]Feb midyear Southwest LA Ch '!E54</f>
        <v>0</v>
      </c>
      <c r="Y54" s="1470">
        <f t="shared" si="44"/>
        <v>0</v>
      </c>
      <c r="Z54" s="1470">
        <f t="shared" si="45"/>
        <v>0</v>
      </c>
      <c r="AA54" s="1031">
        <f t="shared" si="46"/>
        <v>0</v>
      </c>
      <c r="AB54" s="1090">
        <f t="shared" si="47"/>
        <v>0</v>
      </c>
      <c r="AC54" s="1031">
        <f t="shared" si="48"/>
        <v>0</v>
      </c>
      <c r="AD54" s="1031">
        <v>0</v>
      </c>
      <c r="AE54" s="1031">
        <f t="shared" si="49"/>
        <v>0</v>
      </c>
      <c r="AF54" s="1031">
        <v>0</v>
      </c>
      <c r="AG54" s="1448">
        <f t="shared" si="50"/>
        <v>0</v>
      </c>
      <c r="AH54" s="1448">
        <f t="shared" si="51"/>
        <v>0</v>
      </c>
      <c r="AI54" s="1032">
        <f t="shared" si="55"/>
        <v>0</v>
      </c>
      <c r="AJ54" s="1032">
        <f t="shared" si="56"/>
        <v>0</v>
      </c>
      <c r="AL54" s="49">
        <f t="shared" si="52"/>
        <v>0</v>
      </c>
      <c r="AM54" s="49">
        <f>-'[22]Table 5C1H-Southwest LA Charter'!AL54</f>
        <v>0</v>
      </c>
      <c r="AN54" s="49">
        <f>-'[21]Table 5C1H-Southwest LA Charter'!P54</f>
        <v>0</v>
      </c>
      <c r="AO54" s="49">
        <f t="shared" si="53"/>
        <v>0</v>
      </c>
    </row>
    <row r="55" spans="1:41">
      <c r="A55" s="975">
        <v>49</v>
      </c>
      <c r="B55" s="976" t="s">
        <v>149</v>
      </c>
      <c r="C55" s="1171">
        <v>0</v>
      </c>
      <c r="D55" s="984">
        <f>'Table 3 Levels 1&amp;2'!AL56</f>
        <v>4819.172186397177</v>
      </c>
      <c r="E55" s="1074">
        <f t="shared" si="33"/>
        <v>0</v>
      </c>
      <c r="F55" s="1074">
        <f>'Table 4 Level 3'!P54</f>
        <v>574.43999999999994</v>
      </c>
      <c r="G55" s="1074">
        <f t="shared" si="34"/>
        <v>0</v>
      </c>
      <c r="H55" s="1037">
        <f t="shared" si="35"/>
        <v>0</v>
      </c>
      <c r="I55" s="1417">
        <f>'[1]Oct midyear Southwest LA Chtr'!K55</f>
        <v>0</v>
      </c>
      <c r="J55" s="1417">
        <f>'[1]Feb midyear Southwest LA Ch '!K55</f>
        <v>0</v>
      </c>
      <c r="K55" s="1417">
        <f t="shared" si="36"/>
        <v>0</v>
      </c>
      <c r="L55" s="1436">
        <f t="shared" si="37"/>
        <v>0</v>
      </c>
      <c r="M55" s="1084">
        <f t="shared" si="38"/>
        <v>0</v>
      </c>
      <c r="N55" s="1037">
        <f t="shared" si="39"/>
        <v>0</v>
      </c>
      <c r="O55" s="1037">
        <v>0</v>
      </c>
      <c r="P55" s="1037">
        <f t="shared" si="40"/>
        <v>0</v>
      </c>
      <c r="Q55" s="1037">
        <v>0</v>
      </c>
      <c r="R55" s="1037">
        <f t="shared" si="41"/>
        <v>0</v>
      </c>
      <c r="S55" s="1037">
        <f t="shared" si="42"/>
        <v>0</v>
      </c>
      <c r="T55" s="1029">
        <f>'[14]FY2012-13 Final'!K56</f>
        <v>2345</v>
      </c>
      <c r="U55" s="1031">
        <f t="shared" si="54"/>
        <v>0</v>
      </c>
      <c r="V55" s="1464">
        <f>'[20]Oct midyear Southwest LA Chtr'!E55</f>
        <v>0</v>
      </c>
      <c r="W55" s="1443">
        <f t="shared" si="43"/>
        <v>0</v>
      </c>
      <c r="X55" s="1474">
        <f>'[20]Feb midyear Southwest LA Ch '!E55</f>
        <v>0</v>
      </c>
      <c r="Y55" s="1470">
        <f t="shared" si="44"/>
        <v>0</v>
      </c>
      <c r="Z55" s="1470">
        <f t="shared" si="45"/>
        <v>0</v>
      </c>
      <c r="AA55" s="1031">
        <f t="shared" si="46"/>
        <v>0</v>
      </c>
      <c r="AB55" s="1090">
        <f t="shared" si="47"/>
        <v>0</v>
      </c>
      <c r="AC55" s="1031">
        <f t="shared" si="48"/>
        <v>0</v>
      </c>
      <c r="AD55" s="1031">
        <v>0</v>
      </c>
      <c r="AE55" s="1031">
        <f t="shared" si="49"/>
        <v>0</v>
      </c>
      <c r="AF55" s="1031">
        <v>0</v>
      </c>
      <c r="AG55" s="1448">
        <f t="shared" si="50"/>
        <v>0</v>
      </c>
      <c r="AH55" s="1448">
        <f t="shared" si="51"/>
        <v>0</v>
      </c>
      <c r="AI55" s="1032">
        <f t="shared" si="55"/>
        <v>0</v>
      </c>
      <c r="AJ55" s="1032">
        <f t="shared" si="56"/>
        <v>0</v>
      </c>
      <c r="AL55" s="49">
        <f t="shared" si="52"/>
        <v>0</v>
      </c>
      <c r="AM55" s="49">
        <f>-'[22]Table 5C1H-Southwest LA Charter'!AL55</f>
        <v>0</v>
      </c>
      <c r="AN55" s="49">
        <f>-'[21]Table 5C1H-Southwest LA Charter'!P55</f>
        <v>0</v>
      </c>
      <c r="AO55" s="49">
        <f t="shared" si="53"/>
        <v>0</v>
      </c>
    </row>
    <row r="56" spans="1:41">
      <c r="A56" s="979">
        <v>50</v>
      </c>
      <c r="B56" s="980" t="s">
        <v>150</v>
      </c>
      <c r="C56" s="1172">
        <v>0</v>
      </c>
      <c r="D56" s="986">
        <f>'Table 3 Levels 1&amp;2'!AL57</f>
        <v>5078.3381494368732</v>
      </c>
      <c r="E56" s="1075">
        <f t="shared" si="33"/>
        <v>0</v>
      </c>
      <c r="F56" s="1075">
        <f>'Table 4 Level 3'!P55</f>
        <v>634.46</v>
      </c>
      <c r="G56" s="1075">
        <f t="shared" si="34"/>
        <v>0</v>
      </c>
      <c r="H56" s="1038">
        <f t="shared" si="35"/>
        <v>0</v>
      </c>
      <c r="I56" s="1418">
        <f>'[1]Oct midyear Southwest LA Chtr'!K56</f>
        <v>0</v>
      </c>
      <c r="J56" s="1418">
        <f>'[1]Feb midyear Southwest LA Ch '!K56</f>
        <v>0</v>
      </c>
      <c r="K56" s="1418">
        <f t="shared" si="36"/>
        <v>0</v>
      </c>
      <c r="L56" s="1437">
        <f t="shared" si="37"/>
        <v>0</v>
      </c>
      <c r="M56" s="1085">
        <f t="shared" si="38"/>
        <v>0</v>
      </c>
      <c r="N56" s="1038">
        <f t="shared" si="39"/>
        <v>0</v>
      </c>
      <c r="O56" s="1038">
        <v>0</v>
      </c>
      <c r="P56" s="1038">
        <f t="shared" si="40"/>
        <v>0</v>
      </c>
      <c r="Q56" s="1038">
        <v>0</v>
      </c>
      <c r="R56" s="1038">
        <f t="shared" si="41"/>
        <v>0</v>
      </c>
      <c r="S56" s="1038">
        <f t="shared" si="42"/>
        <v>0</v>
      </c>
      <c r="T56" s="1034">
        <f>'[14]FY2012-13 Final'!K57</f>
        <v>2810</v>
      </c>
      <c r="U56" s="1035">
        <f t="shared" si="54"/>
        <v>0</v>
      </c>
      <c r="V56" s="1465">
        <f>'[20]Oct midyear Southwest LA Chtr'!E56</f>
        <v>0</v>
      </c>
      <c r="W56" s="1445">
        <f t="shared" si="43"/>
        <v>0</v>
      </c>
      <c r="X56" s="1475">
        <f>'[20]Feb midyear Southwest LA Ch '!E56</f>
        <v>0</v>
      </c>
      <c r="Y56" s="1471">
        <f t="shared" si="44"/>
        <v>0</v>
      </c>
      <c r="Z56" s="1471">
        <f t="shared" si="45"/>
        <v>0</v>
      </c>
      <c r="AA56" s="1035">
        <f t="shared" si="46"/>
        <v>0</v>
      </c>
      <c r="AB56" s="1091">
        <f t="shared" si="47"/>
        <v>0</v>
      </c>
      <c r="AC56" s="1035">
        <f t="shared" si="48"/>
        <v>0</v>
      </c>
      <c r="AD56" s="1035">
        <v>0</v>
      </c>
      <c r="AE56" s="1035">
        <f t="shared" si="49"/>
        <v>0</v>
      </c>
      <c r="AF56" s="1035">
        <v>0</v>
      </c>
      <c r="AG56" s="1450">
        <f t="shared" si="50"/>
        <v>0</v>
      </c>
      <c r="AH56" s="1450">
        <f t="shared" si="51"/>
        <v>0</v>
      </c>
      <c r="AI56" s="1036">
        <f t="shared" si="55"/>
        <v>0</v>
      </c>
      <c r="AJ56" s="1036">
        <f t="shared" si="56"/>
        <v>0</v>
      </c>
      <c r="AL56" s="49">
        <f t="shared" si="52"/>
        <v>0</v>
      </c>
      <c r="AM56" s="49">
        <f>-'[22]Table 5C1H-Southwest LA Charter'!AL56</f>
        <v>0</v>
      </c>
      <c r="AN56" s="49">
        <f>-'[21]Table 5C1H-Southwest LA Charter'!P56</f>
        <v>0</v>
      </c>
      <c r="AO56" s="49">
        <f t="shared" si="53"/>
        <v>0</v>
      </c>
    </row>
    <row r="57" spans="1:41">
      <c r="A57" s="968">
        <v>51</v>
      </c>
      <c r="B57" s="969" t="s">
        <v>151</v>
      </c>
      <c r="C57" s="1173">
        <v>0</v>
      </c>
      <c r="D57" s="988">
        <f>'Table 3 Levels 1&amp;2'!AL58</f>
        <v>4327.8748353683095</v>
      </c>
      <c r="E57" s="1076">
        <f t="shared" si="33"/>
        <v>0</v>
      </c>
      <c r="F57" s="1076">
        <f>'Table 4 Level 3'!P56</f>
        <v>706.66</v>
      </c>
      <c r="G57" s="1076">
        <f t="shared" si="34"/>
        <v>0</v>
      </c>
      <c r="H57" s="1039">
        <f t="shared" si="35"/>
        <v>0</v>
      </c>
      <c r="I57" s="1419">
        <f>'[1]Oct midyear Southwest LA Chtr'!K57</f>
        <v>0</v>
      </c>
      <c r="J57" s="1419">
        <f>'[1]Feb midyear Southwest LA Ch '!K57</f>
        <v>0</v>
      </c>
      <c r="K57" s="1419">
        <f t="shared" si="36"/>
        <v>0</v>
      </c>
      <c r="L57" s="1211">
        <f t="shared" si="37"/>
        <v>0</v>
      </c>
      <c r="M57" s="1086">
        <f t="shared" si="38"/>
        <v>0</v>
      </c>
      <c r="N57" s="1039">
        <f t="shared" si="39"/>
        <v>0</v>
      </c>
      <c r="O57" s="1039">
        <v>0</v>
      </c>
      <c r="P57" s="1039">
        <f t="shared" si="40"/>
        <v>0</v>
      </c>
      <c r="Q57" s="1039">
        <v>0</v>
      </c>
      <c r="R57" s="1039">
        <f t="shared" si="41"/>
        <v>0</v>
      </c>
      <c r="S57" s="1039">
        <f t="shared" si="42"/>
        <v>0</v>
      </c>
      <c r="T57" s="1029">
        <f>'[14]FY2012-13 Final'!K58</f>
        <v>4191</v>
      </c>
      <c r="U57" s="973">
        <f t="shared" si="54"/>
        <v>0</v>
      </c>
      <c r="V57" s="1466">
        <f>'[20]Oct midyear Southwest LA Chtr'!E57</f>
        <v>0</v>
      </c>
      <c r="W57" s="1444">
        <f t="shared" si="43"/>
        <v>0</v>
      </c>
      <c r="X57" s="1466">
        <f>'[20]Feb midyear Southwest LA Ch '!E57</f>
        <v>0</v>
      </c>
      <c r="Y57" s="1444">
        <f t="shared" si="44"/>
        <v>0</v>
      </c>
      <c r="Z57" s="1444">
        <f t="shared" si="45"/>
        <v>0</v>
      </c>
      <c r="AA57" s="973">
        <f t="shared" si="46"/>
        <v>0</v>
      </c>
      <c r="AB57" s="1089">
        <f t="shared" si="47"/>
        <v>0</v>
      </c>
      <c r="AC57" s="973">
        <f t="shared" si="48"/>
        <v>0</v>
      </c>
      <c r="AD57" s="973">
        <v>0</v>
      </c>
      <c r="AE57" s="973">
        <f t="shared" si="49"/>
        <v>0</v>
      </c>
      <c r="AF57" s="973">
        <v>0</v>
      </c>
      <c r="AG57" s="1214">
        <f t="shared" si="50"/>
        <v>0</v>
      </c>
      <c r="AH57" s="1214">
        <f t="shared" si="51"/>
        <v>0</v>
      </c>
      <c r="AI57" s="974">
        <f t="shared" si="55"/>
        <v>0</v>
      </c>
      <c r="AJ57" s="974">
        <f t="shared" si="56"/>
        <v>0</v>
      </c>
      <c r="AL57" s="49">
        <f t="shared" si="52"/>
        <v>0</v>
      </c>
      <c r="AM57" s="49">
        <f>-'[22]Table 5C1H-Southwest LA Charter'!AL57</f>
        <v>0</v>
      </c>
      <c r="AN57" s="49">
        <f>-'[21]Table 5C1H-Southwest LA Charter'!P57</f>
        <v>0</v>
      </c>
      <c r="AO57" s="49">
        <f t="shared" si="53"/>
        <v>0</v>
      </c>
    </row>
    <row r="58" spans="1:41">
      <c r="A58" s="975">
        <v>52</v>
      </c>
      <c r="B58" s="976" t="s">
        <v>152</v>
      </c>
      <c r="C58" s="1171">
        <v>0</v>
      </c>
      <c r="D58" s="984">
        <f>'Table 3 Levels 1&amp;2'!AL59</f>
        <v>4936.6461759855838</v>
      </c>
      <c r="E58" s="1074">
        <f t="shared" si="33"/>
        <v>0</v>
      </c>
      <c r="F58" s="1074">
        <f>'Table 4 Level 3'!P57</f>
        <v>658.37</v>
      </c>
      <c r="G58" s="1074">
        <f t="shared" si="34"/>
        <v>0</v>
      </c>
      <c r="H58" s="1037">
        <f t="shared" si="35"/>
        <v>0</v>
      </c>
      <c r="I58" s="1417">
        <f>'[1]Oct midyear Southwest LA Chtr'!K58</f>
        <v>0</v>
      </c>
      <c r="J58" s="1417">
        <f>'[1]Feb midyear Southwest LA Ch '!K58</f>
        <v>0</v>
      </c>
      <c r="K58" s="1417">
        <f t="shared" si="36"/>
        <v>0</v>
      </c>
      <c r="L58" s="1436">
        <f t="shared" si="37"/>
        <v>0</v>
      </c>
      <c r="M58" s="1084">
        <f t="shared" si="38"/>
        <v>0</v>
      </c>
      <c r="N58" s="1037">
        <f t="shared" si="39"/>
        <v>0</v>
      </c>
      <c r="O58" s="1037">
        <v>0</v>
      </c>
      <c r="P58" s="1037">
        <f t="shared" si="40"/>
        <v>0</v>
      </c>
      <c r="Q58" s="1037">
        <v>0</v>
      </c>
      <c r="R58" s="1037">
        <f t="shared" si="41"/>
        <v>0</v>
      </c>
      <c r="S58" s="1037">
        <f t="shared" si="42"/>
        <v>0</v>
      </c>
      <c r="T58" s="1029">
        <f>'[14]FY2012-13 Final'!K59</f>
        <v>4895</v>
      </c>
      <c r="U58" s="1031">
        <f t="shared" si="54"/>
        <v>0</v>
      </c>
      <c r="V58" s="1464">
        <f>'[20]Oct midyear Southwest LA Chtr'!E58</f>
        <v>0</v>
      </c>
      <c r="W58" s="1443">
        <f t="shared" si="43"/>
        <v>0</v>
      </c>
      <c r="X58" s="1474">
        <f>'[20]Feb midyear Southwest LA Ch '!E58</f>
        <v>0</v>
      </c>
      <c r="Y58" s="1470">
        <f t="shared" si="44"/>
        <v>0</v>
      </c>
      <c r="Z58" s="1470">
        <f t="shared" si="45"/>
        <v>0</v>
      </c>
      <c r="AA58" s="1031">
        <f t="shared" si="46"/>
        <v>0</v>
      </c>
      <c r="AB58" s="1090">
        <f t="shared" si="47"/>
        <v>0</v>
      </c>
      <c r="AC58" s="1031">
        <f t="shared" si="48"/>
        <v>0</v>
      </c>
      <c r="AD58" s="1031">
        <v>0</v>
      </c>
      <c r="AE58" s="1031">
        <f t="shared" si="49"/>
        <v>0</v>
      </c>
      <c r="AF58" s="1031">
        <v>0</v>
      </c>
      <c r="AG58" s="1448">
        <f t="shared" si="50"/>
        <v>0</v>
      </c>
      <c r="AH58" s="1448">
        <f t="shared" si="51"/>
        <v>0</v>
      </c>
      <c r="AI58" s="1032">
        <f t="shared" si="55"/>
        <v>0</v>
      </c>
      <c r="AJ58" s="1032">
        <f t="shared" si="56"/>
        <v>0</v>
      </c>
      <c r="AL58" s="49">
        <f t="shared" si="52"/>
        <v>0</v>
      </c>
      <c r="AM58" s="49">
        <f>-'[22]Table 5C1H-Southwest LA Charter'!AL58</f>
        <v>0</v>
      </c>
      <c r="AN58" s="49">
        <f>-'[21]Table 5C1H-Southwest LA Charter'!P58</f>
        <v>0</v>
      </c>
      <c r="AO58" s="49">
        <f t="shared" si="53"/>
        <v>0</v>
      </c>
    </row>
    <row r="59" spans="1:41">
      <c r="A59" s="975">
        <v>53</v>
      </c>
      <c r="B59" s="976" t="s">
        <v>153</v>
      </c>
      <c r="C59" s="1171">
        <v>0</v>
      </c>
      <c r="D59" s="984">
        <f>'Table 3 Levels 1&amp;2'!AL60</f>
        <v>4800.3207499962118</v>
      </c>
      <c r="E59" s="1074">
        <f t="shared" si="33"/>
        <v>0</v>
      </c>
      <c r="F59" s="1074">
        <f>'Table 4 Level 3'!P58</f>
        <v>689.74</v>
      </c>
      <c r="G59" s="1074">
        <f t="shared" si="34"/>
        <v>0</v>
      </c>
      <c r="H59" s="1037">
        <f t="shared" si="35"/>
        <v>0</v>
      </c>
      <c r="I59" s="1417">
        <f>'[1]Oct midyear Southwest LA Chtr'!K59</f>
        <v>0</v>
      </c>
      <c r="J59" s="1417">
        <f>'[1]Feb midyear Southwest LA Ch '!K59</f>
        <v>0</v>
      </c>
      <c r="K59" s="1417">
        <f t="shared" si="36"/>
        <v>0</v>
      </c>
      <c r="L59" s="1436">
        <f t="shared" si="37"/>
        <v>0</v>
      </c>
      <c r="M59" s="1084">
        <f t="shared" si="38"/>
        <v>0</v>
      </c>
      <c r="N59" s="1037">
        <f t="shared" si="39"/>
        <v>0</v>
      </c>
      <c r="O59" s="1037">
        <v>0</v>
      </c>
      <c r="P59" s="1037">
        <f t="shared" si="40"/>
        <v>0</v>
      </c>
      <c r="Q59" s="1037">
        <v>0</v>
      </c>
      <c r="R59" s="1037">
        <f t="shared" si="41"/>
        <v>0</v>
      </c>
      <c r="S59" s="1037">
        <f t="shared" si="42"/>
        <v>0</v>
      </c>
      <c r="T59" s="1029">
        <f>'[14]FY2012-13 Final'!K60</f>
        <v>1935</v>
      </c>
      <c r="U59" s="1031">
        <f t="shared" si="54"/>
        <v>0</v>
      </c>
      <c r="V59" s="1464">
        <f>'[20]Oct midyear Southwest LA Chtr'!E59</f>
        <v>0</v>
      </c>
      <c r="W59" s="1443">
        <f t="shared" si="43"/>
        <v>0</v>
      </c>
      <c r="X59" s="1474">
        <f>'[20]Feb midyear Southwest LA Ch '!E59</f>
        <v>0</v>
      </c>
      <c r="Y59" s="1470">
        <f t="shared" si="44"/>
        <v>0</v>
      </c>
      <c r="Z59" s="1470">
        <f t="shared" si="45"/>
        <v>0</v>
      </c>
      <c r="AA59" s="1031">
        <f t="shared" si="46"/>
        <v>0</v>
      </c>
      <c r="AB59" s="1090">
        <f t="shared" si="47"/>
        <v>0</v>
      </c>
      <c r="AC59" s="1031">
        <f t="shared" si="48"/>
        <v>0</v>
      </c>
      <c r="AD59" s="1031">
        <v>0</v>
      </c>
      <c r="AE59" s="1031">
        <f t="shared" si="49"/>
        <v>0</v>
      </c>
      <c r="AF59" s="1031">
        <v>0</v>
      </c>
      <c r="AG59" s="1448">
        <f t="shared" si="50"/>
        <v>0</v>
      </c>
      <c r="AH59" s="1448">
        <f t="shared" si="51"/>
        <v>0</v>
      </c>
      <c r="AI59" s="1032">
        <f t="shared" si="55"/>
        <v>0</v>
      </c>
      <c r="AJ59" s="1032">
        <f t="shared" si="56"/>
        <v>0</v>
      </c>
      <c r="AL59" s="49">
        <f t="shared" si="52"/>
        <v>0</v>
      </c>
      <c r="AM59" s="49">
        <f>-'[22]Table 5C1H-Southwest LA Charter'!AL59</f>
        <v>0</v>
      </c>
      <c r="AN59" s="49">
        <f>-'[21]Table 5C1H-Southwest LA Charter'!P59</f>
        <v>0</v>
      </c>
      <c r="AO59" s="49">
        <f t="shared" si="53"/>
        <v>0</v>
      </c>
    </row>
    <row r="60" spans="1:41">
      <c r="A60" s="975">
        <v>54</v>
      </c>
      <c r="B60" s="976" t="s">
        <v>154</v>
      </c>
      <c r="C60" s="1171">
        <v>0</v>
      </c>
      <c r="D60" s="984">
        <f>'Table 3 Levels 1&amp;2'!AL61</f>
        <v>6010.7753360515026</v>
      </c>
      <c r="E60" s="1074">
        <f t="shared" si="33"/>
        <v>0</v>
      </c>
      <c r="F60" s="1074">
        <f>'Table 4 Level 3'!P59</f>
        <v>951.45</v>
      </c>
      <c r="G60" s="1074">
        <f t="shared" si="34"/>
        <v>0</v>
      </c>
      <c r="H60" s="1037">
        <f t="shared" si="35"/>
        <v>0</v>
      </c>
      <c r="I60" s="1417">
        <f>'[1]Oct midyear Southwest LA Chtr'!K60</f>
        <v>0</v>
      </c>
      <c r="J60" s="1417">
        <f>'[1]Feb midyear Southwest LA Ch '!K60</f>
        <v>0</v>
      </c>
      <c r="K60" s="1417">
        <f t="shared" si="36"/>
        <v>0</v>
      </c>
      <c r="L60" s="1436">
        <f t="shared" si="37"/>
        <v>0</v>
      </c>
      <c r="M60" s="1084">
        <f t="shared" si="38"/>
        <v>0</v>
      </c>
      <c r="N60" s="1037">
        <f t="shared" si="39"/>
        <v>0</v>
      </c>
      <c r="O60" s="1037">
        <v>0</v>
      </c>
      <c r="P60" s="1037">
        <f t="shared" si="40"/>
        <v>0</v>
      </c>
      <c r="Q60" s="1037">
        <v>0</v>
      </c>
      <c r="R60" s="1037">
        <f t="shared" si="41"/>
        <v>0</v>
      </c>
      <c r="S60" s="1037">
        <f t="shared" si="42"/>
        <v>0</v>
      </c>
      <c r="T60" s="1029">
        <f>'[14]FY2012-13 Final'!K61</f>
        <v>3397</v>
      </c>
      <c r="U60" s="1031">
        <f t="shared" si="54"/>
        <v>0</v>
      </c>
      <c r="V60" s="1464">
        <f>'[20]Oct midyear Southwest LA Chtr'!E60</f>
        <v>0</v>
      </c>
      <c r="W60" s="1443">
        <f t="shared" si="43"/>
        <v>0</v>
      </c>
      <c r="X60" s="1474">
        <f>'[20]Feb midyear Southwest LA Ch '!E60</f>
        <v>0</v>
      </c>
      <c r="Y60" s="1470">
        <f t="shared" si="44"/>
        <v>0</v>
      </c>
      <c r="Z60" s="1470">
        <f t="shared" si="45"/>
        <v>0</v>
      </c>
      <c r="AA60" s="1031">
        <f t="shared" si="46"/>
        <v>0</v>
      </c>
      <c r="AB60" s="1090">
        <f t="shared" si="47"/>
        <v>0</v>
      </c>
      <c r="AC60" s="1031">
        <f t="shared" si="48"/>
        <v>0</v>
      </c>
      <c r="AD60" s="1031">
        <v>0</v>
      </c>
      <c r="AE60" s="1031">
        <f t="shared" si="49"/>
        <v>0</v>
      </c>
      <c r="AF60" s="1031">
        <v>0</v>
      </c>
      <c r="AG60" s="1448">
        <f t="shared" si="50"/>
        <v>0</v>
      </c>
      <c r="AH60" s="1448">
        <f t="shared" si="51"/>
        <v>0</v>
      </c>
      <c r="AI60" s="1032">
        <f t="shared" si="55"/>
        <v>0</v>
      </c>
      <c r="AJ60" s="1032">
        <f t="shared" si="56"/>
        <v>0</v>
      </c>
      <c r="AL60" s="49">
        <f t="shared" si="52"/>
        <v>0</v>
      </c>
      <c r="AM60" s="49">
        <f>-'[22]Table 5C1H-Southwest LA Charter'!AL60</f>
        <v>0</v>
      </c>
      <c r="AN60" s="49">
        <f>-'[21]Table 5C1H-Southwest LA Charter'!P60</f>
        <v>0</v>
      </c>
      <c r="AO60" s="49">
        <f t="shared" si="53"/>
        <v>0</v>
      </c>
    </row>
    <row r="61" spans="1:41">
      <c r="A61" s="979">
        <v>55</v>
      </c>
      <c r="B61" s="980" t="s">
        <v>155</v>
      </c>
      <c r="C61" s="1172">
        <v>0</v>
      </c>
      <c r="D61" s="986">
        <f>'Table 3 Levels 1&amp;2'!AL62</f>
        <v>4103.7453851303217</v>
      </c>
      <c r="E61" s="1075">
        <f t="shared" si="33"/>
        <v>0</v>
      </c>
      <c r="F61" s="1075">
        <f>'Table 4 Level 3'!P60</f>
        <v>795.14</v>
      </c>
      <c r="G61" s="1075">
        <f t="shared" si="34"/>
        <v>0</v>
      </c>
      <c r="H61" s="1038">
        <f t="shared" si="35"/>
        <v>0</v>
      </c>
      <c r="I61" s="1418">
        <f>'[1]Oct midyear Southwest LA Chtr'!K61</f>
        <v>0</v>
      </c>
      <c r="J61" s="1418">
        <f>'[1]Feb midyear Southwest LA Ch '!K61</f>
        <v>0</v>
      </c>
      <c r="K61" s="1418">
        <f t="shared" si="36"/>
        <v>0</v>
      </c>
      <c r="L61" s="1437">
        <f t="shared" si="37"/>
        <v>0</v>
      </c>
      <c r="M61" s="1085">
        <f t="shared" si="38"/>
        <v>0</v>
      </c>
      <c r="N61" s="1038">
        <f t="shared" si="39"/>
        <v>0</v>
      </c>
      <c r="O61" s="1038">
        <v>0</v>
      </c>
      <c r="P61" s="1038">
        <f t="shared" si="40"/>
        <v>0</v>
      </c>
      <c r="Q61" s="1038">
        <v>0</v>
      </c>
      <c r="R61" s="1038">
        <f t="shared" si="41"/>
        <v>0</v>
      </c>
      <c r="S61" s="1038">
        <f t="shared" si="42"/>
        <v>0</v>
      </c>
      <c r="T61" s="1034">
        <f>'[14]FY2012-13 Final'!K62</f>
        <v>3139</v>
      </c>
      <c r="U61" s="1035">
        <f t="shared" si="54"/>
        <v>0</v>
      </c>
      <c r="V61" s="1465">
        <f>'[20]Oct midyear Southwest LA Chtr'!E61</f>
        <v>0</v>
      </c>
      <c r="W61" s="1445">
        <f t="shared" si="43"/>
        <v>0</v>
      </c>
      <c r="X61" s="1475">
        <f>'[20]Feb midyear Southwest LA Ch '!E61</f>
        <v>0</v>
      </c>
      <c r="Y61" s="1471">
        <f t="shared" si="44"/>
        <v>0</v>
      </c>
      <c r="Z61" s="1471">
        <f t="shared" si="45"/>
        <v>0</v>
      </c>
      <c r="AA61" s="1035">
        <f t="shared" si="46"/>
        <v>0</v>
      </c>
      <c r="AB61" s="1091">
        <f t="shared" si="47"/>
        <v>0</v>
      </c>
      <c r="AC61" s="1035">
        <f t="shared" si="48"/>
        <v>0</v>
      </c>
      <c r="AD61" s="1035">
        <v>0</v>
      </c>
      <c r="AE61" s="1035">
        <f t="shared" si="49"/>
        <v>0</v>
      </c>
      <c r="AF61" s="1035">
        <v>0</v>
      </c>
      <c r="AG61" s="1450">
        <f t="shared" si="50"/>
        <v>0</v>
      </c>
      <c r="AH61" s="1450">
        <f t="shared" si="51"/>
        <v>0</v>
      </c>
      <c r="AI61" s="1036">
        <f t="shared" si="55"/>
        <v>0</v>
      </c>
      <c r="AJ61" s="1036">
        <f t="shared" si="56"/>
        <v>0</v>
      </c>
      <c r="AL61" s="49">
        <f t="shared" si="52"/>
        <v>0</v>
      </c>
      <c r="AM61" s="49">
        <f>-'[22]Table 5C1H-Southwest LA Charter'!AL61</f>
        <v>0</v>
      </c>
      <c r="AN61" s="49">
        <f>-'[21]Table 5C1H-Southwest LA Charter'!P61</f>
        <v>0</v>
      </c>
      <c r="AO61" s="49">
        <f t="shared" si="53"/>
        <v>0</v>
      </c>
    </row>
    <row r="62" spans="1:41">
      <c r="A62" s="968">
        <v>56</v>
      </c>
      <c r="B62" s="969" t="s">
        <v>156</v>
      </c>
      <c r="C62" s="1173">
        <v>0</v>
      </c>
      <c r="D62" s="988">
        <f>'Table 3 Levels 1&amp;2'!AL63</f>
        <v>5076.2407002640311</v>
      </c>
      <c r="E62" s="1076">
        <f t="shared" si="33"/>
        <v>0</v>
      </c>
      <c r="F62" s="1076">
        <f>'Table 4 Level 3'!P61</f>
        <v>614.66000000000008</v>
      </c>
      <c r="G62" s="1076">
        <f t="shared" si="34"/>
        <v>0</v>
      </c>
      <c r="H62" s="1039">
        <f t="shared" si="35"/>
        <v>0</v>
      </c>
      <c r="I62" s="1419">
        <f>'[1]Oct midyear Southwest LA Chtr'!K62</f>
        <v>0</v>
      </c>
      <c r="J62" s="1419">
        <f>'[1]Feb midyear Southwest LA Ch '!K62</f>
        <v>0</v>
      </c>
      <c r="K62" s="1419">
        <f t="shared" si="36"/>
        <v>0</v>
      </c>
      <c r="L62" s="1211">
        <f t="shared" si="37"/>
        <v>0</v>
      </c>
      <c r="M62" s="1086">
        <f t="shared" si="38"/>
        <v>0</v>
      </c>
      <c r="N62" s="1039">
        <f t="shared" si="39"/>
        <v>0</v>
      </c>
      <c r="O62" s="1039">
        <v>0</v>
      </c>
      <c r="P62" s="1039">
        <f t="shared" si="40"/>
        <v>0</v>
      </c>
      <c r="Q62" s="1039">
        <v>0</v>
      </c>
      <c r="R62" s="1039">
        <f t="shared" si="41"/>
        <v>0</v>
      </c>
      <c r="S62" s="1039">
        <f t="shared" si="42"/>
        <v>0</v>
      </c>
      <c r="T62" s="1029">
        <f>'[14]FY2012-13 Final'!K63</f>
        <v>2781</v>
      </c>
      <c r="U62" s="973">
        <f t="shared" si="54"/>
        <v>0</v>
      </c>
      <c r="V62" s="1466">
        <f>'[20]Oct midyear Southwest LA Chtr'!E62</f>
        <v>0</v>
      </c>
      <c r="W62" s="1444">
        <f t="shared" si="43"/>
        <v>0</v>
      </c>
      <c r="X62" s="1466">
        <f>'[20]Feb midyear Southwest LA Ch '!E62</f>
        <v>0</v>
      </c>
      <c r="Y62" s="1444">
        <f t="shared" si="44"/>
        <v>0</v>
      </c>
      <c r="Z62" s="1444">
        <f t="shared" si="45"/>
        <v>0</v>
      </c>
      <c r="AA62" s="973">
        <f t="shared" si="46"/>
        <v>0</v>
      </c>
      <c r="AB62" s="1089">
        <f t="shared" si="47"/>
        <v>0</v>
      </c>
      <c r="AC62" s="973">
        <f t="shared" si="48"/>
        <v>0</v>
      </c>
      <c r="AD62" s="973">
        <v>0</v>
      </c>
      <c r="AE62" s="973">
        <f t="shared" si="49"/>
        <v>0</v>
      </c>
      <c r="AF62" s="973">
        <v>0</v>
      </c>
      <c r="AG62" s="1214">
        <f t="shared" si="50"/>
        <v>0</v>
      </c>
      <c r="AH62" s="1214">
        <f t="shared" si="51"/>
        <v>0</v>
      </c>
      <c r="AI62" s="974">
        <f t="shared" si="55"/>
        <v>0</v>
      </c>
      <c r="AJ62" s="974">
        <f t="shared" si="56"/>
        <v>0</v>
      </c>
      <c r="AL62" s="49">
        <f t="shared" si="52"/>
        <v>0</v>
      </c>
      <c r="AM62" s="49">
        <f>-'[22]Table 5C1H-Southwest LA Charter'!AL62</f>
        <v>0</v>
      </c>
      <c r="AN62" s="49">
        <f>-'[21]Table 5C1H-Southwest LA Charter'!P62</f>
        <v>0</v>
      </c>
      <c r="AO62" s="49">
        <f t="shared" si="53"/>
        <v>0</v>
      </c>
    </row>
    <row r="63" spans="1:41">
      <c r="A63" s="975">
        <v>57</v>
      </c>
      <c r="B63" s="976" t="s">
        <v>157</v>
      </c>
      <c r="C63" s="1171">
        <v>0</v>
      </c>
      <c r="D63" s="984">
        <f>'Table 3 Levels 1&amp;2'!AL64</f>
        <v>4409.0708210621269</v>
      </c>
      <c r="E63" s="1074">
        <f t="shared" si="33"/>
        <v>0</v>
      </c>
      <c r="F63" s="1074">
        <f>'Table 4 Level 3'!P62</f>
        <v>764.51</v>
      </c>
      <c r="G63" s="1074">
        <f t="shared" si="34"/>
        <v>0</v>
      </c>
      <c r="H63" s="1037">
        <f t="shared" si="35"/>
        <v>0</v>
      </c>
      <c r="I63" s="1417">
        <f>'[1]Oct midyear Southwest LA Chtr'!K63</f>
        <v>0</v>
      </c>
      <c r="J63" s="1417">
        <f>'[1]Feb midyear Southwest LA Ch '!K63</f>
        <v>0</v>
      </c>
      <c r="K63" s="1417">
        <f t="shared" si="36"/>
        <v>0</v>
      </c>
      <c r="L63" s="1436">
        <f t="shared" si="37"/>
        <v>0</v>
      </c>
      <c r="M63" s="1084">
        <f t="shared" si="38"/>
        <v>0</v>
      </c>
      <c r="N63" s="1037">
        <f t="shared" si="39"/>
        <v>0</v>
      </c>
      <c r="O63" s="1037">
        <v>0</v>
      </c>
      <c r="P63" s="1037">
        <f t="shared" si="40"/>
        <v>0</v>
      </c>
      <c r="Q63" s="1037">
        <v>0</v>
      </c>
      <c r="R63" s="1037">
        <f t="shared" si="41"/>
        <v>0</v>
      </c>
      <c r="S63" s="1037">
        <f t="shared" si="42"/>
        <v>0</v>
      </c>
      <c r="T63" s="1029">
        <f>'[14]FY2012-13 Final'!K64</f>
        <v>2991</v>
      </c>
      <c r="U63" s="1031">
        <f t="shared" si="54"/>
        <v>0</v>
      </c>
      <c r="V63" s="1464">
        <f>'[20]Oct midyear Southwest LA Chtr'!E63</f>
        <v>0</v>
      </c>
      <c r="W63" s="1443">
        <f t="shared" si="43"/>
        <v>0</v>
      </c>
      <c r="X63" s="1474">
        <f>'[20]Feb midyear Southwest LA Ch '!E63</f>
        <v>0</v>
      </c>
      <c r="Y63" s="1470">
        <f t="shared" si="44"/>
        <v>0</v>
      </c>
      <c r="Z63" s="1470">
        <f t="shared" si="45"/>
        <v>0</v>
      </c>
      <c r="AA63" s="1031">
        <f t="shared" si="46"/>
        <v>0</v>
      </c>
      <c r="AB63" s="1090">
        <f t="shared" si="47"/>
        <v>0</v>
      </c>
      <c r="AC63" s="1031">
        <f t="shared" si="48"/>
        <v>0</v>
      </c>
      <c r="AD63" s="1031">
        <v>0</v>
      </c>
      <c r="AE63" s="1031">
        <f t="shared" si="49"/>
        <v>0</v>
      </c>
      <c r="AF63" s="1031">
        <v>0</v>
      </c>
      <c r="AG63" s="1448">
        <f t="shared" si="50"/>
        <v>0</v>
      </c>
      <c r="AH63" s="1448">
        <f t="shared" si="51"/>
        <v>0</v>
      </c>
      <c r="AI63" s="1032">
        <f t="shared" si="55"/>
        <v>0</v>
      </c>
      <c r="AJ63" s="1032">
        <f t="shared" si="56"/>
        <v>0</v>
      </c>
      <c r="AL63" s="49">
        <f t="shared" si="52"/>
        <v>0</v>
      </c>
      <c r="AM63" s="49">
        <f>-'[22]Table 5C1H-Southwest LA Charter'!AL63</f>
        <v>0</v>
      </c>
      <c r="AN63" s="49">
        <f>-'[21]Table 5C1H-Southwest LA Charter'!P63</f>
        <v>0</v>
      </c>
      <c r="AO63" s="49">
        <f t="shared" si="53"/>
        <v>0</v>
      </c>
    </row>
    <row r="64" spans="1:41">
      <c r="A64" s="975">
        <v>58</v>
      </c>
      <c r="B64" s="976" t="s">
        <v>158</v>
      </c>
      <c r="C64" s="1171">
        <v>0</v>
      </c>
      <c r="D64" s="984">
        <f>'Table 3 Levels 1&amp;2'!AL65</f>
        <v>5341.4512666086594</v>
      </c>
      <c r="E64" s="1074">
        <f t="shared" si="33"/>
        <v>0</v>
      </c>
      <c r="F64" s="1074">
        <f>'Table 4 Level 3'!P63</f>
        <v>697.04</v>
      </c>
      <c r="G64" s="1074">
        <f t="shared" si="34"/>
        <v>0</v>
      </c>
      <c r="H64" s="1037">
        <f t="shared" si="35"/>
        <v>0</v>
      </c>
      <c r="I64" s="1417">
        <f>'[1]Oct midyear Southwest LA Chtr'!K64</f>
        <v>0</v>
      </c>
      <c r="J64" s="1417">
        <f>'[1]Feb midyear Southwest LA Ch '!K64</f>
        <v>0</v>
      </c>
      <c r="K64" s="1417">
        <f t="shared" si="36"/>
        <v>0</v>
      </c>
      <c r="L64" s="1436">
        <f t="shared" si="37"/>
        <v>0</v>
      </c>
      <c r="M64" s="1084">
        <f t="shared" si="38"/>
        <v>0</v>
      </c>
      <c r="N64" s="1037">
        <f t="shared" si="39"/>
        <v>0</v>
      </c>
      <c r="O64" s="1037">
        <v>0</v>
      </c>
      <c r="P64" s="1037">
        <f t="shared" si="40"/>
        <v>0</v>
      </c>
      <c r="Q64" s="1037">
        <v>0</v>
      </c>
      <c r="R64" s="1037">
        <f t="shared" si="41"/>
        <v>0</v>
      </c>
      <c r="S64" s="1037">
        <f t="shared" si="42"/>
        <v>0</v>
      </c>
      <c r="T64" s="1029">
        <f>'[14]FY2012-13 Final'!K65</f>
        <v>2057</v>
      </c>
      <c r="U64" s="1031">
        <f t="shared" si="54"/>
        <v>0</v>
      </c>
      <c r="V64" s="1464">
        <f>'[20]Oct midyear Southwest LA Chtr'!E64</f>
        <v>0</v>
      </c>
      <c r="W64" s="1443">
        <f t="shared" si="43"/>
        <v>0</v>
      </c>
      <c r="X64" s="1474">
        <f>'[20]Feb midyear Southwest LA Ch '!E64</f>
        <v>0</v>
      </c>
      <c r="Y64" s="1470">
        <f t="shared" si="44"/>
        <v>0</v>
      </c>
      <c r="Z64" s="1470">
        <f t="shared" si="45"/>
        <v>0</v>
      </c>
      <c r="AA64" s="1031">
        <f t="shared" si="46"/>
        <v>0</v>
      </c>
      <c r="AB64" s="1090">
        <f t="shared" si="47"/>
        <v>0</v>
      </c>
      <c r="AC64" s="1031">
        <f t="shared" si="48"/>
        <v>0</v>
      </c>
      <c r="AD64" s="1031">
        <v>0</v>
      </c>
      <c r="AE64" s="1031">
        <f t="shared" si="49"/>
        <v>0</v>
      </c>
      <c r="AF64" s="1031">
        <v>0</v>
      </c>
      <c r="AG64" s="1448">
        <f t="shared" si="50"/>
        <v>0</v>
      </c>
      <c r="AH64" s="1448">
        <f t="shared" si="51"/>
        <v>0</v>
      </c>
      <c r="AI64" s="1032">
        <f t="shared" si="55"/>
        <v>0</v>
      </c>
      <c r="AJ64" s="1032">
        <f t="shared" si="56"/>
        <v>0</v>
      </c>
      <c r="AL64" s="49">
        <f t="shared" si="52"/>
        <v>0</v>
      </c>
      <c r="AM64" s="49">
        <f>-'[22]Table 5C1H-Southwest LA Charter'!AL64</f>
        <v>0</v>
      </c>
      <c r="AN64" s="49">
        <f>-'[21]Table 5C1H-Southwest LA Charter'!P64</f>
        <v>0</v>
      </c>
      <c r="AO64" s="49">
        <f t="shared" si="53"/>
        <v>0</v>
      </c>
    </row>
    <row r="65" spans="1:44">
      <c r="A65" s="975">
        <v>59</v>
      </c>
      <c r="B65" s="976" t="s">
        <v>159</v>
      </c>
      <c r="C65" s="1171">
        <v>0</v>
      </c>
      <c r="D65" s="984">
        <f>'Table 3 Levels 1&amp;2'!AL66</f>
        <v>6342.1695127641487</v>
      </c>
      <c r="E65" s="1074">
        <f t="shared" si="33"/>
        <v>0</v>
      </c>
      <c r="F65" s="1074">
        <f>'Table 4 Level 3'!P64</f>
        <v>689.52</v>
      </c>
      <c r="G65" s="1074">
        <f t="shared" si="34"/>
        <v>0</v>
      </c>
      <c r="H65" s="1037">
        <f t="shared" si="35"/>
        <v>0</v>
      </c>
      <c r="I65" s="1417">
        <f>'[1]Oct midyear Southwest LA Chtr'!K65</f>
        <v>0</v>
      </c>
      <c r="J65" s="1417">
        <f>'[1]Feb midyear Southwest LA Ch '!K65</f>
        <v>0</v>
      </c>
      <c r="K65" s="1417">
        <f t="shared" si="36"/>
        <v>0</v>
      </c>
      <c r="L65" s="1436">
        <f t="shared" si="37"/>
        <v>0</v>
      </c>
      <c r="M65" s="1084">
        <f t="shared" si="38"/>
        <v>0</v>
      </c>
      <c r="N65" s="1037">
        <f t="shared" si="39"/>
        <v>0</v>
      </c>
      <c r="O65" s="1037">
        <v>0</v>
      </c>
      <c r="P65" s="1037">
        <f t="shared" si="40"/>
        <v>0</v>
      </c>
      <c r="Q65" s="1037">
        <v>0</v>
      </c>
      <c r="R65" s="1037">
        <f t="shared" si="41"/>
        <v>0</v>
      </c>
      <c r="S65" s="1037">
        <f t="shared" si="42"/>
        <v>0</v>
      </c>
      <c r="T65" s="1029">
        <f>'[14]FY2012-13 Final'!K66</f>
        <v>1530</v>
      </c>
      <c r="U65" s="1031">
        <f t="shared" si="54"/>
        <v>0</v>
      </c>
      <c r="V65" s="1464">
        <f>'[20]Oct midyear Southwest LA Chtr'!E65</f>
        <v>0</v>
      </c>
      <c r="W65" s="1443">
        <f t="shared" si="43"/>
        <v>0</v>
      </c>
      <c r="X65" s="1474">
        <f>'[20]Feb midyear Southwest LA Ch '!E65</f>
        <v>0</v>
      </c>
      <c r="Y65" s="1470">
        <f t="shared" si="44"/>
        <v>0</v>
      </c>
      <c r="Z65" s="1470">
        <f t="shared" si="45"/>
        <v>0</v>
      </c>
      <c r="AA65" s="1031">
        <f t="shared" si="46"/>
        <v>0</v>
      </c>
      <c r="AB65" s="1090">
        <f t="shared" si="47"/>
        <v>0</v>
      </c>
      <c r="AC65" s="1031">
        <f t="shared" si="48"/>
        <v>0</v>
      </c>
      <c r="AD65" s="1031">
        <v>0</v>
      </c>
      <c r="AE65" s="1031">
        <f t="shared" si="49"/>
        <v>0</v>
      </c>
      <c r="AF65" s="1031">
        <v>0</v>
      </c>
      <c r="AG65" s="1448">
        <f t="shared" si="50"/>
        <v>0</v>
      </c>
      <c r="AH65" s="1448">
        <f t="shared" si="51"/>
        <v>0</v>
      </c>
      <c r="AI65" s="1032">
        <f t="shared" si="55"/>
        <v>0</v>
      </c>
      <c r="AJ65" s="1032">
        <f t="shared" si="56"/>
        <v>0</v>
      </c>
      <c r="AL65" s="49">
        <f t="shared" si="52"/>
        <v>0</v>
      </c>
      <c r="AM65" s="49">
        <f>-'[22]Table 5C1H-Southwest LA Charter'!AL65</f>
        <v>0</v>
      </c>
      <c r="AN65" s="49">
        <f>-'[21]Table 5C1H-Southwest LA Charter'!P65</f>
        <v>0</v>
      </c>
      <c r="AO65" s="49">
        <f t="shared" si="53"/>
        <v>0</v>
      </c>
    </row>
    <row r="66" spans="1:44">
      <c r="A66" s="979">
        <v>60</v>
      </c>
      <c r="B66" s="980" t="s">
        <v>160</v>
      </c>
      <c r="C66" s="1172">
        <v>0</v>
      </c>
      <c r="D66" s="986">
        <f>'Table 3 Levels 1&amp;2'!AL67</f>
        <v>4836.7830262372299</v>
      </c>
      <c r="E66" s="1075">
        <f t="shared" si="33"/>
        <v>0</v>
      </c>
      <c r="F66" s="1075">
        <f>'Table 4 Level 3'!P65</f>
        <v>594.04</v>
      </c>
      <c r="G66" s="1075">
        <f t="shared" si="34"/>
        <v>0</v>
      </c>
      <c r="H66" s="1038">
        <f t="shared" si="35"/>
        <v>0</v>
      </c>
      <c r="I66" s="1418">
        <f>'[1]Oct midyear Southwest LA Chtr'!K66</f>
        <v>0</v>
      </c>
      <c r="J66" s="1418">
        <f>'[1]Feb midyear Southwest LA Ch '!K66</f>
        <v>0</v>
      </c>
      <c r="K66" s="1418">
        <f t="shared" si="36"/>
        <v>0</v>
      </c>
      <c r="L66" s="1437">
        <f t="shared" si="37"/>
        <v>0</v>
      </c>
      <c r="M66" s="1085">
        <f t="shared" si="38"/>
        <v>0</v>
      </c>
      <c r="N66" s="1038">
        <f t="shared" si="39"/>
        <v>0</v>
      </c>
      <c r="O66" s="1038">
        <v>0</v>
      </c>
      <c r="P66" s="1038">
        <f t="shared" si="40"/>
        <v>0</v>
      </c>
      <c r="Q66" s="1038">
        <v>0</v>
      </c>
      <c r="R66" s="1038">
        <f t="shared" si="41"/>
        <v>0</v>
      </c>
      <c r="S66" s="1038">
        <f t="shared" si="42"/>
        <v>0</v>
      </c>
      <c r="T66" s="1034">
        <f>'[14]FY2012-13 Final'!K67</f>
        <v>3925</v>
      </c>
      <c r="U66" s="1035">
        <f t="shared" si="54"/>
        <v>0</v>
      </c>
      <c r="V66" s="1465">
        <f>'[20]Oct midyear Southwest LA Chtr'!E66</f>
        <v>0</v>
      </c>
      <c r="W66" s="1445">
        <f t="shared" si="43"/>
        <v>0</v>
      </c>
      <c r="X66" s="1475">
        <f>'[20]Feb midyear Southwest LA Ch '!E66</f>
        <v>0</v>
      </c>
      <c r="Y66" s="1471">
        <f t="shared" si="44"/>
        <v>0</v>
      </c>
      <c r="Z66" s="1471">
        <f t="shared" si="45"/>
        <v>0</v>
      </c>
      <c r="AA66" s="1035">
        <f t="shared" si="46"/>
        <v>0</v>
      </c>
      <c r="AB66" s="1091">
        <f t="shared" si="47"/>
        <v>0</v>
      </c>
      <c r="AC66" s="1035">
        <f t="shared" si="48"/>
        <v>0</v>
      </c>
      <c r="AD66" s="1035">
        <v>0</v>
      </c>
      <c r="AE66" s="1035">
        <f t="shared" si="49"/>
        <v>0</v>
      </c>
      <c r="AF66" s="1035">
        <v>0</v>
      </c>
      <c r="AG66" s="1450">
        <f t="shared" si="50"/>
        <v>0</v>
      </c>
      <c r="AH66" s="1450">
        <f t="shared" si="51"/>
        <v>0</v>
      </c>
      <c r="AI66" s="1036">
        <f t="shared" si="55"/>
        <v>0</v>
      </c>
      <c r="AJ66" s="1036">
        <f t="shared" si="56"/>
        <v>0</v>
      </c>
      <c r="AL66" s="49">
        <f t="shared" si="52"/>
        <v>0</v>
      </c>
      <c r="AM66" s="49">
        <f>-'[22]Table 5C1H-Southwest LA Charter'!AL66</f>
        <v>0</v>
      </c>
      <c r="AN66" s="49">
        <f>-'[21]Table 5C1H-Southwest LA Charter'!P66</f>
        <v>0</v>
      </c>
      <c r="AO66" s="49">
        <f t="shared" si="53"/>
        <v>0</v>
      </c>
    </row>
    <row r="67" spans="1:44">
      <c r="A67" s="968">
        <v>61</v>
      </c>
      <c r="B67" s="969" t="s">
        <v>161</v>
      </c>
      <c r="C67" s="1173">
        <v>0</v>
      </c>
      <c r="D67" s="988">
        <f>'Table 3 Levels 1&amp;2'!AL68</f>
        <v>3068.5254213785697</v>
      </c>
      <c r="E67" s="1076">
        <f t="shared" si="33"/>
        <v>0</v>
      </c>
      <c r="F67" s="1076">
        <f>'Table 4 Level 3'!P66</f>
        <v>833.70999999999992</v>
      </c>
      <c r="G67" s="1076">
        <f t="shared" si="34"/>
        <v>0</v>
      </c>
      <c r="H67" s="1039">
        <f t="shared" si="35"/>
        <v>0</v>
      </c>
      <c r="I67" s="1419">
        <f>'[1]Oct midyear Southwest LA Chtr'!K67</f>
        <v>0</v>
      </c>
      <c r="J67" s="1419">
        <f>'[1]Feb midyear Southwest LA Ch '!K67</f>
        <v>0</v>
      </c>
      <c r="K67" s="1419">
        <f t="shared" si="36"/>
        <v>0</v>
      </c>
      <c r="L67" s="1211">
        <f t="shared" si="37"/>
        <v>0</v>
      </c>
      <c r="M67" s="1086">
        <f t="shared" si="38"/>
        <v>0</v>
      </c>
      <c r="N67" s="1039">
        <f t="shared" si="39"/>
        <v>0</v>
      </c>
      <c r="O67" s="1039">
        <v>0</v>
      </c>
      <c r="P67" s="1039">
        <f t="shared" si="40"/>
        <v>0</v>
      </c>
      <c r="Q67" s="1039">
        <v>0</v>
      </c>
      <c r="R67" s="1039">
        <f t="shared" si="41"/>
        <v>0</v>
      </c>
      <c r="S67" s="1039">
        <f t="shared" si="42"/>
        <v>0</v>
      </c>
      <c r="T67" s="1029">
        <f>'[14]FY2012-13 Final'!K68</f>
        <v>6698</v>
      </c>
      <c r="U67" s="973">
        <f t="shared" si="54"/>
        <v>0</v>
      </c>
      <c r="V67" s="1466">
        <f>'[20]Oct midyear Southwest LA Chtr'!E67</f>
        <v>0</v>
      </c>
      <c r="W67" s="1444">
        <f t="shared" si="43"/>
        <v>0</v>
      </c>
      <c r="X67" s="1466">
        <f>'[20]Feb midyear Southwest LA Ch '!E67</f>
        <v>0</v>
      </c>
      <c r="Y67" s="1444">
        <f t="shared" si="44"/>
        <v>0</v>
      </c>
      <c r="Z67" s="1444">
        <f t="shared" si="45"/>
        <v>0</v>
      </c>
      <c r="AA67" s="973">
        <f t="shared" si="46"/>
        <v>0</v>
      </c>
      <c r="AB67" s="1089">
        <f t="shared" si="47"/>
        <v>0</v>
      </c>
      <c r="AC67" s="973">
        <f t="shared" si="48"/>
        <v>0</v>
      </c>
      <c r="AD67" s="973">
        <v>0</v>
      </c>
      <c r="AE67" s="973">
        <f t="shared" si="49"/>
        <v>0</v>
      </c>
      <c r="AF67" s="973">
        <v>0</v>
      </c>
      <c r="AG67" s="1214">
        <f t="shared" si="50"/>
        <v>0</v>
      </c>
      <c r="AH67" s="1214">
        <f t="shared" si="51"/>
        <v>0</v>
      </c>
      <c r="AI67" s="974">
        <f t="shared" si="55"/>
        <v>0</v>
      </c>
      <c r="AJ67" s="974">
        <f t="shared" si="56"/>
        <v>0</v>
      </c>
      <c r="AL67" s="49">
        <f t="shared" si="52"/>
        <v>0</v>
      </c>
      <c r="AM67" s="49">
        <f>-'[22]Table 5C1H-Southwest LA Charter'!AL67</f>
        <v>0</v>
      </c>
      <c r="AN67" s="49">
        <f>-'[21]Table 5C1H-Southwest LA Charter'!P67</f>
        <v>0</v>
      </c>
      <c r="AO67" s="49">
        <f t="shared" si="53"/>
        <v>0</v>
      </c>
    </row>
    <row r="68" spans="1:44">
      <c r="A68" s="975">
        <v>62</v>
      </c>
      <c r="B68" s="976" t="s">
        <v>162</v>
      </c>
      <c r="C68" s="1171">
        <v>0</v>
      </c>
      <c r="D68" s="984">
        <f>'Table 3 Levels 1&amp;2'!AL69</f>
        <v>5577.0282124990472</v>
      </c>
      <c r="E68" s="1074">
        <f t="shared" si="33"/>
        <v>0</v>
      </c>
      <c r="F68" s="1074">
        <f>'Table 4 Level 3'!P67</f>
        <v>516.08000000000004</v>
      </c>
      <c r="G68" s="1074">
        <f t="shared" si="34"/>
        <v>0</v>
      </c>
      <c r="H68" s="1037">
        <f t="shared" si="35"/>
        <v>0</v>
      </c>
      <c r="I68" s="1417">
        <f>'[1]Oct midyear Southwest LA Chtr'!K68</f>
        <v>0</v>
      </c>
      <c r="J68" s="1417">
        <f>'[1]Feb midyear Southwest LA Ch '!K68</f>
        <v>0</v>
      </c>
      <c r="K68" s="1417">
        <f t="shared" si="36"/>
        <v>0</v>
      </c>
      <c r="L68" s="1436">
        <f t="shared" si="37"/>
        <v>0</v>
      </c>
      <c r="M68" s="1084">
        <f t="shared" si="38"/>
        <v>0</v>
      </c>
      <c r="N68" s="1037">
        <f t="shared" si="39"/>
        <v>0</v>
      </c>
      <c r="O68" s="1037">
        <v>0</v>
      </c>
      <c r="P68" s="1037">
        <f t="shared" si="40"/>
        <v>0</v>
      </c>
      <c r="Q68" s="1037">
        <v>0</v>
      </c>
      <c r="R68" s="1037">
        <f t="shared" si="41"/>
        <v>0</v>
      </c>
      <c r="S68" s="1037">
        <f t="shared" si="42"/>
        <v>0</v>
      </c>
      <c r="T68" s="1029">
        <f>'[14]FY2012-13 Final'!K69</f>
        <v>1785</v>
      </c>
      <c r="U68" s="1031">
        <f t="shared" si="54"/>
        <v>0</v>
      </c>
      <c r="V68" s="1464">
        <f>'[20]Oct midyear Southwest LA Chtr'!E68</f>
        <v>0</v>
      </c>
      <c r="W68" s="1443">
        <f t="shared" si="43"/>
        <v>0</v>
      </c>
      <c r="X68" s="1474">
        <f>'[20]Feb midyear Southwest LA Ch '!E68</f>
        <v>0</v>
      </c>
      <c r="Y68" s="1470">
        <f t="shared" si="44"/>
        <v>0</v>
      </c>
      <c r="Z68" s="1470">
        <f t="shared" si="45"/>
        <v>0</v>
      </c>
      <c r="AA68" s="1031">
        <f t="shared" si="46"/>
        <v>0</v>
      </c>
      <c r="AB68" s="1090">
        <f t="shared" si="47"/>
        <v>0</v>
      </c>
      <c r="AC68" s="1031">
        <f t="shared" si="48"/>
        <v>0</v>
      </c>
      <c r="AD68" s="1031">
        <v>0</v>
      </c>
      <c r="AE68" s="1031">
        <f t="shared" si="49"/>
        <v>0</v>
      </c>
      <c r="AF68" s="1031">
        <v>0</v>
      </c>
      <c r="AG68" s="1448">
        <f t="shared" si="50"/>
        <v>0</v>
      </c>
      <c r="AH68" s="1448">
        <f t="shared" si="51"/>
        <v>0</v>
      </c>
      <c r="AI68" s="1032">
        <f t="shared" si="55"/>
        <v>0</v>
      </c>
      <c r="AJ68" s="1032">
        <f t="shared" si="56"/>
        <v>0</v>
      </c>
      <c r="AL68" s="49">
        <f t="shared" si="52"/>
        <v>0</v>
      </c>
      <c r="AM68" s="49">
        <f>-'[22]Table 5C1H-Southwest LA Charter'!AL68</f>
        <v>0</v>
      </c>
      <c r="AN68" s="49">
        <f>-'[21]Table 5C1H-Southwest LA Charter'!P68</f>
        <v>0</v>
      </c>
      <c r="AO68" s="49">
        <f t="shared" si="53"/>
        <v>0</v>
      </c>
    </row>
    <row r="69" spans="1:44">
      <c r="A69" s="975">
        <v>63</v>
      </c>
      <c r="B69" s="976" t="s">
        <v>163</v>
      </c>
      <c r="C69" s="1171">
        <v>0</v>
      </c>
      <c r="D69" s="984">
        <f>'Table 3 Levels 1&amp;2'!AL70</f>
        <v>4427.207711317601</v>
      </c>
      <c r="E69" s="1074">
        <f t="shared" si="33"/>
        <v>0</v>
      </c>
      <c r="F69" s="1074">
        <f>'Table 4 Level 3'!P68</f>
        <v>756.79</v>
      </c>
      <c r="G69" s="1074">
        <f t="shared" si="34"/>
        <v>0</v>
      </c>
      <c r="H69" s="1037">
        <f t="shared" si="35"/>
        <v>0</v>
      </c>
      <c r="I69" s="1417">
        <f>'[1]Oct midyear Southwest LA Chtr'!K69</f>
        <v>0</v>
      </c>
      <c r="J69" s="1417">
        <f>'[1]Feb midyear Southwest LA Ch '!K69</f>
        <v>0</v>
      </c>
      <c r="K69" s="1417">
        <f t="shared" si="36"/>
        <v>0</v>
      </c>
      <c r="L69" s="1436">
        <f t="shared" si="37"/>
        <v>0</v>
      </c>
      <c r="M69" s="1084">
        <f t="shared" si="38"/>
        <v>0</v>
      </c>
      <c r="N69" s="1037">
        <f t="shared" si="39"/>
        <v>0</v>
      </c>
      <c r="O69" s="1037">
        <v>0</v>
      </c>
      <c r="P69" s="1037">
        <f t="shared" si="40"/>
        <v>0</v>
      </c>
      <c r="Q69" s="1037">
        <v>0</v>
      </c>
      <c r="R69" s="1037">
        <f t="shared" si="41"/>
        <v>0</v>
      </c>
      <c r="S69" s="1037">
        <f t="shared" si="42"/>
        <v>0</v>
      </c>
      <c r="T69" s="1029">
        <f>'[14]FY2012-13 Final'!K70</f>
        <v>7190</v>
      </c>
      <c r="U69" s="1031">
        <f t="shared" si="54"/>
        <v>0</v>
      </c>
      <c r="V69" s="1464">
        <f>'[20]Oct midyear Southwest LA Chtr'!E69</f>
        <v>0</v>
      </c>
      <c r="W69" s="1443">
        <f t="shared" si="43"/>
        <v>0</v>
      </c>
      <c r="X69" s="1474">
        <f>'[20]Feb midyear Southwest LA Ch '!E69</f>
        <v>0</v>
      </c>
      <c r="Y69" s="1470">
        <f t="shared" si="44"/>
        <v>0</v>
      </c>
      <c r="Z69" s="1470">
        <f t="shared" si="45"/>
        <v>0</v>
      </c>
      <c r="AA69" s="1031">
        <f t="shared" si="46"/>
        <v>0</v>
      </c>
      <c r="AB69" s="1090">
        <f t="shared" si="47"/>
        <v>0</v>
      </c>
      <c r="AC69" s="1031">
        <f t="shared" si="48"/>
        <v>0</v>
      </c>
      <c r="AD69" s="1031">
        <v>0</v>
      </c>
      <c r="AE69" s="1031">
        <f t="shared" si="49"/>
        <v>0</v>
      </c>
      <c r="AF69" s="1031">
        <v>0</v>
      </c>
      <c r="AG69" s="1448">
        <f t="shared" si="50"/>
        <v>0</v>
      </c>
      <c r="AH69" s="1448">
        <f t="shared" si="51"/>
        <v>0</v>
      </c>
      <c r="AI69" s="1032">
        <f t="shared" si="55"/>
        <v>0</v>
      </c>
      <c r="AJ69" s="1032">
        <f t="shared" si="56"/>
        <v>0</v>
      </c>
      <c r="AL69" s="49">
        <f t="shared" si="52"/>
        <v>0</v>
      </c>
      <c r="AM69" s="49">
        <f>-'[22]Table 5C1H-Southwest LA Charter'!AL69</f>
        <v>0</v>
      </c>
      <c r="AN69" s="49">
        <f>-'[21]Table 5C1H-Southwest LA Charter'!P69</f>
        <v>0</v>
      </c>
      <c r="AO69" s="49">
        <f t="shared" si="53"/>
        <v>0</v>
      </c>
    </row>
    <row r="70" spans="1:44">
      <c r="A70" s="975">
        <v>64</v>
      </c>
      <c r="B70" s="976" t="s">
        <v>164</v>
      </c>
      <c r="C70" s="1171">
        <v>0</v>
      </c>
      <c r="D70" s="984">
        <f>'Table 3 Levels 1&amp;2'!AL71</f>
        <v>5888.4725850181812</v>
      </c>
      <c r="E70" s="1074">
        <f t="shared" si="33"/>
        <v>0</v>
      </c>
      <c r="F70" s="1074">
        <f>'Table 4 Level 3'!P69</f>
        <v>592.66</v>
      </c>
      <c r="G70" s="1074">
        <f t="shared" si="34"/>
        <v>0</v>
      </c>
      <c r="H70" s="1037">
        <f t="shared" si="35"/>
        <v>0</v>
      </c>
      <c r="I70" s="1417">
        <f>'[1]Oct midyear Southwest LA Chtr'!K70</f>
        <v>0</v>
      </c>
      <c r="J70" s="1417">
        <f>'[1]Feb midyear Southwest LA Ch '!K70</f>
        <v>0</v>
      </c>
      <c r="K70" s="1417">
        <f t="shared" si="36"/>
        <v>0</v>
      </c>
      <c r="L70" s="1436">
        <f t="shared" si="37"/>
        <v>0</v>
      </c>
      <c r="M70" s="1084">
        <f t="shared" si="38"/>
        <v>0</v>
      </c>
      <c r="N70" s="1037">
        <f t="shared" si="39"/>
        <v>0</v>
      </c>
      <c r="O70" s="1037">
        <v>0</v>
      </c>
      <c r="P70" s="1037">
        <f t="shared" si="40"/>
        <v>0</v>
      </c>
      <c r="Q70" s="1037">
        <v>0</v>
      </c>
      <c r="R70" s="1037">
        <f t="shared" si="41"/>
        <v>0</v>
      </c>
      <c r="S70" s="1037">
        <f t="shared" si="42"/>
        <v>0</v>
      </c>
      <c r="T70" s="1029">
        <f>'[14]FY2012-13 Final'!K71</f>
        <v>2702</v>
      </c>
      <c r="U70" s="1031">
        <f t="shared" si="54"/>
        <v>0</v>
      </c>
      <c r="V70" s="1464">
        <f>'[20]Oct midyear Southwest LA Chtr'!E70</f>
        <v>0</v>
      </c>
      <c r="W70" s="1443">
        <f t="shared" si="43"/>
        <v>0</v>
      </c>
      <c r="X70" s="1474">
        <f>'[20]Feb midyear Southwest LA Ch '!E70</f>
        <v>0</v>
      </c>
      <c r="Y70" s="1470">
        <f t="shared" si="44"/>
        <v>0</v>
      </c>
      <c r="Z70" s="1470">
        <f t="shared" si="45"/>
        <v>0</v>
      </c>
      <c r="AA70" s="1031">
        <f t="shared" si="46"/>
        <v>0</v>
      </c>
      <c r="AB70" s="1090">
        <f t="shared" si="47"/>
        <v>0</v>
      </c>
      <c r="AC70" s="1031">
        <f t="shared" si="48"/>
        <v>0</v>
      </c>
      <c r="AD70" s="1031">
        <v>0</v>
      </c>
      <c r="AE70" s="1031">
        <f t="shared" si="49"/>
        <v>0</v>
      </c>
      <c r="AF70" s="1031">
        <v>0</v>
      </c>
      <c r="AG70" s="1448">
        <f t="shared" si="50"/>
        <v>0</v>
      </c>
      <c r="AH70" s="1448">
        <f t="shared" si="51"/>
        <v>0</v>
      </c>
      <c r="AI70" s="1032">
        <f t="shared" si="55"/>
        <v>0</v>
      </c>
      <c r="AJ70" s="1032">
        <f t="shared" si="56"/>
        <v>0</v>
      </c>
      <c r="AL70" s="49">
        <f t="shared" si="52"/>
        <v>0</v>
      </c>
      <c r="AM70" s="49">
        <f>-'[22]Table 5C1H-Southwest LA Charter'!AL70</f>
        <v>0</v>
      </c>
      <c r="AN70" s="49">
        <f>-'[21]Table 5C1H-Southwest LA Charter'!P70</f>
        <v>0</v>
      </c>
      <c r="AO70" s="49">
        <f t="shared" si="53"/>
        <v>0</v>
      </c>
    </row>
    <row r="71" spans="1:44">
      <c r="A71" s="979">
        <v>65</v>
      </c>
      <c r="B71" s="980" t="s">
        <v>165</v>
      </c>
      <c r="C71" s="1172">
        <v>0</v>
      </c>
      <c r="D71" s="986">
        <f>'Table 3 Levels 1&amp;2'!AL72</f>
        <v>4583.9609010774066</v>
      </c>
      <c r="E71" s="1075">
        <f t="shared" si="33"/>
        <v>0</v>
      </c>
      <c r="F71" s="1075">
        <f>'Table 4 Level 3'!P70</f>
        <v>829.12</v>
      </c>
      <c r="G71" s="1075">
        <f t="shared" si="34"/>
        <v>0</v>
      </c>
      <c r="H71" s="1038">
        <f t="shared" si="35"/>
        <v>0</v>
      </c>
      <c r="I71" s="1418">
        <f>'[1]Oct midyear Southwest LA Chtr'!K71</f>
        <v>0</v>
      </c>
      <c r="J71" s="1418">
        <f>'[1]Feb midyear Southwest LA Ch '!K71</f>
        <v>0</v>
      </c>
      <c r="K71" s="1418">
        <f t="shared" si="36"/>
        <v>0</v>
      </c>
      <c r="L71" s="1437">
        <f t="shared" si="37"/>
        <v>0</v>
      </c>
      <c r="M71" s="1085">
        <f t="shared" si="38"/>
        <v>0</v>
      </c>
      <c r="N71" s="1038">
        <f t="shared" si="39"/>
        <v>0</v>
      </c>
      <c r="O71" s="1038">
        <v>0</v>
      </c>
      <c r="P71" s="1038">
        <f t="shared" si="40"/>
        <v>0</v>
      </c>
      <c r="Q71" s="1038">
        <v>0</v>
      </c>
      <c r="R71" s="1038">
        <f t="shared" si="41"/>
        <v>0</v>
      </c>
      <c r="S71" s="1038">
        <f t="shared" si="42"/>
        <v>0</v>
      </c>
      <c r="T71" s="1034">
        <f>'[14]FY2012-13 Final'!K72</f>
        <v>4936</v>
      </c>
      <c r="U71" s="1035">
        <f t="shared" ref="U71:U75" si="57">C71*T71</f>
        <v>0</v>
      </c>
      <c r="V71" s="1465">
        <f>'[20]Oct midyear Southwest LA Chtr'!E71</f>
        <v>0</v>
      </c>
      <c r="W71" s="1445">
        <f t="shared" si="43"/>
        <v>0</v>
      </c>
      <c r="X71" s="1475">
        <f>'[20]Feb midyear Southwest LA Ch '!E71</f>
        <v>0</v>
      </c>
      <c r="Y71" s="1471">
        <f t="shared" si="44"/>
        <v>0</v>
      </c>
      <c r="Z71" s="1471">
        <f t="shared" si="45"/>
        <v>0</v>
      </c>
      <c r="AA71" s="1035">
        <f t="shared" si="46"/>
        <v>0</v>
      </c>
      <c r="AB71" s="1091">
        <f t="shared" si="47"/>
        <v>0</v>
      </c>
      <c r="AC71" s="1035">
        <f t="shared" si="48"/>
        <v>0</v>
      </c>
      <c r="AD71" s="1035">
        <v>0</v>
      </c>
      <c r="AE71" s="1035">
        <f t="shared" si="49"/>
        <v>0</v>
      </c>
      <c r="AF71" s="1035">
        <v>0</v>
      </c>
      <c r="AG71" s="1450">
        <f t="shared" si="50"/>
        <v>0</v>
      </c>
      <c r="AH71" s="1450">
        <f t="shared" si="51"/>
        <v>0</v>
      </c>
      <c r="AI71" s="1036">
        <f t="shared" si="55"/>
        <v>0</v>
      </c>
      <c r="AJ71" s="1036">
        <f t="shared" si="56"/>
        <v>0</v>
      </c>
      <c r="AL71" s="49">
        <f t="shared" si="52"/>
        <v>0</v>
      </c>
      <c r="AM71" s="49">
        <f>-'[22]Table 5C1H-Southwest LA Charter'!AL71</f>
        <v>0</v>
      </c>
      <c r="AN71" s="49">
        <f>-'[21]Table 5C1H-Southwest LA Charter'!P71</f>
        <v>0</v>
      </c>
      <c r="AO71" s="49">
        <f t="shared" si="53"/>
        <v>0</v>
      </c>
    </row>
    <row r="72" spans="1:44">
      <c r="A72" s="968">
        <v>66</v>
      </c>
      <c r="B72" s="969" t="s">
        <v>166</v>
      </c>
      <c r="C72" s="1173">
        <v>0</v>
      </c>
      <c r="D72" s="988">
        <f>'Table 3 Levels 1&amp;2'!AL73</f>
        <v>6262.4784859426345</v>
      </c>
      <c r="E72" s="1076">
        <f t="shared" ref="E72:E75" si="58">C72*D72</f>
        <v>0</v>
      </c>
      <c r="F72" s="1076">
        <f>'Table 4 Level 3'!P71</f>
        <v>730.06</v>
      </c>
      <c r="G72" s="1076">
        <f t="shared" ref="G72:G75" si="59">C72*F72</f>
        <v>0</v>
      </c>
      <c r="H72" s="1039">
        <f t="shared" ref="H72:H75" si="60">E72+G72</f>
        <v>0</v>
      </c>
      <c r="I72" s="1419">
        <f>'[1]Oct midyear Southwest LA Chtr'!K72</f>
        <v>0</v>
      </c>
      <c r="J72" s="1419">
        <f>'[1]Feb midyear Southwest LA Ch '!K72</f>
        <v>0</v>
      </c>
      <c r="K72" s="1419">
        <f t="shared" ref="K72:K76" si="61">I72+J72</f>
        <v>0</v>
      </c>
      <c r="L72" s="1211">
        <f t="shared" ref="L72:L76" si="62">H72+K72</f>
        <v>0</v>
      </c>
      <c r="M72" s="1086">
        <f t="shared" ref="M72:M76" si="63">-(0.25%*L72)</f>
        <v>0</v>
      </c>
      <c r="N72" s="1039">
        <f t="shared" ref="N72:N76" si="64">SUM(L72:M72)</f>
        <v>0</v>
      </c>
      <c r="O72" s="1039">
        <v>0</v>
      </c>
      <c r="P72" s="1039">
        <f t="shared" ref="P72:P75" si="65">SUM(N72:O72)</f>
        <v>0</v>
      </c>
      <c r="Q72" s="1039">
        <v>0</v>
      </c>
      <c r="R72" s="1039">
        <f t="shared" ref="R72:R75" si="66">P72-Q72</f>
        <v>0</v>
      </c>
      <c r="S72" s="1039">
        <f t="shared" ref="S72:S75" si="67">R72/2</f>
        <v>0</v>
      </c>
      <c r="T72" s="1029">
        <f>'[14]FY2012-13 Final'!K73</f>
        <v>3528</v>
      </c>
      <c r="U72" s="973">
        <f t="shared" si="57"/>
        <v>0</v>
      </c>
      <c r="V72" s="1466">
        <f>'[20]Oct midyear Southwest LA Chtr'!E72</f>
        <v>0</v>
      </c>
      <c r="W72" s="1444">
        <f t="shared" ref="W72:W75" si="68">V72*T72</f>
        <v>0</v>
      </c>
      <c r="X72" s="1466">
        <f>'[20]Feb midyear Southwest LA Ch '!E72</f>
        <v>0</v>
      </c>
      <c r="Y72" s="1444">
        <f t="shared" ref="Y72:Y75" si="69">X72*(T72*0.5)</f>
        <v>0</v>
      </c>
      <c r="Z72" s="1444">
        <f t="shared" ref="Z72:Z75" si="70">W72+Y72</f>
        <v>0</v>
      </c>
      <c r="AA72" s="973">
        <f t="shared" ref="AA72:AA75" si="71">U72+Z72</f>
        <v>0</v>
      </c>
      <c r="AB72" s="1089">
        <f t="shared" ref="AB72:AB75" si="72">-(0.25%*AA72)</f>
        <v>0</v>
      </c>
      <c r="AC72" s="973">
        <f t="shared" ref="AC72:AC75" si="73">SUM(AA72:AB72)</f>
        <v>0</v>
      </c>
      <c r="AD72" s="973">
        <v>0</v>
      </c>
      <c r="AE72" s="973">
        <f t="shared" ref="AE72:AE75" si="74">SUM(AC72:AD72)</f>
        <v>0</v>
      </c>
      <c r="AF72" s="973">
        <v>0</v>
      </c>
      <c r="AG72" s="1214">
        <f t="shared" ref="AG72:AG75" si="75">AE72-AF72</f>
        <v>0</v>
      </c>
      <c r="AH72" s="1214">
        <f t="shared" ref="AH72:AH75" si="76">AG72/2</f>
        <v>0</v>
      </c>
      <c r="AI72" s="974">
        <f t="shared" si="55"/>
        <v>0</v>
      </c>
      <c r="AJ72" s="974">
        <f t="shared" si="56"/>
        <v>0</v>
      </c>
      <c r="AL72" s="49">
        <f t="shared" ref="AL72:AL75" si="77">AB72</f>
        <v>0</v>
      </c>
      <c r="AM72" s="49">
        <f>-'[22]Table 5C1H-Southwest LA Charter'!AL72</f>
        <v>0</v>
      </c>
      <c r="AN72" s="49">
        <f>-'[21]Table 5C1H-Southwest LA Charter'!P72</f>
        <v>0</v>
      </c>
      <c r="AO72" s="49">
        <f t="shared" ref="AO72:AO75" si="78">SUM(AL72:AM72)</f>
        <v>0</v>
      </c>
    </row>
    <row r="73" spans="1:44">
      <c r="A73" s="975">
        <v>67</v>
      </c>
      <c r="B73" s="976" t="s">
        <v>33</v>
      </c>
      <c r="C73" s="1171">
        <v>0</v>
      </c>
      <c r="D73" s="984">
        <f>'Table 3 Levels 1&amp;2'!AL74</f>
        <v>5059.3528695821524</v>
      </c>
      <c r="E73" s="1074">
        <f t="shared" si="58"/>
        <v>0</v>
      </c>
      <c r="F73" s="1074">
        <f>'Table 4 Level 3'!P72</f>
        <v>715.61</v>
      </c>
      <c r="G73" s="1074">
        <f t="shared" si="59"/>
        <v>0</v>
      </c>
      <c r="H73" s="1037">
        <f t="shared" si="60"/>
        <v>0</v>
      </c>
      <c r="I73" s="1417">
        <f>'[1]Oct midyear Southwest LA Chtr'!K73</f>
        <v>0</v>
      </c>
      <c r="J73" s="1417">
        <f>'[1]Feb midyear Southwest LA Ch '!K73</f>
        <v>0</v>
      </c>
      <c r="K73" s="1417">
        <f t="shared" si="61"/>
        <v>0</v>
      </c>
      <c r="L73" s="1436">
        <f t="shared" si="62"/>
        <v>0</v>
      </c>
      <c r="M73" s="1084">
        <f t="shared" si="63"/>
        <v>0</v>
      </c>
      <c r="N73" s="1037">
        <f t="shared" si="64"/>
        <v>0</v>
      </c>
      <c r="O73" s="1037">
        <v>0</v>
      </c>
      <c r="P73" s="1037">
        <f t="shared" si="65"/>
        <v>0</v>
      </c>
      <c r="Q73" s="1037">
        <v>0</v>
      </c>
      <c r="R73" s="1037">
        <f t="shared" si="66"/>
        <v>0</v>
      </c>
      <c r="S73" s="1037">
        <f t="shared" si="67"/>
        <v>0</v>
      </c>
      <c r="T73" s="1029">
        <f>'[14]FY2012-13 Final'!K74</f>
        <v>5055</v>
      </c>
      <c r="U73" s="1031">
        <f t="shared" si="57"/>
        <v>0</v>
      </c>
      <c r="V73" s="1464">
        <f>'[20]Oct midyear Southwest LA Chtr'!E73</f>
        <v>0</v>
      </c>
      <c r="W73" s="1443">
        <f t="shared" si="68"/>
        <v>0</v>
      </c>
      <c r="X73" s="1474">
        <f>'[20]Feb midyear Southwest LA Ch '!E73</f>
        <v>0</v>
      </c>
      <c r="Y73" s="1470">
        <f t="shared" si="69"/>
        <v>0</v>
      </c>
      <c r="Z73" s="1470">
        <f t="shared" si="70"/>
        <v>0</v>
      </c>
      <c r="AA73" s="1031">
        <f t="shared" si="71"/>
        <v>0</v>
      </c>
      <c r="AB73" s="1090">
        <f t="shared" si="72"/>
        <v>0</v>
      </c>
      <c r="AC73" s="1031">
        <f t="shared" si="73"/>
        <v>0</v>
      </c>
      <c r="AD73" s="1031">
        <v>0</v>
      </c>
      <c r="AE73" s="1031">
        <f t="shared" si="74"/>
        <v>0</v>
      </c>
      <c r="AF73" s="1031">
        <v>0</v>
      </c>
      <c r="AG73" s="1448">
        <f t="shared" si="75"/>
        <v>0</v>
      </c>
      <c r="AH73" s="1448">
        <f t="shared" si="76"/>
        <v>0</v>
      </c>
      <c r="AI73" s="1032">
        <f t="shared" si="55"/>
        <v>0</v>
      </c>
      <c r="AJ73" s="1032">
        <f t="shared" si="56"/>
        <v>0</v>
      </c>
      <c r="AL73" s="49">
        <f t="shared" si="77"/>
        <v>0</v>
      </c>
      <c r="AM73" s="49">
        <f>-'[22]Table 5C1H-Southwest LA Charter'!AL73</f>
        <v>0</v>
      </c>
      <c r="AN73" s="49">
        <f>-'[21]Table 5C1H-Southwest LA Charter'!P73</f>
        <v>0</v>
      </c>
      <c r="AO73" s="49">
        <f t="shared" si="78"/>
        <v>0</v>
      </c>
    </row>
    <row r="74" spans="1:44">
      <c r="A74" s="975">
        <v>68</v>
      </c>
      <c r="B74" s="976" t="s">
        <v>31</v>
      </c>
      <c r="C74" s="1171">
        <v>0</v>
      </c>
      <c r="D74" s="984">
        <f>'Table 3 Levels 1&amp;2'!AL75</f>
        <v>5863.2815891318614</v>
      </c>
      <c r="E74" s="1074">
        <f t="shared" si="58"/>
        <v>0</v>
      </c>
      <c r="F74" s="1074">
        <f>'Table 4 Level 3'!P73</f>
        <v>798.7</v>
      </c>
      <c r="G74" s="1074">
        <f t="shared" si="59"/>
        <v>0</v>
      </c>
      <c r="H74" s="1037">
        <f t="shared" si="60"/>
        <v>0</v>
      </c>
      <c r="I74" s="1417">
        <f>'[1]Oct midyear Southwest LA Chtr'!K74</f>
        <v>0</v>
      </c>
      <c r="J74" s="1417">
        <f>'[1]Feb midyear Southwest LA Ch '!K74</f>
        <v>0</v>
      </c>
      <c r="K74" s="1417">
        <f t="shared" si="61"/>
        <v>0</v>
      </c>
      <c r="L74" s="1436">
        <f t="shared" si="62"/>
        <v>0</v>
      </c>
      <c r="M74" s="1084">
        <f t="shared" si="63"/>
        <v>0</v>
      </c>
      <c r="N74" s="1037">
        <f t="shared" si="64"/>
        <v>0</v>
      </c>
      <c r="O74" s="1037">
        <v>0</v>
      </c>
      <c r="P74" s="1037">
        <f t="shared" si="65"/>
        <v>0</v>
      </c>
      <c r="Q74" s="1037">
        <v>0</v>
      </c>
      <c r="R74" s="1037">
        <f t="shared" si="66"/>
        <v>0</v>
      </c>
      <c r="S74" s="1037">
        <f t="shared" si="67"/>
        <v>0</v>
      </c>
      <c r="T74" s="1029">
        <f>'[14]FY2012-13 Final'!K75</f>
        <v>2809</v>
      </c>
      <c r="U74" s="1031">
        <f t="shared" si="57"/>
        <v>0</v>
      </c>
      <c r="V74" s="1464">
        <f>'[20]Oct midyear Southwest LA Chtr'!E74</f>
        <v>0</v>
      </c>
      <c r="W74" s="1443">
        <f t="shared" si="68"/>
        <v>0</v>
      </c>
      <c r="X74" s="1474">
        <f>'[20]Feb midyear Southwest LA Ch '!E74</f>
        <v>0</v>
      </c>
      <c r="Y74" s="1470">
        <f t="shared" si="69"/>
        <v>0</v>
      </c>
      <c r="Z74" s="1470">
        <f t="shared" si="70"/>
        <v>0</v>
      </c>
      <c r="AA74" s="1031">
        <f t="shared" si="71"/>
        <v>0</v>
      </c>
      <c r="AB74" s="1090">
        <f t="shared" si="72"/>
        <v>0</v>
      </c>
      <c r="AC74" s="1031">
        <f t="shared" si="73"/>
        <v>0</v>
      </c>
      <c r="AD74" s="1031">
        <v>0</v>
      </c>
      <c r="AE74" s="1031">
        <f t="shared" si="74"/>
        <v>0</v>
      </c>
      <c r="AF74" s="1031">
        <v>0</v>
      </c>
      <c r="AG74" s="1448">
        <f t="shared" si="75"/>
        <v>0</v>
      </c>
      <c r="AH74" s="1448">
        <f t="shared" si="76"/>
        <v>0</v>
      </c>
      <c r="AI74" s="1032">
        <f t="shared" si="55"/>
        <v>0</v>
      </c>
      <c r="AJ74" s="1032">
        <f t="shared" si="56"/>
        <v>0</v>
      </c>
      <c r="AL74" s="49">
        <f t="shared" si="77"/>
        <v>0</v>
      </c>
      <c r="AM74" s="49">
        <f>-'[22]Table 5C1H-Southwest LA Charter'!AL74</f>
        <v>0</v>
      </c>
      <c r="AN74" s="49">
        <f>-'[21]Table 5C1H-Southwest LA Charter'!P74</f>
        <v>0</v>
      </c>
      <c r="AO74" s="49">
        <f t="shared" si="78"/>
        <v>0</v>
      </c>
    </row>
    <row r="75" spans="1:44">
      <c r="A75" s="989">
        <v>69</v>
      </c>
      <c r="B75" s="990" t="s">
        <v>229</v>
      </c>
      <c r="C75" s="1174">
        <v>0</v>
      </c>
      <c r="D75" s="992">
        <f>'Table 3 Levels 1&amp;2'!AL76</f>
        <v>5520.7940729790862</v>
      </c>
      <c r="E75" s="1077">
        <f t="shared" si="58"/>
        <v>0</v>
      </c>
      <c r="F75" s="1077">
        <f>'Table 4 Level 3'!P74</f>
        <v>705.67</v>
      </c>
      <c r="G75" s="1077">
        <f t="shared" si="59"/>
        <v>0</v>
      </c>
      <c r="H75" s="1040">
        <f t="shared" si="60"/>
        <v>0</v>
      </c>
      <c r="I75" s="1420">
        <f>'[1]Oct midyear Southwest LA Chtr'!K75</f>
        <v>0</v>
      </c>
      <c r="J75" s="1420">
        <f>'[1]Feb midyear Southwest LA Ch '!K75</f>
        <v>0</v>
      </c>
      <c r="K75" s="1420">
        <f t="shared" si="61"/>
        <v>0</v>
      </c>
      <c r="L75" s="1438">
        <f t="shared" si="62"/>
        <v>0</v>
      </c>
      <c r="M75" s="1087">
        <f t="shared" si="63"/>
        <v>0</v>
      </c>
      <c r="N75" s="1040">
        <f t="shared" si="64"/>
        <v>0</v>
      </c>
      <c r="O75" s="1040">
        <v>0</v>
      </c>
      <c r="P75" s="1040">
        <f t="shared" si="65"/>
        <v>0</v>
      </c>
      <c r="Q75" s="1040">
        <v>0</v>
      </c>
      <c r="R75" s="1040">
        <f t="shared" si="66"/>
        <v>0</v>
      </c>
      <c r="S75" s="1040">
        <f t="shared" si="67"/>
        <v>0</v>
      </c>
      <c r="T75" s="1029">
        <f>'[14]FY2012-13 Final'!K76</f>
        <v>3329</v>
      </c>
      <c r="U75" s="1041">
        <f t="shared" si="57"/>
        <v>0</v>
      </c>
      <c r="V75" s="1464">
        <f>'[20]Oct midyear Southwest LA Chtr'!E75</f>
        <v>0</v>
      </c>
      <c r="W75" s="1446">
        <f t="shared" si="68"/>
        <v>0</v>
      </c>
      <c r="X75" s="1476">
        <f>'[20]Feb midyear Southwest LA Ch '!E75</f>
        <v>0</v>
      </c>
      <c r="Y75" s="1472">
        <f t="shared" si="69"/>
        <v>0</v>
      </c>
      <c r="Z75" s="1472">
        <f t="shared" si="70"/>
        <v>0</v>
      </c>
      <c r="AA75" s="1041">
        <f t="shared" si="71"/>
        <v>0</v>
      </c>
      <c r="AB75" s="1092">
        <f t="shared" si="72"/>
        <v>0</v>
      </c>
      <c r="AC75" s="1041">
        <f t="shared" si="73"/>
        <v>0</v>
      </c>
      <c r="AD75" s="1041">
        <v>0</v>
      </c>
      <c r="AE75" s="1041">
        <f t="shared" si="74"/>
        <v>0</v>
      </c>
      <c r="AF75" s="1041">
        <v>0</v>
      </c>
      <c r="AG75" s="1041">
        <f t="shared" si="75"/>
        <v>0</v>
      </c>
      <c r="AH75" s="1041">
        <f t="shared" si="76"/>
        <v>0</v>
      </c>
      <c r="AI75" s="1042">
        <f t="shared" si="55"/>
        <v>0</v>
      </c>
      <c r="AJ75" s="1042">
        <f t="shared" si="56"/>
        <v>0</v>
      </c>
      <c r="AL75" s="49">
        <f t="shared" si="77"/>
        <v>0</v>
      </c>
      <c r="AM75" s="49">
        <f>-'[22]Table 5C1H-Southwest LA Charter'!AL75</f>
        <v>0</v>
      </c>
      <c r="AN75" s="49">
        <f>-'[21]Table 5C1H-Southwest LA Charter'!P75</f>
        <v>0</v>
      </c>
      <c r="AO75" s="49">
        <f t="shared" si="78"/>
        <v>0</v>
      </c>
    </row>
    <row r="76" spans="1:44" ht="13.5" thickBot="1">
      <c r="A76" s="993"/>
      <c r="B76" s="994" t="s">
        <v>167</v>
      </c>
      <c r="C76" s="995">
        <f>SUM(C7:C75)</f>
        <v>450</v>
      </c>
      <c r="D76" s="996">
        <f>'Table 3 Levels 1&amp;2'!AL77</f>
        <v>4336.5032257801222</v>
      </c>
      <c r="E76" s="1078">
        <f>SUM(E7:E75)</f>
        <v>1944080.2234316287</v>
      </c>
      <c r="F76" s="1078">
        <f>'Table 4 Level 3'!P75</f>
        <v>703.90028204588873</v>
      </c>
      <c r="G76" s="1078">
        <f t="shared" ref="G76:R76" si="79">SUM(G7:G75)</f>
        <v>273618.00000000006</v>
      </c>
      <c r="H76" s="997">
        <f t="shared" si="79"/>
        <v>2217698.2234316287</v>
      </c>
      <c r="I76" s="1421">
        <f t="shared" si="79"/>
        <v>542104.01017217583</v>
      </c>
      <c r="J76" s="1421">
        <f>SUM(J7:J75)</f>
        <v>-65706.55890146771</v>
      </c>
      <c r="K76" s="1421">
        <f t="shared" si="61"/>
        <v>476397.45127070812</v>
      </c>
      <c r="L76" s="1212">
        <f t="shared" si="62"/>
        <v>2694095.674702337</v>
      </c>
      <c r="M76" s="1088">
        <f t="shared" si="63"/>
        <v>-6735.2391867558426</v>
      </c>
      <c r="N76" s="997">
        <f t="shared" si="64"/>
        <v>2687360.4355155812</v>
      </c>
      <c r="O76" s="997">
        <f t="shared" si="79"/>
        <v>0</v>
      </c>
      <c r="P76" s="997">
        <f t="shared" si="79"/>
        <v>2687360.4355155807</v>
      </c>
      <c r="Q76" s="997">
        <f t="shared" si="79"/>
        <v>2072586</v>
      </c>
      <c r="R76" s="997">
        <f t="shared" si="79"/>
        <v>614774.43551558082</v>
      </c>
      <c r="S76" s="997">
        <f>SUM(S7:S75)</f>
        <v>307387.21775779041</v>
      </c>
      <c r="T76" s="1043"/>
      <c r="U76" s="998">
        <f t="shared" ref="U76:AJ76" si="80">SUM(U7:U75)</f>
        <v>1977750</v>
      </c>
      <c r="V76" s="1357">
        <f>SUM(V7:V75)</f>
        <v>110</v>
      </c>
      <c r="W76" s="1352">
        <f t="shared" ref="W76:AA76" si="81">SUM(W7:W75)</f>
        <v>483450</v>
      </c>
      <c r="X76" s="1484">
        <f>SUM(X7:X75)</f>
        <v>-29</v>
      </c>
      <c r="Y76" s="1486">
        <f>SUM(Y7:Y75)</f>
        <v>-68935.5</v>
      </c>
      <c r="Z76" s="1473">
        <f>SUM(Z7:Z75)</f>
        <v>414514.5</v>
      </c>
      <c r="AA76" s="1352">
        <f t="shared" si="81"/>
        <v>2392264.5</v>
      </c>
      <c r="AB76" s="1093">
        <f t="shared" si="80"/>
        <v>-5980.6612500000001</v>
      </c>
      <c r="AC76" s="998">
        <f t="shared" si="80"/>
        <v>2386283.8387499996</v>
      </c>
      <c r="AD76" s="998">
        <f t="shared" si="80"/>
        <v>0</v>
      </c>
      <c r="AE76" s="998">
        <f t="shared" si="80"/>
        <v>2386283.8387499996</v>
      </c>
      <c r="AF76" s="998">
        <f t="shared" si="80"/>
        <v>1837242</v>
      </c>
      <c r="AG76" s="998">
        <f t="shared" si="80"/>
        <v>549041.83874999976</v>
      </c>
      <c r="AH76" s="998">
        <f t="shared" si="80"/>
        <v>274520.91937499988</v>
      </c>
      <c r="AI76" s="999">
        <f t="shared" si="80"/>
        <v>5073644.2742655808</v>
      </c>
      <c r="AJ76" s="999">
        <f t="shared" si="80"/>
        <v>581908.13713279029</v>
      </c>
      <c r="AL76" s="49">
        <f>SUM(AL7:AL75)</f>
        <v>-5980.6612500000001</v>
      </c>
      <c r="AM76" s="49">
        <f t="shared" ref="AM76:AN76" si="82">SUM(AM7:AM75)</f>
        <v>5975.2262499999997</v>
      </c>
      <c r="AN76" s="49">
        <f t="shared" si="82"/>
        <v>4851</v>
      </c>
      <c r="AO76" s="49">
        <f t="shared" ref="AO76" si="83">SUM(AO7:AO75)</f>
        <v>-5.4349999999999632</v>
      </c>
    </row>
    <row r="77" spans="1:44" ht="13.5" hidden="1" thickTop="1">
      <c r="D77">
        <f>'Table 3 Levels 1&amp;2'!AL77</f>
        <v>4336.5032257801222</v>
      </c>
      <c r="I77" s="8"/>
      <c r="J77" s="8"/>
      <c r="K77" s="8"/>
      <c r="L77" s="1424"/>
      <c r="AP77" s="1542"/>
      <c r="AQ77" s="1542"/>
      <c r="AR77" s="1542"/>
    </row>
    <row r="78" spans="1:44" hidden="1">
      <c r="M78" s="804" t="s">
        <v>1416</v>
      </c>
      <c r="N78" s="49">
        <f>M76</f>
        <v>-6735.2391867558426</v>
      </c>
    </row>
    <row r="79" spans="1:44" hidden="1">
      <c r="M79" s="804" t="s">
        <v>1274</v>
      </c>
      <c r="N79" s="49">
        <f>-'[22]Table 5C1H-Southwest LA Charter'!$N$78</f>
        <v>6707.8174939935852</v>
      </c>
    </row>
    <row r="80" spans="1:44" hidden="1">
      <c r="M80" s="804" t="s">
        <v>1275</v>
      </c>
      <c r="N80" s="49">
        <f>-'[21]Table 5C1H-Southwest LA Charter'!$I$76</f>
        <v>5521.6216545836496</v>
      </c>
    </row>
    <row r="81" spans="13:14" hidden="1">
      <c r="M81" s="804" t="s">
        <v>1276</v>
      </c>
      <c r="N81" s="49">
        <f>SUM(N78:N79)</f>
        <v>-27.421692762257408</v>
      </c>
    </row>
    <row r="82" spans="13:14" hidden="1"/>
    <row r="83" spans="13:14" ht="13.5" thickTop="1"/>
  </sheetData>
  <mergeCells count="35">
    <mergeCell ref="P3:P4"/>
    <mergeCell ref="S3:S4"/>
    <mergeCell ref="T3:T4"/>
    <mergeCell ref="A2:B4"/>
    <mergeCell ref="C2:S2"/>
    <mergeCell ref="T2:AH2"/>
    <mergeCell ref="L3:L4"/>
    <mergeCell ref="V3:V4"/>
    <mergeCell ref="W3:W4"/>
    <mergeCell ref="AA3:AA4"/>
    <mergeCell ref="Q3:Q4"/>
    <mergeCell ref="R3:R4"/>
    <mergeCell ref="Y3:Y4"/>
    <mergeCell ref="Z3:Z4"/>
    <mergeCell ref="AF3:AF4"/>
    <mergeCell ref="H3:H4"/>
    <mergeCell ref="N3:N4"/>
    <mergeCell ref="O3:O4"/>
    <mergeCell ref="I3:I4"/>
    <mergeCell ref="J3:J4"/>
    <mergeCell ref="K3:K4"/>
    <mergeCell ref="C3:C4"/>
    <mergeCell ref="D3:D4"/>
    <mergeCell ref="E3:E4"/>
    <mergeCell ref="F3:F4"/>
    <mergeCell ref="G3:G4"/>
    <mergeCell ref="AG3:AG4"/>
    <mergeCell ref="AH3:AH4"/>
    <mergeCell ref="U3:U4"/>
    <mergeCell ref="AI2:AI4"/>
    <mergeCell ref="AJ2:AJ4"/>
    <mergeCell ref="AC3:AC4"/>
    <mergeCell ref="AD3:AD4"/>
    <mergeCell ref="AE3:AE4"/>
    <mergeCell ref="X3:X4"/>
  </mergeCells>
  <pageMargins left="0.34" right="0.46" top="0.75" bottom="0.75" header="0.3" footer="0.3"/>
  <pageSetup paperSize="5" scale="60" firstPageNumber="64" orientation="portrait" useFirstPageNumber="1" r:id="rId1"/>
  <headerFooter>
    <oddHeader>&amp;L&amp;"Arial,Bold"&amp;20Table 5C1-H: FY2012-13 MFP Budget Letter
Southwest LA Charter Academy (May 2013)</oddHeader>
    <oddFooter>&amp;R&amp;P</oddFooter>
  </headerFooter>
  <colBreaks count="3" manualBreakCount="3">
    <brk id="12" min="1" max="75" man="1"/>
    <brk id="19" max="1048575" man="1"/>
    <brk id="29" min="1" max="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view="pageBreakPreview" zoomScale="70" zoomScaleNormal="85" zoomScaleSheetLayoutView="70" workbookViewId="0">
      <pane xSplit="2" ySplit="4" topLeftCell="D5" activePane="bottomRight" state="frozen"/>
      <selection activeCell="A2" sqref="A2:B4"/>
      <selection pane="topRight" activeCell="A2" sqref="A2:B4"/>
      <selection pane="bottomLeft" activeCell="A2" sqref="A2:B4"/>
      <selection pane="bottomRight" activeCell="I81" sqref="I81"/>
    </sheetView>
  </sheetViews>
  <sheetFormatPr defaultRowHeight="28.5" customHeight="1"/>
  <cols>
    <col min="1" max="1" width="3.140625" style="548" customWidth="1"/>
    <col min="2" max="2" width="36.5703125" style="548" customWidth="1"/>
    <col min="3" max="3" width="16" style="548" customWidth="1"/>
    <col min="4" max="4" width="16.28515625" style="548" customWidth="1"/>
    <col min="5" max="5" width="17.140625" style="557" customWidth="1"/>
    <col min="6" max="7" width="16.28515625" style="557" customWidth="1"/>
    <col min="8" max="13" width="17.7109375" style="548" customWidth="1"/>
    <col min="14" max="14" width="16.28515625" style="548" customWidth="1"/>
    <col min="15" max="15" width="18.5703125" style="548" customWidth="1"/>
    <col min="16" max="16" width="17.5703125" style="548" customWidth="1"/>
    <col min="17" max="17" width="17.5703125" style="548" bestFit="1" customWidth="1"/>
    <col min="18" max="18" width="20.42578125" style="548" customWidth="1"/>
    <col min="19" max="19" width="17.5703125" style="548" customWidth="1"/>
    <col min="20" max="20" width="15.28515625" style="548" bestFit="1" customWidth="1"/>
    <col min="21" max="21" width="12.85546875" style="548" customWidth="1"/>
    <col min="22" max="22" width="17.7109375" style="548" bestFit="1" customWidth="1"/>
    <col min="23" max="24" width="13.5703125" style="548" bestFit="1" customWidth="1"/>
    <col min="25" max="25" width="16" style="548" bestFit="1" customWidth="1"/>
    <col min="26" max="27" width="14" style="548" bestFit="1" customWidth="1"/>
    <col min="28" max="28" width="15.5703125" style="548" bestFit="1" customWidth="1"/>
    <col min="29" max="29" width="12.7109375" style="548" bestFit="1" customWidth="1"/>
    <col min="30" max="30" width="16.28515625" style="548" bestFit="1" customWidth="1"/>
    <col min="31" max="31" width="15.42578125" style="548" bestFit="1" customWidth="1"/>
    <col min="32" max="32" width="16.28515625" style="548" bestFit="1" customWidth="1"/>
    <col min="33" max="34" width="16.28515625" style="548" customWidth="1"/>
    <col min="35" max="35" width="14" style="548" customWidth="1"/>
    <col min="36" max="36" width="16.42578125" style="548" customWidth="1"/>
    <col min="37" max="37" width="15.5703125" style="548" bestFit="1" customWidth="1"/>
    <col min="38" max="38" width="3.42578125" style="548" customWidth="1"/>
    <col min="39" max="40" width="12.42578125" style="548" hidden="1" customWidth="1"/>
    <col min="41" max="41" width="4" style="548" hidden="1" customWidth="1"/>
    <col min="42" max="42" width="12.42578125" style="548" hidden="1" customWidth="1"/>
    <col min="43" max="16384" width="9.140625" style="548"/>
  </cols>
  <sheetData>
    <row r="1" spans="1:42" ht="28.5" customHeight="1">
      <c r="J1" s="2056" t="s">
        <v>1188</v>
      </c>
      <c r="K1" s="2057"/>
      <c r="L1" s="2058"/>
      <c r="W1" s="2059" t="s">
        <v>1188</v>
      </c>
      <c r="X1" s="2060"/>
      <c r="Y1" s="2060"/>
      <c r="Z1" s="2060"/>
      <c r="AA1" s="2061"/>
    </row>
    <row r="2" spans="1:42" ht="127.5" customHeight="1">
      <c r="A2" s="2072" t="s">
        <v>595</v>
      </c>
      <c r="B2" s="2072" t="s">
        <v>1005</v>
      </c>
      <c r="C2" s="2075" t="s">
        <v>987</v>
      </c>
      <c r="D2" s="1811" t="s">
        <v>660</v>
      </c>
      <c r="E2" s="2067" t="s">
        <v>1116</v>
      </c>
      <c r="F2" s="2076" t="s">
        <v>998</v>
      </c>
      <c r="G2" s="1988" t="s">
        <v>661</v>
      </c>
      <c r="H2" s="2067" t="s">
        <v>1129</v>
      </c>
      <c r="I2" s="2068" t="s">
        <v>1075</v>
      </c>
      <c r="J2" s="2027" t="s">
        <v>1190</v>
      </c>
      <c r="K2" s="2027" t="s">
        <v>1206</v>
      </c>
      <c r="L2" s="2027" t="s">
        <v>1207</v>
      </c>
      <c r="M2" s="1911" t="s">
        <v>1270</v>
      </c>
      <c r="N2" s="1860" t="s">
        <v>591</v>
      </c>
      <c r="O2" s="2067" t="s">
        <v>1130</v>
      </c>
      <c r="P2" s="2077" t="s">
        <v>990</v>
      </c>
      <c r="Q2" s="2067" t="s">
        <v>1119</v>
      </c>
      <c r="R2" s="2079" t="s">
        <v>1329</v>
      </c>
      <c r="S2" s="2079" t="s">
        <v>1403</v>
      </c>
      <c r="T2" s="2068" t="s">
        <v>1134</v>
      </c>
      <c r="U2" s="1895" t="s">
        <v>1267</v>
      </c>
      <c r="V2" s="1895" t="s">
        <v>1113</v>
      </c>
      <c r="W2" s="2030" t="s">
        <v>1218</v>
      </c>
      <c r="X2" s="2030" t="s">
        <v>1196</v>
      </c>
      <c r="Y2" s="2030" t="s">
        <v>1219</v>
      </c>
      <c r="Z2" s="2030" t="s">
        <v>1220</v>
      </c>
      <c r="AA2" s="2030" t="s">
        <v>1194</v>
      </c>
      <c r="AB2" s="1917" t="s">
        <v>1269</v>
      </c>
      <c r="AC2" s="2062" t="s">
        <v>594</v>
      </c>
      <c r="AD2" s="2063" t="s">
        <v>1131</v>
      </c>
      <c r="AE2" s="2065" t="s">
        <v>990</v>
      </c>
      <c r="AF2" s="2070" t="s">
        <v>1109</v>
      </c>
      <c r="AG2" s="2070" t="s">
        <v>1330</v>
      </c>
      <c r="AH2" s="2070" t="s">
        <v>1403</v>
      </c>
      <c r="AI2" s="2074" t="s">
        <v>1128</v>
      </c>
      <c r="AJ2" s="1976" t="s">
        <v>1132</v>
      </c>
      <c r="AK2" s="1976" t="s">
        <v>1133</v>
      </c>
      <c r="AM2" s="2054" t="s">
        <v>1262</v>
      </c>
      <c r="AN2" s="2054" t="s">
        <v>1263</v>
      </c>
      <c r="AP2" s="2054" t="s">
        <v>1417</v>
      </c>
    </row>
    <row r="3" spans="1:42" ht="36" customHeight="1">
      <c r="A3" s="2073"/>
      <c r="B3" s="2073"/>
      <c r="C3" s="2075"/>
      <c r="D3" s="1797"/>
      <c r="E3" s="2067"/>
      <c r="F3" s="2076"/>
      <c r="G3" s="1945"/>
      <c r="H3" s="2067"/>
      <c r="I3" s="2069"/>
      <c r="J3" s="1827"/>
      <c r="K3" s="1827"/>
      <c r="L3" s="1827"/>
      <c r="M3" s="1912"/>
      <c r="N3" s="1797"/>
      <c r="O3" s="2067"/>
      <c r="P3" s="2078"/>
      <c r="Q3" s="2067"/>
      <c r="R3" s="2069"/>
      <c r="S3" s="2069"/>
      <c r="T3" s="2069"/>
      <c r="U3" s="1891"/>
      <c r="V3" s="1891"/>
      <c r="W3" s="2031"/>
      <c r="X3" s="2031"/>
      <c r="Y3" s="2031"/>
      <c r="Z3" s="2031"/>
      <c r="AA3" s="2031"/>
      <c r="AB3" s="1918"/>
      <c r="AC3" s="1891"/>
      <c r="AD3" s="2064"/>
      <c r="AE3" s="2066"/>
      <c r="AF3" s="2071"/>
      <c r="AG3" s="2071"/>
      <c r="AH3" s="2071"/>
      <c r="AI3" s="2071"/>
      <c r="AJ3" s="1977"/>
      <c r="AK3" s="1977"/>
      <c r="AM3" s="2054"/>
      <c r="AN3" s="2055"/>
      <c r="AP3" s="2055"/>
    </row>
    <row r="4" spans="1:42" s="552" customFormat="1" ht="18" customHeight="1">
      <c r="A4" s="549"/>
      <c r="B4" s="549"/>
      <c r="C4" s="550">
        <v>1</v>
      </c>
      <c r="D4" s="551">
        <f>C4+1</f>
        <v>2</v>
      </c>
      <c r="E4" s="551">
        <f>D4+1</f>
        <v>3</v>
      </c>
      <c r="F4" s="551">
        <f>E4+1</f>
        <v>4</v>
      </c>
      <c r="G4" s="551">
        <f>F4+1</f>
        <v>5</v>
      </c>
      <c r="H4" s="551">
        <f t="shared" ref="H4" si="0">G4+1</f>
        <v>6</v>
      </c>
      <c r="I4" s="551">
        <f t="shared" ref="I4" si="1">H4+1</f>
        <v>7</v>
      </c>
      <c r="J4" s="551">
        <f t="shared" ref="J4" si="2">I4+1</f>
        <v>8</v>
      </c>
      <c r="K4" s="551">
        <f t="shared" ref="K4" si="3">J4+1</f>
        <v>9</v>
      </c>
      <c r="L4" s="551">
        <f t="shared" ref="L4" si="4">K4+1</f>
        <v>10</v>
      </c>
      <c r="M4" s="551">
        <f t="shared" ref="M4" si="5">L4+1</f>
        <v>11</v>
      </c>
      <c r="N4" s="551">
        <f t="shared" ref="N4" si="6">M4+1</f>
        <v>12</v>
      </c>
      <c r="O4" s="551">
        <f t="shared" ref="O4" si="7">N4+1</f>
        <v>13</v>
      </c>
      <c r="P4" s="551">
        <f t="shared" ref="P4" si="8">O4+1</f>
        <v>14</v>
      </c>
      <c r="Q4" s="551">
        <f t="shared" ref="Q4" si="9">P4+1</f>
        <v>15</v>
      </c>
      <c r="R4" s="551">
        <f t="shared" ref="R4" si="10">Q4+1</f>
        <v>16</v>
      </c>
      <c r="S4" s="551">
        <f t="shared" ref="S4" si="11">R4+1</f>
        <v>17</v>
      </c>
      <c r="T4" s="551">
        <f t="shared" ref="T4" si="12">S4+1</f>
        <v>18</v>
      </c>
      <c r="U4" s="551">
        <f t="shared" ref="U4" si="13">T4+1</f>
        <v>19</v>
      </c>
      <c r="V4" s="551">
        <f t="shared" ref="V4" si="14">U4+1</f>
        <v>20</v>
      </c>
      <c r="W4" s="551">
        <f t="shared" ref="W4" si="15">V4+1</f>
        <v>21</v>
      </c>
      <c r="X4" s="551">
        <f t="shared" ref="X4" si="16">W4+1</f>
        <v>22</v>
      </c>
      <c r="Y4" s="551">
        <f t="shared" ref="Y4" si="17">X4+1</f>
        <v>23</v>
      </c>
      <c r="Z4" s="551">
        <f t="shared" ref="Z4" si="18">Y4+1</f>
        <v>24</v>
      </c>
      <c r="AA4" s="551">
        <f t="shared" ref="AA4" si="19">Z4+1</f>
        <v>25</v>
      </c>
      <c r="AB4" s="551">
        <f t="shared" ref="AB4" si="20">AA4+1</f>
        <v>26</v>
      </c>
      <c r="AC4" s="551">
        <f t="shared" ref="AC4" si="21">AB4+1</f>
        <v>27</v>
      </c>
      <c r="AD4" s="551">
        <f t="shared" ref="AD4" si="22">AC4+1</f>
        <v>28</v>
      </c>
      <c r="AE4" s="551">
        <f t="shared" ref="AE4" si="23">AD4+1</f>
        <v>29</v>
      </c>
      <c r="AF4" s="551">
        <f t="shared" ref="AF4" si="24">AE4+1</f>
        <v>30</v>
      </c>
      <c r="AG4" s="551">
        <f t="shared" ref="AG4" si="25">AF4+1</f>
        <v>31</v>
      </c>
      <c r="AH4" s="551">
        <f t="shared" ref="AH4" si="26">AG4+1</f>
        <v>32</v>
      </c>
      <c r="AI4" s="551">
        <f t="shared" ref="AI4" si="27">AH4+1</f>
        <v>33</v>
      </c>
      <c r="AJ4" s="551">
        <f t="shared" ref="AJ4" si="28">AI4+1</f>
        <v>34</v>
      </c>
      <c r="AK4" s="551">
        <f t="shared" ref="AK4" si="29">AJ4+1</f>
        <v>35</v>
      </c>
    </row>
    <row r="5" spans="1:42" s="553" customFormat="1" ht="17.25" customHeight="1">
      <c r="A5" s="103">
        <v>1</v>
      </c>
      <c r="B5" s="805" t="s">
        <v>102</v>
      </c>
      <c r="C5" s="818">
        <f>'Table 8 2.1.12 MFP Funded'!U4</f>
        <v>23</v>
      </c>
      <c r="D5" s="819">
        <f>'Table 3 Levels 1&amp;2'!AL8*90%</f>
        <v>4174.127736063685</v>
      </c>
      <c r="E5" s="819">
        <f>C5*D5</f>
        <v>96004.937929464752</v>
      </c>
      <c r="F5" s="820">
        <f>'Table 4 Level 3'!P6*90%</f>
        <v>699.73200000000008</v>
      </c>
      <c r="G5" s="820">
        <f>F5*C5</f>
        <v>16093.836000000001</v>
      </c>
      <c r="H5" s="820">
        <f>E5+G5</f>
        <v>112098.77392946475</v>
      </c>
      <c r="I5" s="820">
        <f>(('Table 3 Levels 1&amp;2'!AL8-D5)*C5)</f>
        <v>10667.215325496089</v>
      </c>
      <c r="J5" s="820">
        <f>'[1]Oct midyear LA Virtual Admy'!K4</f>
        <v>-34117.018152445795</v>
      </c>
      <c r="K5" s="820">
        <f>'[1]Feb midyear LA Virtual Admy'!K4</f>
        <v>-4873.859736063685</v>
      </c>
      <c r="L5" s="820">
        <f>J5+K5</f>
        <v>-38990.87788850948</v>
      </c>
      <c r="M5" s="820">
        <f>H5+L5</f>
        <v>73107.896040955267</v>
      </c>
      <c r="N5" s="820">
        <f>ROUND(-0.25%*M5,0)</f>
        <v>-183</v>
      </c>
      <c r="O5" s="821">
        <f t="shared" ref="O5:O36" si="30">M5+N5</f>
        <v>72924.896040955267</v>
      </c>
      <c r="P5" s="821">
        <f>'[23]Oct midyear adj_LA virtual'!$M6</f>
        <v>-4909.0320000000065</v>
      </c>
      <c r="Q5" s="822">
        <f>SUM(O5:P5)</f>
        <v>68015.864040955261</v>
      </c>
      <c r="R5" s="822">
        <f>8881+5797+7251+7251+7251+5174+5174+5174+3962+3962</f>
        <v>59877</v>
      </c>
      <c r="S5" s="822">
        <f>Q5-R5</f>
        <v>8138.8640409552609</v>
      </c>
      <c r="T5" s="822">
        <f>ROUND(S5/2,0)</f>
        <v>4069</v>
      </c>
      <c r="U5" s="823">
        <f>'[14]FY2012-13 Final'!K8*90%</f>
        <v>1903.5</v>
      </c>
      <c r="V5" s="824">
        <f t="shared" ref="V5:V36" si="31">U5*C5</f>
        <v>43780.5</v>
      </c>
      <c r="W5" s="1489">
        <f>'[20]Oct midyear LA Virtual Admy'!E4</f>
        <v>-7</v>
      </c>
      <c r="X5" s="824">
        <f>W5*U5</f>
        <v>-13324.5</v>
      </c>
      <c r="Y5" s="1489">
        <f>'[20]Feb midyear LA Virtual Admy'!E4</f>
        <v>-2</v>
      </c>
      <c r="Z5" s="824">
        <f>Y5*(U5*0.5)</f>
        <v>-1903.5</v>
      </c>
      <c r="AA5" s="824">
        <f>X5+Z5</f>
        <v>-15228</v>
      </c>
      <c r="AB5" s="824">
        <f>V5+AA5</f>
        <v>28552.5</v>
      </c>
      <c r="AC5" s="824">
        <f>ROUND(AB5*-0.25%,0)</f>
        <v>-71</v>
      </c>
      <c r="AD5" s="824">
        <f>SUM(AB5:AC5)</f>
        <v>28481.5</v>
      </c>
      <c r="AE5" s="823">
        <f>'[23]Oct midyear adj_LA virtual'!$P6</f>
        <v>-1824.3</v>
      </c>
      <c r="AF5" s="850">
        <f>SUM(AD5:AE5)</f>
        <v>26657.200000000001</v>
      </c>
      <c r="AG5" s="850">
        <f>3451+2255+2819+2819+2819+2013+2013+2013+1604+1604</f>
        <v>23410</v>
      </c>
      <c r="AH5" s="850">
        <f>AF5-AG5</f>
        <v>3247.2000000000007</v>
      </c>
      <c r="AI5" s="850">
        <f>ROUND(AH5/2,0)</f>
        <v>1624</v>
      </c>
      <c r="AJ5" s="825">
        <f t="shared" ref="AJ5:AJ36" si="32">AF5+Q5</f>
        <v>94673.064040955258</v>
      </c>
      <c r="AK5" s="825">
        <f t="shared" ref="AK5:AK36" si="33">T5+AI5</f>
        <v>5693</v>
      </c>
      <c r="AM5" s="1543">
        <v>-108</v>
      </c>
      <c r="AN5" s="1543">
        <v>37</v>
      </c>
      <c r="AP5" s="1543">
        <f>AC5-AM5-AN5</f>
        <v>0</v>
      </c>
    </row>
    <row r="6" spans="1:42" s="553" customFormat="1" ht="17.25" customHeight="1">
      <c r="A6" s="103">
        <v>2</v>
      </c>
      <c r="B6" s="805" t="s">
        <v>103</v>
      </c>
      <c r="C6" s="826">
        <f>'Table 8 2.1.12 MFP Funded'!U5</f>
        <v>9</v>
      </c>
      <c r="D6" s="827">
        <f>'Table 3 Levels 1&amp;2'!AL9*90%</f>
        <v>5534.5913337839593</v>
      </c>
      <c r="E6" s="827">
        <f t="shared" ref="E6:E69" si="34">C6*D6</f>
        <v>49811.322004055633</v>
      </c>
      <c r="F6" s="828">
        <f>'Table 4 Level 3'!P7*90%</f>
        <v>758.08800000000008</v>
      </c>
      <c r="G6" s="828">
        <f t="shared" ref="G6:G69" si="35">F6*C6</f>
        <v>6822.7920000000004</v>
      </c>
      <c r="H6" s="828">
        <f t="shared" ref="H6:H69" si="36">E6+G6</f>
        <v>56634.114004055635</v>
      </c>
      <c r="I6" s="828">
        <f>(('Table 3 Levels 1&amp;2'!AL9-D6)*C6)</f>
        <v>5534.5913337839556</v>
      </c>
      <c r="J6" s="828">
        <f>'[1]Oct midyear LA Virtual Admy'!K5</f>
        <v>-18878.038001351877</v>
      </c>
      <c r="K6" s="828">
        <f>'[1]Feb midyear LA Virtual Admy'!K5</f>
        <v>-6292.679333783959</v>
      </c>
      <c r="L6" s="828">
        <f t="shared" ref="L6:L69" si="37">J6+K6</f>
        <v>-25170.717335135836</v>
      </c>
      <c r="M6" s="828">
        <f t="shared" ref="M6:M69" si="38">H6+L6</f>
        <v>31463.396668919799</v>
      </c>
      <c r="N6" s="828">
        <f t="shared" ref="N6:N69" si="39">ROUND(-0.25%*M6,0)</f>
        <v>-79</v>
      </c>
      <c r="O6" s="829">
        <f t="shared" si="30"/>
        <v>31384.396668919799</v>
      </c>
      <c r="P6" s="829">
        <f>'[23]Oct midyear adj_LA virtual'!$M7</f>
        <v>0</v>
      </c>
      <c r="Q6" s="830">
        <f t="shared" ref="Q6:Q69" si="40">SUM(O6:P6)</f>
        <v>31384.396668919799</v>
      </c>
      <c r="R6" s="830">
        <f>4696+4127+4753+4753+4753+2069+2069+2069+504+504</f>
        <v>30297</v>
      </c>
      <c r="S6" s="830">
        <f t="shared" ref="S6:S69" si="41">Q6-R6</f>
        <v>1087.3966689197987</v>
      </c>
      <c r="T6" s="830">
        <f t="shared" ref="T6:T69" si="42">ROUND(S6/2,0)</f>
        <v>544</v>
      </c>
      <c r="U6" s="831">
        <f>'[14]FY2012-13 Final'!K9*90%</f>
        <v>2325.6</v>
      </c>
      <c r="V6" s="832">
        <f t="shared" si="31"/>
        <v>20930.399999999998</v>
      </c>
      <c r="W6" s="1490">
        <f>'[20]Oct midyear LA Virtual Admy'!E5</f>
        <v>-3</v>
      </c>
      <c r="X6" s="832">
        <f t="shared" ref="X6:X69" si="43">W6*U6</f>
        <v>-6976.7999999999993</v>
      </c>
      <c r="Y6" s="1490">
        <f>'[20]Feb midyear LA Virtual Admy'!E5</f>
        <v>-2</v>
      </c>
      <c r="Z6" s="832">
        <f t="shared" ref="Z6:Z69" si="44">Y6*(U6*0.5)</f>
        <v>-2325.6</v>
      </c>
      <c r="AA6" s="832">
        <f t="shared" ref="AA6:AA69" si="45">X6+Z6</f>
        <v>-9302.4</v>
      </c>
      <c r="AB6" s="832">
        <f t="shared" ref="AB6:AB69" si="46">V6+AA6</f>
        <v>11627.999999999998</v>
      </c>
      <c r="AC6" s="832">
        <f t="shared" ref="AC6:AC69" si="47">ROUND(AB6*-0.25%,0)</f>
        <v>-29</v>
      </c>
      <c r="AD6" s="832">
        <f t="shared" ref="AD6:AD69" si="48">SUM(AB6:AC6)</f>
        <v>11598.999999999998</v>
      </c>
      <c r="AE6" s="831">
        <f>'[23]Oct midyear adj_LA virtual'!$P7</f>
        <v>0</v>
      </c>
      <c r="AF6" s="851">
        <f t="shared" ref="AF6:AF69" si="49">SUM(AD6:AE6)</f>
        <v>11598.999999999998</v>
      </c>
      <c r="AG6" s="851">
        <f>1720+1511+1740+1740+1740+758+758+758+219+219</f>
        <v>11163</v>
      </c>
      <c r="AH6" s="851">
        <f t="shared" ref="AH6:AH69" si="50">AF6-AG6</f>
        <v>435.99999999999818</v>
      </c>
      <c r="AI6" s="851">
        <f t="shared" ref="AI6:AI69" si="51">ROUND(AH6/2,0)</f>
        <v>218</v>
      </c>
      <c r="AJ6" s="833">
        <f t="shared" si="32"/>
        <v>42983.396668919799</v>
      </c>
      <c r="AK6" s="833">
        <f t="shared" si="33"/>
        <v>762</v>
      </c>
      <c r="AM6" s="1543">
        <v>-52</v>
      </c>
      <c r="AN6" s="1543">
        <v>23</v>
      </c>
      <c r="AP6" s="1543">
        <f t="shared" ref="AP6:AP69" si="52">AC6-AM6-AN6</f>
        <v>0</v>
      </c>
    </row>
    <row r="7" spans="1:42" s="553" customFormat="1" ht="17.25" customHeight="1">
      <c r="A7" s="103">
        <v>3</v>
      </c>
      <c r="B7" s="805" t="s">
        <v>104</v>
      </c>
      <c r="C7" s="826">
        <f>'Table 8 2.1.12 MFP Funded'!U6</f>
        <v>33</v>
      </c>
      <c r="D7" s="827">
        <f>'Table 3 Levels 1&amp;2'!AL10*90%</f>
        <v>3906.8460970882102</v>
      </c>
      <c r="E7" s="827">
        <f t="shared" si="34"/>
        <v>128925.92120391094</v>
      </c>
      <c r="F7" s="828">
        <f>'Table 4 Level 3'!P8*90%</f>
        <v>537.15600000000006</v>
      </c>
      <c r="G7" s="828">
        <f t="shared" si="35"/>
        <v>17726.148000000001</v>
      </c>
      <c r="H7" s="828">
        <f t="shared" si="36"/>
        <v>146652.06920391094</v>
      </c>
      <c r="I7" s="828">
        <f>(('Table 3 Levels 1&amp;2'!AL10-D7)*C7)</f>
        <v>14325.102355990108</v>
      </c>
      <c r="J7" s="828">
        <f>'[1]Oct midyear LA Virtual Admy'!K6</f>
        <v>84436.039844676008</v>
      </c>
      <c r="K7" s="828">
        <f>'[1]Feb midyear LA Virtual Admy'!K6</f>
        <v>-26664.012582529263</v>
      </c>
      <c r="L7" s="828">
        <f t="shared" si="37"/>
        <v>57772.027262146745</v>
      </c>
      <c r="M7" s="828">
        <f t="shared" si="38"/>
        <v>204424.0964660577</v>
      </c>
      <c r="N7" s="828">
        <f t="shared" si="39"/>
        <v>-511</v>
      </c>
      <c r="O7" s="829">
        <f t="shared" si="30"/>
        <v>203913.0964660577</v>
      </c>
      <c r="P7" s="829">
        <f>'[23]Oct midyear adj_LA virtual'!$M8</f>
        <v>0</v>
      </c>
      <c r="Q7" s="830">
        <f t="shared" si="40"/>
        <v>203913.0964660577</v>
      </c>
      <c r="R7" s="830">
        <f>12155+23004+21678+21678+21678+18521+18521+18521+11890+11890</f>
        <v>179536</v>
      </c>
      <c r="S7" s="830">
        <f t="shared" si="41"/>
        <v>24377.096466057701</v>
      </c>
      <c r="T7" s="830">
        <f t="shared" si="42"/>
        <v>12189</v>
      </c>
      <c r="U7" s="831">
        <f>'[14]FY2012-13 Final'!K10*90%</f>
        <v>4479.3</v>
      </c>
      <c r="V7" s="832">
        <f t="shared" si="31"/>
        <v>147816.9</v>
      </c>
      <c r="W7" s="1490">
        <f>'[20]Oct midyear LA Virtual Admy'!E6</f>
        <v>19</v>
      </c>
      <c r="X7" s="832">
        <f t="shared" si="43"/>
        <v>85106.7</v>
      </c>
      <c r="Y7" s="1490">
        <f>'[20]Feb midyear LA Virtual Admy'!E6</f>
        <v>-12</v>
      </c>
      <c r="Z7" s="832">
        <f t="shared" si="44"/>
        <v>-26875.800000000003</v>
      </c>
      <c r="AA7" s="832">
        <f t="shared" si="45"/>
        <v>58230.899999999994</v>
      </c>
      <c r="AB7" s="832">
        <f t="shared" si="46"/>
        <v>206047.8</v>
      </c>
      <c r="AC7" s="832">
        <f t="shared" si="47"/>
        <v>-515</v>
      </c>
      <c r="AD7" s="832">
        <f t="shared" si="48"/>
        <v>205532.79999999999</v>
      </c>
      <c r="AE7" s="831">
        <f>'[23]Oct midyear adj_LA virtual'!$P8</f>
        <v>0</v>
      </c>
      <c r="AF7" s="851">
        <f t="shared" si="49"/>
        <v>205532.79999999999</v>
      </c>
      <c r="AG7" s="851">
        <f>12332+23339+21993+21993+21993+18790+18790+18790+11765+11765</f>
        <v>181550</v>
      </c>
      <c r="AH7" s="851">
        <f t="shared" si="50"/>
        <v>23982.799999999988</v>
      </c>
      <c r="AI7" s="851">
        <f t="shared" si="51"/>
        <v>11991</v>
      </c>
      <c r="AJ7" s="833">
        <f t="shared" si="32"/>
        <v>409445.89646605769</v>
      </c>
      <c r="AK7" s="833">
        <f t="shared" si="33"/>
        <v>24180</v>
      </c>
      <c r="AM7" s="1543">
        <v>-371</v>
      </c>
      <c r="AN7" s="1543">
        <v>-143</v>
      </c>
      <c r="AP7" s="1543">
        <f t="shared" si="52"/>
        <v>-1</v>
      </c>
    </row>
    <row r="8" spans="1:42" s="553" customFormat="1" ht="17.25" customHeight="1">
      <c r="A8" s="103">
        <v>4</v>
      </c>
      <c r="B8" s="805" t="s">
        <v>105</v>
      </c>
      <c r="C8" s="826">
        <f>'Table 8 2.1.12 MFP Funded'!U7</f>
        <v>3</v>
      </c>
      <c r="D8" s="827">
        <f>'Table 3 Levels 1&amp;2'!AL11*90%</f>
        <v>5469.6337648363824</v>
      </c>
      <c r="E8" s="827">
        <f t="shared" si="34"/>
        <v>16408.901294509145</v>
      </c>
      <c r="F8" s="828">
        <f>'Table 4 Level 3'!P9*90%</f>
        <v>527.18399999999997</v>
      </c>
      <c r="G8" s="828">
        <f t="shared" si="35"/>
        <v>1581.5519999999999</v>
      </c>
      <c r="H8" s="828">
        <f t="shared" si="36"/>
        <v>17990.453294509145</v>
      </c>
      <c r="I8" s="828">
        <f>(('Table 3 Levels 1&amp;2'!AL11-D8)*C8)</f>
        <v>1823.2112549454596</v>
      </c>
      <c r="J8" s="828">
        <f>'[1]Oct midyear LA Virtual Admy'!K7</f>
        <v>0</v>
      </c>
      <c r="K8" s="828">
        <f>'[1]Feb midyear LA Virtual Admy'!K7</f>
        <v>0</v>
      </c>
      <c r="L8" s="828">
        <f t="shared" si="37"/>
        <v>0</v>
      </c>
      <c r="M8" s="828">
        <f t="shared" si="38"/>
        <v>17990.453294509145</v>
      </c>
      <c r="N8" s="828">
        <f t="shared" si="39"/>
        <v>-45</v>
      </c>
      <c r="O8" s="829">
        <f t="shared" si="30"/>
        <v>17945.453294509145</v>
      </c>
      <c r="P8" s="829">
        <f>'[23]Oct midyear adj_LA virtual'!$M9</f>
        <v>0</v>
      </c>
      <c r="Q8" s="830">
        <f t="shared" si="40"/>
        <v>17945.453294509145</v>
      </c>
      <c r="R8" s="830">
        <f>1493+950+1547+1547+1547+1547+1547+1547+1548+1548</f>
        <v>14821</v>
      </c>
      <c r="S8" s="830">
        <f t="shared" si="41"/>
        <v>3124.4532945091451</v>
      </c>
      <c r="T8" s="830">
        <f t="shared" si="42"/>
        <v>1562</v>
      </c>
      <c r="U8" s="831">
        <f>'[14]FY2012-13 Final'!K11*90%</f>
        <v>3109.5</v>
      </c>
      <c r="V8" s="832">
        <f t="shared" si="31"/>
        <v>9328.5</v>
      </c>
      <c r="W8" s="1490">
        <f>'[20]Oct midyear LA Virtual Admy'!E7</f>
        <v>0</v>
      </c>
      <c r="X8" s="832">
        <f t="shared" si="43"/>
        <v>0</v>
      </c>
      <c r="Y8" s="1490">
        <f>'[20]Feb midyear LA Virtual Admy'!E7</f>
        <v>0</v>
      </c>
      <c r="Z8" s="832">
        <f t="shared" si="44"/>
        <v>0</v>
      </c>
      <c r="AA8" s="832">
        <f t="shared" si="45"/>
        <v>0</v>
      </c>
      <c r="AB8" s="832">
        <f t="shared" si="46"/>
        <v>9328.5</v>
      </c>
      <c r="AC8" s="832">
        <f t="shared" si="47"/>
        <v>-23</v>
      </c>
      <c r="AD8" s="832">
        <f t="shared" si="48"/>
        <v>9305.5</v>
      </c>
      <c r="AE8" s="831">
        <f>'[23]Oct midyear adj_LA virtual'!$P9</f>
        <v>0</v>
      </c>
      <c r="AF8" s="851">
        <f t="shared" si="49"/>
        <v>9305.5</v>
      </c>
      <c r="AG8" s="851">
        <f>754+480+782+782+782+782+782+782+838+838</f>
        <v>7602</v>
      </c>
      <c r="AH8" s="851">
        <f t="shared" si="50"/>
        <v>1703.5</v>
      </c>
      <c r="AI8" s="851">
        <f t="shared" si="51"/>
        <v>852</v>
      </c>
      <c r="AJ8" s="833">
        <f t="shared" si="32"/>
        <v>27250.953294509145</v>
      </c>
      <c r="AK8" s="833">
        <f t="shared" si="33"/>
        <v>2414</v>
      </c>
      <c r="AM8" s="1543">
        <v>-23</v>
      </c>
      <c r="AN8" s="1543">
        <v>0</v>
      </c>
      <c r="AP8" s="1543">
        <f t="shared" si="52"/>
        <v>0</v>
      </c>
    </row>
    <row r="9" spans="1:42" s="553" customFormat="1" ht="17.25" customHeight="1">
      <c r="A9" s="104">
        <v>5</v>
      </c>
      <c r="B9" s="806" t="s">
        <v>106</v>
      </c>
      <c r="C9" s="834">
        <f>'Table 8 2.1.12 MFP Funded'!U8</f>
        <v>23</v>
      </c>
      <c r="D9" s="835">
        <f>'Table 3 Levels 1&amp;2'!AL12*90%</f>
        <v>4390.2985530323031</v>
      </c>
      <c r="E9" s="835">
        <f t="shared" si="34"/>
        <v>100976.86671974297</v>
      </c>
      <c r="F9" s="836">
        <f>'Table 4 Level 3'!P10*90%</f>
        <v>500.31899999999996</v>
      </c>
      <c r="G9" s="836">
        <f t="shared" si="35"/>
        <v>11507.337</v>
      </c>
      <c r="H9" s="836">
        <f t="shared" si="36"/>
        <v>112484.20371974297</v>
      </c>
      <c r="I9" s="836">
        <f>(('Table 3 Levels 1&amp;2'!AL12-D9)*C9)</f>
        <v>11219.651857749213</v>
      </c>
      <c r="J9" s="836">
        <f>'[1]Oct midyear LA Virtual Admy'!K8</f>
        <v>0</v>
      </c>
      <c r="K9" s="836">
        <f>'[1]Feb midyear LA Virtual Admy'!K8</f>
        <v>-7335.9263295484552</v>
      </c>
      <c r="L9" s="836">
        <f t="shared" si="37"/>
        <v>-7335.9263295484552</v>
      </c>
      <c r="M9" s="836">
        <f t="shared" si="38"/>
        <v>105148.27739019452</v>
      </c>
      <c r="N9" s="836">
        <f t="shared" si="39"/>
        <v>-263</v>
      </c>
      <c r="O9" s="837">
        <f t="shared" si="30"/>
        <v>104885.27739019452</v>
      </c>
      <c r="P9" s="837">
        <f>'[23]Oct midyear adj_LA virtual'!$M10</f>
        <v>0</v>
      </c>
      <c r="Q9" s="838">
        <f t="shared" si="40"/>
        <v>104885.27739019452</v>
      </c>
      <c r="R9" s="838">
        <f>9227+10539+10058+10058+10058+8683+8683+8683+6877+6877</f>
        <v>89743</v>
      </c>
      <c r="S9" s="838">
        <f t="shared" si="41"/>
        <v>15142.277390194518</v>
      </c>
      <c r="T9" s="838">
        <f t="shared" si="42"/>
        <v>7571</v>
      </c>
      <c r="U9" s="839">
        <f>'[14]FY2012-13 Final'!K12*90%</f>
        <v>1363.5</v>
      </c>
      <c r="V9" s="840">
        <f t="shared" si="31"/>
        <v>31360.5</v>
      </c>
      <c r="W9" s="1491">
        <f>'[20]Oct midyear LA Virtual Admy'!E8</f>
        <v>0</v>
      </c>
      <c r="X9" s="840">
        <f t="shared" si="43"/>
        <v>0</v>
      </c>
      <c r="Y9" s="1491">
        <f>'[20]Feb midyear LA Virtual Admy'!E8</f>
        <v>-3</v>
      </c>
      <c r="Z9" s="840">
        <f t="shared" si="44"/>
        <v>-2045.25</v>
      </c>
      <c r="AA9" s="840">
        <f t="shared" si="45"/>
        <v>-2045.25</v>
      </c>
      <c r="AB9" s="840">
        <f t="shared" si="46"/>
        <v>29315.25</v>
      </c>
      <c r="AC9" s="840">
        <f t="shared" si="47"/>
        <v>-73</v>
      </c>
      <c r="AD9" s="840">
        <f t="shared" si="48"/>
        <v>29242.25</v>
      </c>
      <c r="AE9" s="839">
        <f>'[23]Oct midyear adj_LA virtual'!$P10</f>
        <v>0</v>
      </c>
      <c r="AF9" s="852">
        <f t="shared" si="49"/>
        <v>29242.25</v>
      </c>
      <c r="AG9" s="852">
        <f>1972+2252+2150+2150+2150+1856+1856+1856+2468+2468</f>
        <v>21178</v>
      </c>
      <c r="AH9" s="852">
        <f t="shared" si="50"/>
        <v>8064.25</v>
      </c>
      <c r="AI9" s="852">
        <f t="shared" si="51"/>
        <v>4032</v>
      </c>
      <c r="AJ9" s="841">
        <f t="shared" si="32"/>
        <v>134127.52739019453</v>
      </c>
      <c r="AK9" s="841">
        <f t="shared" si="33"/>
        <v>11603</v>
      </c>
      <c r="AM9" s="1543">
        <v>-59</v>
      </c>
      <c r="AN9" s="1543">
        <v>-6</v>
      </c>
      <c r="AP9" s="1543">
        <f t="shared" si="52"/>
        <v>-8</v>
      </c>
    </row>
    <row r="10" spans="1:42" s="553" customFormat="1" ht="17.25" customHeight="1">
      <c r="A10" s="103">
        <v>6</v>
      </c>
      <c r="B10" s="805" t="s">
        <v>107</v>
      </c>
      <c r="C10" s="818">
        <f>'Table 8 2.1.12 MFP Funded'!U9</f>
        <v>15</v>
      </c>
      <c r="D10" s="819">
        <f>'Table 3 Levels 1&amp;2'!AL13*90%</f>
        <v>4995.1711115445605</v>
      </c>
      <c r="E10" s="819">
        <f t="shared" si="34"/>
        <v>74927.566673168403</v>
      </c>
      <c r="F10" s="820">
        <f>'Table 4 Level 3'!P11*90%</f>
        <v>490.9319999999999</v>
      </c>
      <c r="G10" s="820">
        <f t="shared" si="35"/>
        <v>7363.9799999999987</v>
      </c>
      <c r="H10" s="820">
        <f t="shared" si="36"/>
        <v>82291.546673168399</v>
      </c>
      <c r="I10" s="820">
        <f>(('Table 3 Levels 1&amp;2'!AL13-D10)*C10)</f>
        <v>8325.2851859076</v>
      </c>
      <c r="J10" s="820">
        <f>'[1]Oct midyear LA Virtual Admy'!K9</f>
        <v>27430.5155577228</v>
      </c>
      <c r="K10" s="820">
        <f>'[1]Feb midyear LA Virtual Admy'!K9</f>
        <v>-8229.1546673168414</v>
      </c>
      <c r="L10" s="820">
        <f t="shared" si="37"/>
        <v>19201.360890405958</v>
      </c>
      <c r="M10" s="820">
        <f t="shared" si="38"/>
        <v>101492.90756357435</v>
      </c>
      <c r="N10" s="820">
        <f t="shared" si="39"/>
        <v>-254</v>
      </c>
      <c r="O10" s="821">
        <f t="shared" si="30"/>
        <v>101238.90756357435</v>
      </c>
      <c r="P10" s="821">
        <f>'[23]Oct midyear adj_LA virtual'!$M11</f>
        <v>0</v>
      </c>
      <c r="Q10" s="822">
        <f t="shared" si="40"/>
        <v>101238.90756357435</v>
      </c>
      <c r="R10" s="822">
        <f>6827+11792+10700+10700+10700+8359+8359+8359+6311+6311</f>
        <v>88418</v>
      </c>
      <c r="S10" s="822">
        <f t="shared" si="41"/>
        <v>12820.90756357435</v>
      </c>
      <c r="T10" s="822">
        <f t="shared" si="42"/>
        <v>6410</v>
      </c>
      <c r="U10" s="823">
        <f>'[14]FY2012-13 Final'!K13*90%</f>
        <v>3221.1</v>
      </c>
      <c r="V10" s="824">
        <f t="shared" si="31"/>
        <v>48316.5</v>
      </c>
      <c r="W10" s="1489">
        <f>'[20]Oct midyear LA Virtual Admy'!E9</f>
        <v>5</v>
      </c>
      <c r="X10" s="824">
        <f t="shared" si="43"/>
        <v>16105.5</v>
      </c>
      <c r="Y10" s="1489">
        <f>'[20]Feb midyear LA Virtual Admy'!E9</f>
        <v>-3</v>
      </c>
      <c r="Z10" s="824">
        <f t="shared" si="44"/>
        <v>-4831.6499999999996</v>
      </c>
      <c r="AA10" s="824">
        <f t="shared" si="45"/>
        <v>11273.85</v>
      </c>
      <c r="AB10" s="824">
        <f t="shared" si="46"/>
        <v>59590.35</v>
      </c>
      <c r="AC10" s="824">
        <f t="shared" si="47"/>
        <v>-149</v>
      </c>
      <c r="AD10" s="824">
        <f t="shared" si="48"/>
        <v>59441.35</v>
      </c>
      <c r="AE10" s="823">
        <f>'[23]Oct midyear adj_LA virtual'!$P11</f>
        <v>0</v>
      </c>
      <c r="AF10" s="850">
        <f t="shared" si="49"/>
        <v>59441.35</v>
      </c>
      <c r="AG10" s="850">
        <f>3850+6650+6034+6034+6034+4715+4715+4715+4161+4161</f>
        <v>51069</v>
      </c>
      <c r="AH10" s="850">
        <f t="shared" si="50"/>
        <v>8372.3499999999985</v>
      </c>
      <c r="AI10" s="850">
        <f t="shared" si="51"/>
        <v>4186</v>
      </c>
      <c r="AJ10" s="825">
        <f t="shared" si="32"/>
        <v>160680.25756357436</v>
      </c>
      <c r="AK10" s="825">
        <f t="shared" si="33"/>
        <v>10596</v>
      </c>
      <c r="AM10" s="1543">
        <v>-116</v>
      </c>
      <c r="AN10" s="1543">
        <v>-33</v>
      </c>
      <c r="AP10" s="1543">
        <f t="shared" si="52"/>
        <v>0</v>
      </c>
    </row>
    <row r="11" spans="1:42" s="553" customFormat="1" ht="17.25" customHeight="1">
      <c r="A11" s="103">
        <v>7</v>
      </c>
      <c r="B11" s="805" t="s">
        <v>108</v>
      </c>
      <c r="C11" s="826">
        <f>'Table 8 2.1.12 MFP Funded'!U10</f>
        <v>5</v>
      </c>
      <c r="D11" s="827">
        <f>'Table 3 Levels 1&amp;2'!AL14*90%</f>
        <v>1395.481244364292</v>
      </c>
      <c r="E11" s="827">
        <f t="shared" si="34"/>
        <v>6977.4062218214603</v>
      </c>
      <c r="F11" s="828">
        <f>'Table 4 Level 3'!P12*90%</f>
        <v>681.22799999999984</v>
      </c>
      <c r="G11" s="828">
        <f t="shared" si="35"/>
        <v>3406.1399999999994</v>
      </c>
      <c r="H11" s="828">
        <f t="shared" si="36"/>
        <v>10383.54622182146</v>
      </c>
      <c r="I11" s="828">
        <f>(('Table 3 Levels 1&amp;2'!AL14-D11)*C11)</f>
        <v>775.26735798016261</v>
      </c>
      <c r="J11" s="828">
        <f>'[1]Oct midyear LA Virtual Admy'!K10</f>
        <v>4153.4184887285837</v>
      </c>
      <c r="K11" s="828">
        <f>'[1]Feb midyear LA Virtual Admy'!K10</f>
        <v>-3115.0638665464376</v>
      </c>
      <c r="L11" s="828">
        <f t="shared" si="37"/>
        <v>1038.3546221821462</v>
      </c>
      <c r="M11" s="828">
        <f t="shared" si="38"/>
        <v>11421.900844003605</v>
      </c>
      <c r="N11" s="828">
        <f t="shared" si="39"/>
        <v>-29</v>
      </c>
      <c r="O11" s="829">
        <f t="shared" si="30"/>
        <v>11392.900844003605</v>
      </c>
      <c r="P11" s="829">
        <f>'[23]Oct midyear adj_LA virtual'!$M12</f>
        <v>0</v>
      </c>
      <c r="Q11" s="830">
        <f t="shared" si="40"/>
        <v>11392.900844003605</v>
      </c>
      <c r="R11" s="830">
        <f>861+1048+842+842+842+1432+1432+1432+657+657</f>
        <v>10045</v>
      </c>
      <c r="S11" s="830">
        <f t="shared" si="41"/>
        <v>1347.900844003605</v>
      </c>
      <c r="T11" s="830">
        <f t="shared" si="42"/>
        <v>674</v>
      </c>
      <c r="U11" s="831">
        <f>'[14]FY2012-13 Final'!K14*90%</f>
        <v>11234.7</v>
      </c>
      <c r="V11" s="832">
        <f t="shared" si="31"/>
        <v>56173.5</v>
      </c>
      <c r="W11" s="1490">
        <f>'[20]Oct midyear LA Virtual Admy'!E10</f>
        <v>2</v>
      </c>
      <c r="X11" s="832">
        <f t="shared" si="43"/>
        <v>22469.4</v>
      </c>
      <c r="Y11" s="1490">
        <f>'[20]Feb midyear LA Virtual Admy'!E10</f>
        <v>-3</v>
      </c>
      <c r="Z11" s="832">
        <f t="shared" si="44"/>
        <v>-16852.050000000003</v>
      </c>
      <c r="AA11" s="832">
        <f t="shared" si="45"/>
        <v>5617.3499999999985</v>
      </c>
      <c r="AB11" s="832">
        <f t="shared" si="46"/>
        <v>61790.85</v>
      </c>
      <c r="AC11" s="832">
        <f t="shared" si="47"/>
        <v>-154</v>
      </c>
      <c r="AD11" s="832">
        <f t="shared" si="48"/>
        <v>61636.85</v>
      </c>
      <c r="AE11" s="831">
        <f>'[23]Oct midyear adj_LA virtual'!$P12</f>
        <v>0</v>
      </c>
      <c r="AF11" s="851">
        <f t="shared" si="49"/>
        <v>61636.85</v>
      </c>
      <c r="AG11" s="851">
        <f>4853+5912+4747+4747+4747+8075+8075+8075+3079+3079</f>
        <v>55389</v>
      </c>
      <c r="AH11" s="851">
        <f t="shared" si="50"/>
        <v>6247.8499999999985</v>
      </c>
      <c r="AI11" s="851">
        <f t="shared" si="51"/>
        <v>3124</v>
      </c>
      <c r="AJ11" s="833">
        <f t="shared" si="32"/>
        <v>73029.750844003604</v>
      </c>
      <c r="AK11" s="833">
        <f t="shared" si="33"/>
        <v>3798</v>
      </c>
      <c r="AM11" s="1543">
        <v>-146</v>
      </c>
      <c r="AN11" s="1543">
        <v>-8</v>
      </c>
      <c r="AP11" s="1543">
        <f t="shared" si="52"/>
        <v>0</v>
      </c>
    </row>
    <row r="12" spans="1:42" s="553" customFormat="1" ht="17.25" customHeight="1">
      <c r="A12" s="103">
        <v>8</v>
      </c>
      <c r="B12" s="805" t="s">
        <v>109</v>
      </c>
      <c r="C12" s="826">
        <f>'Table 8 2.1.12 MFP Funded'!U11</f>
        <v>45</v>
      </c>
      <c r="D12" s="827">
        <f>'Table 3 Levels 1&amp;2'!AL15*90%</f>
        <v>3649.271352782549</v>
      </c>
      <c r="E12" s="827">
        <f t="shared" si="34"/>
        <v>164217.21087521472</v>
      </c>
      <c r="F12" s="828">
        <f>'Table 4 Level 3'!P13*90%</f>
        <v>653.18399999999997</v>
      </c>
      <c r="G12" s="828">
        <f t="shared" si="35"/>
        <v>29393.279999999999</v>
      </c>
      <c r="H12" s="828">
        <f t="shared" si="36"/>
        <v>193610.49087521472</v>
      </c>
      <c r="I12" s="828">
        <f>(('Table 3 Levels 1&amp;2'!AL15-D12)*C12)</f>
        <v>18246.35676391275</v>
      </c>
      <c r="J12" s="828">
        <f>'[1]Oct midyear LA Virtual Admy'!K11</f>
        <v>21512.276763912745</v>
      </c>
      <c r="K12" s="828">
        <f>'[1]Feb midyear LA Virtual Admy'!K11</f>
        <v>-32268.415145869119</v>
      </c>
      <c r="L12" s="828">
        <f t="shared" si="37"/>
        <v>-10756.138381956374</v>
      </c>
      <c r="M12" s="828">
        <f t="shared" si="38"/>
        <v>182854.35249325834</v>
      </c>
      <c r="N12" s="828">
        <f t="shared" si="39"/>
        <v>-457</v>
      </c>
      <c r="O12" s="829">
        <f t="shared" si="30"/>
        <v>182397.35249325834</v>
      </c>
      <c r="P12" s="829">
        <f>'[23]Oct midyear adj_LA virtual'!$M13</f>
        <v>-4254.3896558252454</v>
      </c>
      <c r="Q12" s="830">
        <f t="shared" si="40"/>
        <v>178142.96283743309</v>
      </c>
      <c r="R12" s="830">
        <f>15668+21882+18892+18892+18892+16450+16450+16450+8439+8439</f>
        <v>160454</v>
      </c>
      <c r="S12" s="830">
        <f t="shared" si="41"/>
        <v>17688.962837433093</v>
      </c>
      <c r="T12" s="830">
        <f t="shared" si="42"/>
        <v>8844</v>
      </c>
      <c r="U12" s="831">
        <f>'[14]FY2012-13 Final'!K15*90%</f>
        <v>3768.3</v>
      </c>
      <c r="V12" s="832">
        <f t="shared" si="31"/>
        <v>169573.5</v>
      </c>
      <c r="W12" s="1490">
        <f>'[20]Oct midyear LA Virtual Admy'!E11</f>
        <v>5</v>
      </c>
      <c r="X12" s="832">
        <f t="shared" si="43"/>
        <v>18841.5</v>
      </c>
      <c r="Y12" s="1490">
        <f>'[20]Feb midyear LA Virtual Admy'!E11</f>
        <v>-15</v>
      </c>
      <c r="Z12" s="832">
        <f t="shared" si="44"/>
        <v>-28262.25</v>
      </c>
      <c r="AA12" s="832">
        <f t="shared" si="45"/>
        <v>-9420.75</v>
      </c>
      <c r="AB12" s="832">
        <f t="shared" si="46"/>
        <v>160152.75</v>
      </c>
      <c r="AC12" s="832">
        <f t="shared" si="47"/>
        <v>-400</v>
      </c>
      <c r="AD12" s="832">
        <f t="shared" si="48"/>
        <v>159752.75</v>
      </c>
      <c r="AE12" s="831">
        <f>'[23]Oct midyear adj_LA virtual'!$P13</f>
        <v>-3858.3</v>
      </c>
      <c r="AF12" s="851">
        <f t="shared" si="49"/>
        <v>155894.45000000001</v>
      </c>
      <c r="AG12" s="851">
        <f>13932+19461+16801+16801+16801+14629+14629+14629+7024+7024</f>
        <v>141731</v>
      </c>
      <c r="AH12" s="851">
        <f t="shared" si="50"/>
        <v>14163.450000000012</v>
      </c>
      <c r="AI12" s="851">
        <f t="shared" si="51"/>
        <v>7082</v>
      </c>
      <c r="AJ12" s="833">
        <f t="shared" si="32"/>
        <v>334037.4128374331</v>
      </c>
      <c r="AK12" s="833">
        <f t="shared" si="33"/>
        <v>15926</v>
      </c>
      <c r="AM12" s="1543">
        <v>-429</v>
      </c>
      <c r="AN12" s="1543">
        <v>29</v>
      </c>
      <c r="AP12" s="1543">
        <f t="shared" si="52"/>
        <v>0</v>
      </c>
    </row>
    <row r="13" spans="1:42" s="553" customFormat="1" ht="17.25" customHeight="1">
      <c r="A13" s="103">
        <v>9</v>
      </c>
      <c r="B13" s="805" t="s">
        <v>110</v>
      </c>
      <c r="C13" s="826">
        <f>'Table 8 2.1.12 MFP Funded'!U12</f>
        <v>93</v>
      </c>
      <c r="D13" s="827">
        <f>'Table 3 Levels 1&amp;2'!AL16*90%</f>
        <v>3858.4089252133217</v>
      </c>
      <c r="E13" s="827">
        <f t="shared" si="34"/>
        <v>358832.0300448389</v>
      </c>
      <c r="F13" s="828">
        <f>'Table 4 Level 3'!P14*90%</f>
        <v>670.28399999999999</v>
      </c>
      <c r="G13" s="828">
        <f t="shared" si="35"/>
        <v>62336.411999999997</v>
      </c>
      <c r="H13" s="828">
        <f t="shared" si="36"/>
        <v>421168.44204483891</v>
      </c>
      <c r="I13" s="828">
        <f>(('Table 3 Levels 1&amp;2'!AL16-D13)*C13)</f>
        <v>39870.225560537627</v>
      </c>
      <c r="J13" s="828">
        <f>'[1]Oct midyear LA Virtual Admy'!K12</f>
        <v>18114.771700853285</v>
      </c>
      <c r="K13" s="828">
        <f>'[1]Feb midyear LA Virtual Admy'!K12</f>
        <v>-22643.464626066605</v>
      </c>
      <c r="L13" s="828">
        <f t="shared" si="37"/>
        <v>-4528.6929252133195</v>
      </c>
      <c r="M13" s="828">
        <f t="shared" si="38"/>
        <v>416639.7491196256</v>
      </c>
      <c r="N13" s="828">
        <f t="shared" si="39"/>
        <v>-1042</v>
      </c>
      <c r="O13" s="829">
        <f t="shared" si="30"/>
        <v>415597.7491196256</v>
      </c>
      <c r="P13" s="829">
        <f>'[23]Oct midyear adj_LA virtual'!$M14</f>
        <v>-4616.7041542979059</v>
      </c>
      <c r="Q13" s="830">
        <f t="shared" si="40"/>
        <v>410981.04496532772</v>
      </c>
      <c r="R13" s="830">
        <f>34494+41449+46850+46850+46850+30777+30777+30777+25151+25151</f>
        <v>359126</v>
      </c>
      <c r="S13" s="830">
        <f t="shared" si="41"/>
        <v>51855.044965327717</v>
      </c>
      <c r="T13" s="830">
        <f t="shared" si="42"/>
        <v>25928</v>
      </c>
      <c r="U13" s="831">
        <f>'[14]FY2012-13 Final'!K16*90%</f>
        <v>4184.1000000000004</v>
      </c>
      <c r="V13" s="832">
        <f t="shared" si="31"/>
        <v>389121.30000000005</v>
      </c>
      <c r="W13" s="1490">
        <f>'[20]Oct midyear LA Virtual Admy'!E12</f>
        <v>4</v>
      </c>
      <c r="X13" s="832">
        <f t="shared" si="43"/>
        <v>16736.400000000001</v>
      </c>
      <c r="Y13" s="1490">
        <f>'[20]Feb midyear LA Virtual Admy'!E12</f>
        <v>-10</v>
      </c>
      <c r="Z13" s="832">
        <f t="shared" si="44"/>
        <v>-20920.5</v>
      </c>
      <c r="AA13" s="832">
        <f t="shared" si="45"/>
        <v>-4184.0999999999985</v>
      </c>
      <c r="AB13" s="832">
        <f t="shared" si="46"/>
        <v>384937.20000000007</v>
      </c>
      <c r="AC13" s="832">
        <f t="shared" si="47"/>
        <v>-962</v>
      </c>
      <c r="AD13" s="832">
        <f t="shared" si="48"/>
        <v>383975.20000000007</v>
      </c>
      <c r="AE13" s="831">
        <f>'[23]Oct midyear adj_LA virtual'!$P14</f>
        <v>-4122</v>
      </c>
      <c r="AF13" s="851">
        <f t="shared" si="49"/>
        <v>379853.20000000007</v>
      </c>
      <c r="AG13" s="851">
        <f>31237+37534+42424+42424+42424+27871+27871+27871+24864+24864</f>
        <v>329384</v>
      </c>
      <c r="AH13" s="851">
        <f t="shared" si="50"/>
        <v>50469.20000000007</v>
      </c>
      <c r="AI13" s="851">
        <f t="shared" si="51"/>
        <v>25235</v>
      </c>
      <c r="AJ13" s="833">
        <f t="shared" si="32"/>
        <v>790834.24496532779</v>
      </c>
      <c r="AK13" s="833">
        <f t="shared" si="33"/>
        <v>51163</v>
      </c>
      <c r="AM13" s="1543">
        <v>-950</v>
      </c>
      <c r="AN13" s="1543">
        <v>-10</v>
      </c>
      <c r="AP13" s="1543">
        <f t="shared" si="52"/>
        <v>-2</v>
      </c>
    </row>
    <row r="14" spans="1:42" s="553" customFormat="1" ht="17.25" customHeight="1">
      <c r="A14" s="104">
        <v>10</v>
      </c>
      <c r="B14" s="806" t="s">
        <v>111</v>
      </c>
      <c r="C14" s="834">
        <f>'Table 8 2.1.12 MFP Funded'!U13</f>
        <v>62</v>
      </c>
      <c r="D14" s="835">
        <f>'Table 3 Levels 1&amp;2'!AL17*90%</f>
        <v>3888.1604468632572</v>
      </c>
      <c r="E14" s="835">
        <f t="shared" si="34"/>
        <v>241065.94770552195</v>
      </c>
      <c r="F14" s="836">
        <f>'Table 4 Level 3'!P15*90%</f>
        <v>547.2360000000001</v>
      </c>
      <c r="G14" s="836">
        <f t="shared" si="35"/>
        <v>33928.632000000005</v>
      </c>
      <c r="H14" s="836">
        <f t="shared" si="36"/>
        <v>274994.57970552193</v>
      </c>
      <c r="I14" s="836">
        <f>(('Table 3 Levels 1&amp;2'!AL17-D14)*C14)</f>
        <v>26785.105300613544</v>
      </c>
      <c r="J14" s="836">
        <f>'[1]Oct midyear LA Virtual Admy'!K13</f>
        <v>-8870.7928937265151</v>
      </c>
      <c r="K14" s="836">
        <f>'[1]Feb midyear LA Virtual Admy'!K13</f>
        <v>-6653.0946702948859</v>
      </c>
      <c r="L14" s="836">
        <f t="shared" si="37"/>
        <v>-15523.887564021401</v>
      </c>
      <c r="M14" s="836">
        <f t="shared" si="38"/>
        <v>259470.69214150053</v>
      </c>
      <c r="N14" s="836">
        <f t="shared" si="39"/>
        <v>-649</v>
      </c>
      <c r="O14" s="837">
        <f t="shared" si="30"/>
        <v>258821.69214150053</v>
      </c>
      <c r="P14" s="837">
        <f>'[23]Oct midyear adj_LA virtual'!$M15</f>
        <v>0</v>
      </c>
      <c r="Q14" s="838">
        <f t="shared" si="40"/>
        <v>258821.69214150053</v>
      </c>
      <c r="R14" s="838">
        <f>22766+29575+29575+29575+29575+17616+17616+17616+15963+15963</f>
        <v>225840</v>
      </c>
      <c r="S14" s="838">
        <f t="shared" si="41"/>
        <v>32981.692141500534</v>
      </c>
      <c r="T14" s="838">
        <f t="shared" si="42"/>
        <v>16491</v>
      </c>
      <c r="U14" s="839">
        <f>'[14]FY2012-13 Final'!K17*90%</f>
        <v>3955.5</v>
      </c>
      <c r="V14" s="840">
        <f t="shared" si="31"/>
        <v>245241</v>
      </c>
      <c r="W14" s="1491">
        <f>'[20]Oct midyear LA Virtual Admy'!E13</f>
        <v>-2</v>
      </c>
      <c r="X14" s="840">
        <f t="shared" si="43"/>
        <v>-7911</v>
      </c>
      <c r="Y14" s="1491">
        <f>'[20]Feb midyear LA Virtual Admy'!E13</f>
        <v>-3</v>
      </c>
      <c r="Z14" s="840">
        <f t="shared" si="44"/>
        <v>-5933.25</v>
      </c>
      <c r="AA14" s="840">
        <f t="shared" si="45"/>
        <v>-13844.25</v>
      </c>
      <c r="AB14" s="840">
        <f t="shared" si="46"/>
        <v>231396.75</v>
      </c>
      <c r="AC14" s="840">
        <f t="shared" si="47"/>
        <v>-578</v>
      </c>
      <c r="AD14" s="840">
        <f t="shared" si="48"/>
        <v>230818.75</v>
      </c>
      <c r="AE14" s="839">
        <f>'[23]Oct midyear adj_LA virtual'!$P15</f>
        <v>0</v>
      </c>
      <c r="AF14" s="852">
        <f t="shared" si="49"/>
        <v>230818.75</v>
      </c>
      <c r="AG14" s="852">
        <f>20001+25983+25983+25983+25983+15476+15476+15476+15062+15062</f>
        <v>200485</v>
      </c>
      <c r="AH14" s="852">
        <f t="shared" si="50"/>
        <v>30333.75</v>
      </c>
      <c r="AI14" s="852">
        <f t="shared" si="51"/>
        <v>15167</v>
      </c>
      <c r="AJ14" s="841">
        <f t="shared" si="32"/>
        <v>489640.44214150053</v>
      </c>
      <c r="AK14" s="841">
        <f t="shared" si="33"/>
        <v>31658</v>
      </c>
      <c r="AM14" s="1543">
        <v>-602</v>
      </c>
      <c r="AN14" s="1543">
        <v>24</v>
      </c>
      <c r="AP14" s="1543">
        <f t="shared" si="52"/>
        <v>0</v>
      </c>
    </row>
    <row r="15" spans="1:42" s="553" customFormat="1" ht="17.25" customHeight="1">
      <c r="A15" s="103">
        <v>11</v>
      </c>
      <c r="B15" s="805" t="s">
        <v>112</v>
      </c>
      <c r="C15" s="818">
        <f>'Table 8 2.1.12 MFP Funded'!U14</f>
        <v>3</v>
      </c>
      <c r="D15" s="819">
        <f>'Table 3 Levels 1&amp;2'!AL18*90%</f>
        <v>6079.4053058377149</v>
      </c>
      <c r="E15" s="819">
        <f t="shared" si="34"/>
        <v>18238.215917513146</v>
      </c>
      <c r="F15" s="820">
        <f>'Table 4 Level 3'!P16*90%</f>
        <v>635.89499999999998</v>
      </c>
      <c r="G15" s="820">
        <f t="shared" si="35"/>
        <v>1907.6849999999999</v>
      </c>
      <c r="H15" s="820">
        <f t="shared" si="36"/>
        <v>20145.900917513147</v>
      </c>
      <c r="I15" s="820">
        <f>(('Table 3 Levels 1&amp;2'!AL18-D15)*C15)</f>
        <v>2026.4684352792374</v>
      </c>
      <c r="J15" s="820">
        <f>'[1]Oct midyear LA Virtual Admy'!K14</f>
        <v>33576.501529188572</v>
      </c>
      <c r="K15" s="820">
        <f>'[1]Feb midyear LA Virtual Admy'!K14</f>
        <v>-3357.6501529188572</v>
      </c>
      <c r="L15" s="820">
        <f t="shared" si="37"/>
        <v>30218.851376269715</v>
      </c>
      <c r="M15" s="820">
        <f t="shared" si="38"/>
        <v>50364.752293782862</v>
      </c>
      <c r="N15" s="820">
        <f t="shared" si="39"/>
        <v>-126</v>
      </c>
      <c r="O15" s="821">
        <f t="shared" si="30"/>
        <v>50238.752293782862</v>
      </c>
      <c r="P15" s="821">
        <f>'[23]Oct midyear adj_LA virtual'!$M16</f>
        <v>0</v>
      </c>
      <c r="Q15" s="822">
        <f t="shared" si="40"/>
        <v>50238.752293782862</v>
      </c>
      <c r="R15" s="822">
        <f>1671+5926+4589+4589+4589+4588+4588+4588+3753+3753</f>
        <v>42634</v>
      </c>
      <c r="S15" s="822">
        <f t="shared" si="41"/>
        <v>7604.7522937828617</v>
      </c>
      <c r="T15" s="822">
        <f t="shared" si="42"/>
        <v>3802</v>
      </c>
      <c r="U15" s="823">
        <f>'[14]FY2012-13 Final'!K18*90%</f>
        <v>3105</v>
      </c>
      <c r="V15" s="824">
        <f t="shared" si="31"/>
        <v>9315</v>
      </c>
      <c r="W15" s="1489">
        <f>'[20]Oct midyear LA Virtual Admy'!E14</f>
        <v>5</v>
      </c>
      <c r="X15" s="824">
        <f t="shared" si="43"/>
        <v>15525</v>
      </c>
      <c r="Y15" s="1489">
        <f>'[20]Feb midyear LA Virtual Admy'!E14</f>
        <v>-1</v>
      </c>
      <c r="Z15" s="824">
        <f t="shared" si="44"/>
        <v>-1552.5</v>
      </c>
      <c r="AA15" s="824">
        <f t="shared" si="45"/>
        <v>13972.5</v>
      </c>
      <c r="AB15" s="824">
        <f t="shared" si="46"/>
        <v>23287.5</v>
      </c>
      <c r="AC15" s="824">
        <f t="shared" si="47"/>
        <v>-58</v>
      </c>
      <c r="AD15" s="824">
        <f t="shared" si="48"/>
        <v>23229.5</v>
      </c>
      <c r="AE15" s="823">
        <f>'[23]Oct midyear adj_LA virtual'!$P16</f>
        <v>0</v>
      </c>
      <c r="AF15" s="850">
        <f t="shared" si="49"/>
        <v>23229.5</v>
      </c>
      <c r="AG15" s="850">
        <f>674+2390+1851+1851+1851+1851+1851+1851+2231+2231</f>
        <v>18632</v>
      </c>
      <c r="AH15" s="850">
        <f t="shared" si="50"/>
        <v>4597.5</v>
      </c>
      <c r="AI15" s="850">
        <f t="shared" si="51"/>
        <v>2299</v>
      </c>
      <c r="AJ15" s="825">
        <f t="shared" si="32"/>
        <v>73468.252293782862</v>
      </c>
      <c r="AK15" s="825">
        <f t="shared" si="33"/>
        <v>6101</v>
      </c>
      <c r="AM15" s="1543">
        <v>-20</v>
      </c>
      <c r="AN15" s="1543">
        <v>-38</v>
      </c>
      <c r="AP15" s="1543">
        <f t="shared" si="52"/>
        <v>0</v>
      </c>
    </row>
    <row r="16" spans="1:42" s="553" customFormat="1" ht="17.25" customHeight="1">
      <c r="A16" s="103">
        <v>12</v>
      </c>
      <c r="B16" s="805" t="s">
        <v>113</v>
      </c>
      <c r="C16" s="826">
        <f>'Table 8 2.1.12 MFP Funded'!U15</f>
        <v>0</v>
      </c>
      <c r="D16" s="827">
        <f>'Table 3 Levels 1&amp;2'!AL19*90%</f>
        <v>1627.188612244898</v>
      </c>
      <c r="E16" s="827">
        <f t="shared" si="34"/>
        <v>0</v>
      </c>
      <c r="F16" s="828">
        <f>'Table 4 Level 3'!P17*90%</f>
        <v>956.97899999999993</v>
      </c>
      <c r="G16" s="828">
        <f t="shared" si="35"/>
        <v>0</v>
      </c>
      <c r="H16" s="828">
        <f t="shared" si="36"/>
        <v>0</v>
      </c>
      <c r="I16" s="828">
        <f>(('Table 3 Levels 1&amp;2'!AL19-D16)*C16)</f>
        <v>0</v>
      </c>
      <c r="J16" s="828">
        <f>'[1]Oct midyear LA Virtual Admy'!K15</f>
        <v>0</v>
      </c>
      <c r="K16" s="828">
        <f>'[1]Feb midyear LA Virtual Admy'!K15</f>
        <v>0</v>
      </c>
      <c r="L16" s="828">
        <f t="shared" si="37"/>
        <v>0</v>
      </c>
      <c r="M16" s="828">
        <f t="shared" si="38"/>
        <v>0</v>
      </c>
      <c r="N16" s="828">
        <f t="shared" si="39"/>
        <v>0</v>
      </c>
      <c r="O16" s="829">
        <f t="shared" si="30"/>
        <v>0</v>
      </c>
      <c r="P16" s="829">
        <f>'[23]Oct midyear adj_LA virtual'!$M17</f>
        <v>0</v>
      </c>
      <c r="Q16" s="830">
        <f t="shared" si="40"/>
        <v>0</v>
      </c>
      <c r="R16" s="830">
        <v>0</v>
      </c>
      <c r="S16" s="830">
        <f t="shared" si="41"/>
        <v>0</v>
      </c>
      <c r="T16" s="830">
        <f t="shared" si="42"/>
        <v>0</v>
      </c>
      <c r="U16" s="831">
        <f>'[14]FY2012-13 Final'!K19*90%</f>
        <v>11304.9</v>
      </c>
      <c r="V16" s="832">
        <f t="shared" si="31"/>
        <v>0</v>
      </c>
      <c r="W16" s="1490">
        <f>'[20]Oct midyear LA Virtual Admy'!E15</f>
        <v>0</v>
      </c>
      <c r="X16" s="832">
        <f t="shared" si="43"/>
        <v>0</v>
      </c>
      <c r="Y16" s="1490">
        <f>'[20]Feb midyear LA Virtual Admy'!E15</f>
        <v>0</v>
      </c>
      <c r="Z16" s="832">
        <f t="shared" si="44"/>
        <v>0</v>
      </c>
      <c r="AA16" s="832">
        <f t="shared" si="45"/>
        <v>0</v>
      </c>
      <c r="AB16" s="832">
        <f t="shared" si="46"/>
        <v>0</v>
      </c>
      <c r="AC16" s="832">
        <f t="shared" si="47"/>
        <v>0</v>
      </c>
      <c r="AD16" s="832">
        <f t="shared" si="48"/>
        <v>0</v>
      </c>
      <c r="AE16" s="831">
        <f>'[23]Oct midyear adj_LA virtual'!$P17</f>
        <v>0</v>
      </c>
      <c r="AF16" s="851">
        <f t="shared" si="49"/>
        <v>0</v>
      </c>
      <c r="AG16" s="851">
        <v>0</v>
      </c>
      <c r="AH16" s="851">
        <f t="shared" si="50"/>
        <v>0</v>
      </c>
      <c r="AI16" s="851">
        <f t="shared" si="51"/>
        <v>0</v>
      </c>
      <c r="AJ16" s="833">
        <f t="shared" si="32"/>
        <v>0</v>
      </c>
      <c r="AK16" s="833">
        <f t="shared" si="33"/>
        <v>0</v>
      </c>
      <c r="AM16" s="1543">
        <v>0</v>
      </c>
      <c r="AN16" s="1543">
        <v>0</v>
      </c>
      <c r="AP16" s="1543">
        <f t="shared" si="52"/>
        <v>0</v>
      </c>
    </row>
    <row r="17" spans="1:42" s="553" customFormat="1" ht="17.25" customHeight="1">
      <c r="A17" s="103">
        <v>13</v>
      </c>
      <c r="B17" s="805" t="s">
        <v>114</v>
      </c>
      <c r="C17" s="826">
        <f>'Table 8 2.1.12 MFP Funded'!U16</f>
        <v>6</v>
      </c>
      <c r="D17" s="827">
        <f>'Table 3 Levels 1&amp;2'!AL20*90%</f>
        <v>5529.1600185701118</v>
      </c>
      <c r="E17" s="827">
        <f t="shared" si="34"/>
        <v>33174.960111420674</v>
      </c>
      <c r="F17" s="828">
        <f>'Table 4 Level 3'!P18*90%</f>
        <v>674.48700000000008</v>
      </c>
      <c r="G17" s="828">
        <f t="shared" si="35"/>
        <v>4046.9220000000005</v>
      </c>
      <c r="H17" s="828">
        <f t="shared" si="36"/>
        <v>37221.882111420673</v>
      </c>
      <c r="I17" s="828">
        <f>(('Table 3 Levels 1&amp;2'!AL20-D17)*C17)</f>
        <v>3686.106679046743</v>
      </c>
      <c r="J17" s="828">
        <f>'[1]Oct midyear LA Virtual Admy'!K16</f>
        <v>24814.588074280447</v>
      </c>
      <c r="K17" s="828">
        <f>'[1]Feb midyear LA Virtual Admy'!K16</f>
        <v>0</v>
      </c>
      <c r="L17" s="828">
        <f t="shared" si="37"/>
        <v>24814.588074280447</v>
      </c>
      <c r="M17" s="828">
        <f t="shared" si="38"/>
        <v>62036.470185701124</v>
      </c>
      <c r="N17" s="828">
        <f t="shared" si="39"/>
        <v>-155</v>
      </c>
      <c r="O17" s="829">
        <f t="shared" si="30"/>
        <v>61881.470185701124</v>
      </c>
      <c r="P17" s="829">
        <f>'[23]Oct midyear adj_LA virtual'!$M18</f>
        <v>0</v>
      </c>
      <c r="Q17" s="830">
        <f t="shared" si="40"/>
        <v>61881.470185701124</v>
      </c>
      <c r="R17" s="830">
        <f>3086+5330+4713+4713+4713+5595+5595+5595+5595+5595</f>
        <v>50530</v>
      </c>
      <c r="S17" s="830">
        <f t="shared" si="41"/>
        <v>11351.470185701124</v>
      </c>
      <c r="T17" s="830">
        <f t="shared" si="42"/>
        <v>5676</v>
      </c>
      <c r="U17" s="831">
        <f>'[14]FY2012-13 Final'!K20*90%</f>
        <v>2284.2000000000003</v>
      </c>
      <c r="V17" s="832">
        <f t="shared" si="31"/>
        <v>13705.2</v>
      </c>
      <c r="W17" s="1490">
        <f>'[20]Oct midyear LA Virtual Admy'!E16</f>
        <v>4</v>
      </c>
      <c r="X17" s="832">
        <f t="shared" si="43"/>
        <v>9136.8000000000011</v>
      </c>
      <c r="Y17" s="1490">
        <f>'[20]Feb midyear LA Virtual Admy'!E16</f>
        <v>0</v>
      </c>
      <c r="Z17" s="832">
        <f t="shared" si="44"/>
        <v>0</v>
      </c>
      <c r="AA17" s="832">
        <f t="shared" si="45"/>
        <v>9136.8000000000011</v>
      </c>
      <c r="AB17" s="832">
        <f t="shared" si="46"/>
        <v>22842</v>
      </c>
      <c r="AC17" s="832">
        <f t="shared" si="47"/>
        <v>-57</v>
      </c>
      <c r="AD17" s="832">
        <f t="shared" si="48"/>
        <v>22785</v>
      </c>
      <c r="AE17" s="831">
        <f>'[23]Oct midyear adj_LA virtual'!$P18</f>
        <v>0</v>
      </c>
      <c r="AF17" s="851">
        <f t="shared" si="49"/>
        <v>22785</v>
      </c>
      <c r="AG17" s="851">
        <f>1130+1952+1726+1726+1726+2049+2049+2049+2090+2090</f>
        <v>18587</v>
      </c>
      <c r="AH17" s="851">
        <f t="shared" si="50"/>
        <v>4198</v>
      </c>
      <c r="AI17" s="851">
        <f t="shared" si="51"/>
        <v>2099</v>
      </c>
      <c r="AJ17" s="833">
        <f t="shared" si="32"/>
        <v>84666.470185701124</v>
      </c>
      <c r="AK17" s="833">
        <f t="shared" si="33"/>
        <v>7775</v>
      </c>
      <c r="AM17" s="1543">
        <v>-34</v>
      </c>
      <c r="AN17" s="1543">
        <v>-23</v>
      </c>
      <c r="AP17" s="1543">
        <f t="shared" si="52"/>
        <v>0</v>
      </c>
    </row>
    <row r="18" spans="1:42" s="553" customFormat="1" ht="17.25" customHeight="1">
      <c r="A18" s="103">
        <v>14</v>
      </c>
      <c r="B18" s="805" t="s">
        <v>115</v>
      </c>
      <c r="C18" s="826">
        <f>'Table 8 2.1.12 MFP Funded'!U17</f>
        <v>3</v>
      </c>
      <c r="D18" s="827">
        <f>'Table 3 Levels 1&amp;2'!AL21*90%</f>
        <v>4774.1048259775289</v>
      </c>
      <c r="E18" s="827">
        <f t="shared" si="34"/>
        <v>14322.314477932587</v>
      </c>
      <c r="F18" s="828">
        <f>'Table 4 Level 3'!P19*90%</f>
        <v>728.98199999999997</v>
      </c>
      <c r="G18" s="828">
        <f t="shared" si="35"/>
        <v>2186.9459999999999</v>
      </c>
      <c r="H18" s="828">
        <f t="shared" si="36"/>
        <v>16509.260477932585</v>
      </c>
      <c r="I18" s="828">
        <f>(('Table 3 Levels 1&amp;2'!AL21-D18)*C18)</f>
        <v>1591.3682753258418</v>
      </c>
      <c r="J18" s="828">
        <f>'[1]Oct midyear LA Virtual Admy'!K17</f>
        <v>-5503.0868259775289</v>
      </c>
      <c r="K18" s="828">
        <f>'[1]Feb midyear LA Virtual Admy'!K17</f>
        <v>-2751.5434129887644</v>
      </c>
      <c r="L18" s="828">
        <f t="shared" si="37"/>
        <v>-8254.6302389662924</v>
      </c>
      <c r="M18" s="828">
        <f t="shared" si="38"/>
        <v>8254.6302389662924</v>
      </c>
      <c r="N18" s="828">
        <f t="shared" si="39"/>
        <v>-21</v>
      </c>
      <c r="O18" s="829">
        <f t="shared" si="30"/>
        <v>8233.6302389662924</v>
      </c>
      <c r="P18" s="829">
        <f>'[23]Oct midyear adj_LA virtual'!$M19</f>
        <v>0</v>
      </c>
      <c r="Q18" s="830">
        <f t="shared" si="40"/>
        <v>8233.6302389662924</v>
      </c>
      <c r="R18" s="830">
        <f>1366+4845+4844+4844+4844-1402-1402-1402-2085-2085</f>
        <v>12367</v>
      </c>
      <c r="S18" s="830">
        <f t="shared" si="41"/>
        <v>-4133.3697610337076</v>
      </c>
      <c r="T18" s="830">
        <f t="shared" si="42"/>
        <v>-2067</v>
      </c>
      <c r="U18" s="831">
        <f>'[14]FY2012-13 Final'!K21*90%</f>
        <v>3501</v>
      </c>
      <c r="V18" s="832">
        <f t="shared" si="31"/>
        <v>10503</v>
      </c>
      <c r="W18" s="1490">
        <f>'[20]Oct midyear LA Virtual Admy'!E17</f>
        <v>-1</v>
      </c>
      <c r="X18" s="832">
        <f t="shared" si="43"/>
        <v>-3501</v>
      </c>
      <c r="Y18" s="1490">
        <f>'[20]Feb midyear LA Virtual Admy'!E17</f>
        <v>-1</v>
      </c>
      <c r="Z18" s="832">
        <f t="shared" si="44"/>
        <v>-1750.5</v>
      </c>
      <c r="AA18" s="832">
        <f t="shared" si="45"/>
        <v>-5251.5</v>
      </c>
      <c r="AB18" s="832">
        <f t="shared" si="46"/>
        <v>5251.5</v>
      </c>
      <c r="AC18" s="832">
        <f t="shared" si="47"/>
        <v>-13</v>
      </c>
      <c r="AD18" s="832">
        <f t="shared" si="48"/>
        <v>5238.5</v>
      </c>
      <c r="AE18" s="831">
        <f>'[23]Oct midyear adj_LA virtual'!$P19</f>
        <v>0</v>
      </c>
      <c r="AF18" s="851">
        <f t="shared" si="49"/>
        <v>5238.5</v>
      </c>
      <c r="AG18" s="851">
        <f>809+2869+2869+2869+2869-830-830-830-1140-1140</f>
        <v>7515</v>
      </c>
      <c r="AH18" s="851">
        <f t="shared" si="50"/>
        <v>-2276.5</v>
      </c>
      <c r="AI18" s="851">
        <f t="shared" si="51"/>
        <v>-1138</v>
      </c>
      <c r="AJ18" s="833">
        <f t="shared" si="32"/>
        <v>13472.130238966292</v>
      </c>
      <c r="AK18" s="833">
        <f t="shared" si="33"/>
        <v>-3205</v>
      </c>
      <c r="AM18" s="1543">
        <v>-24</v>
      </c>
      <c r="AN18" s="1543">
        <v>11</v>
      </c>
      <c r="AP18" s="1543">
        <f t="shared" si="52"/>
        <v>0</v>
      </c>
    </row>
    <row r="19" spans="1:42" s="553" customFormat="1" ht="17.25" customHeight="1">
      <c r="A19" s="104">
        <v>15</v>
      </c>
      <c r="B19" s="806" t="s">
        <v>116</v>
      </c>
      <c r="C19" s="834">
        <f>'Table 8 2.1.12 MFP Funded'!U18</f>
        <v>4</v>
      </c>
      <c r="D19" s="835">
        <f>'Table 3 Levels 1&amp;2'!AL22*90%</f>
        <v>4896.5930033627801</v>
      </c>
      <c r="E19" s="835">
        <f t="shared" si="34"/>
        <v>19586.37201345112</v>
      </c>
      <c r="F19" s="836">
        <f>'Table 4 Level 3'!P20*90%</f>
        <v>498.41999999999996</v>
      </c>
      <c r="G19" s="836">
        <f t="shared" si="35"/>
        <v>1993.6799999999998</v>
      </c>
      <c r="H19" s="836">
        <f t="shared" si="36"/>
        <v>21580.052013451121</v>
      </c>
      <c r="I19" s="836">
        <f>(('Table 3 Levels 1&amp;2'!AL22-D19)*C19)</f>
        <v>2176.2635570501225</v>
      </c>
      <c r="J19" s="836">
        <f>'[1]Oct midyear LA Virtual Admy'!K18</f>
        <v>10790.02600672556</v>
      </c>
      <c r="K19" s="836">
        <f>'[1]Feb midyear LA Virtual Admy'!K18</f>
        <v>-5395.0130033627802</v>
      </c>
      <c r="L19" s="836">
        <f t="shared" si="37"/>
        <v>5395.0130033627802</v>
      </c>
      <c r="M19" s="836">
        <f t="shared" si="38"/>
        <v>26975.0650168139</v>
      </c>
      <c r="N19" s="836">
        <f t="shared" si="39"/>
        <v>-67</v>
      </c>
      <c r="O19" s="837">
        <f t="shared" si="30"/>
        <v>26908.0650168139</v>
      </c>
      <c r="P19" s="837">
        <f>'[23]Oct midyear adj_LA virtual'!$M20</f>
        <v>0</v>
      </c>
      <c r="Q19" s="838">
        <f t="shared" si="40"/>
        <v>26908.0650168139</v>
      </c>
      <c r="R19" s="838">
        <f>1790+3743+3744+3744+3744+2209+2209+2209+866+866</f>
        <v>25124</v>
      </c>
      <c r="S19" s="838">
        <f t="shared" si="41"/>
        <v>1784.0650168139</v>
      </c>
      <c r="T19" s="838">
        <f t="shared" si="42"/>
        <v>892</v>
      </c>
      <c r="U19" s="839">
        <f>'[14]FY2012-13 Final'!K22*90%</f>
        <v>2476.8000000000002</v>
      </c>
      <c r="V19" s="840">
        <f t="shared" si="31"/>
        <v>9907.2000000000007</v>
      </c>
      <c r="W19" s="1491">
        <f>'[20]Oct midyear LA Virtual Admy'!E18</f>
        <v>2</v>
      </c>
      <c r="X19" s="840">
        <f t="shared" si="43"/>
        <v>4953.6000000000004</v>
      </c>
      <c r="Y19" s="1491">
        <f>'[20]Feb midyear LA Virtual Admy'!E18</f>
        <v>-2</v>
      </c>
      <c r="Z19" s="840">
        <f t="shared" si="44"/>
        <v>-2476.8000000000002</v>
      </c>
      <c r="AA19" s="840">
        <f t="shared" si="45"/>
        <v>2476.8000000000002</v>
      </c>
      <c r="AB19" s="840">
        <f t="shared" si="46"/>
        <v>12384</v>
      </c>
      <c r="AC19" s="840">
        <f t="shared" si="47"/>
        <v>-31</v>
      </c>
      <c r="AD19" s="840">
        <f t="shared" si="48"/>
        <v>12353</v>
      </c>
      <c r="AE19" s="839">
        <f>'[23]Oct midyear adj_LA virtual'!$P20</f>
        <v>0</v>
      </c>
      <c r="AF19" s="852">
        <f t="shared" si="49"/>
        <v>12353</v>
      </c>
      <c r="AG19" s="852">
        <f>782+1636+1636+1636+1636+965+965+965+533+533</f>
        <v>11287</v>
      </c>
      <c r="AH19" s="852">
        <f t="shared" si="50"/>
        <v>1066</v>
      </c>
      <c r="AI19" s="852">
        <f t="shared" si="51"/>
        <v>533</v>
      </c>
      <c r="AJ19" s="841">
        <f t="shared" si="32"/>
        <v>39261.065016813896</v>
      </c>
      <c r="AK19" s="841">
        <f t="shared" si="33"/>
        <v>1425</v>
      </c>
      <c r="AM19" s="1543">
        <v>-24</v>
      </c>
      <c r="AN19" s="1543">
        <v>-7</v>
      </c>
      <c r="AP19" s="1543">
        <f t="shared" si="52"/>
        <v>0</v>
      </c>
    </row>
    <row r="20" spans="1:42" s="553" customFormat="1" ht="17.25" customHeight="1">
      <c r="A20" s="103">
        <v>16</v>
      </c>
      <c r="B20" s="805" t="s">
        <v>117</v>
      </c>
      <c r="C20" s="818">
        <f>'Table 8 2.1.12 MFP Funded'!U19</f>
        <v>13</v>
      </c>
      <c r="D20" s="819">
        <f>'Table 3 Levels 1&amp;2'!AL23*90%</f>
        <v>1357.3892782536036</v>
      </c>
      <c r="E20" s="819">
        <f t="shared" si="34"/>
        <v>17646.060617296847</v>
      </c>
      <c r="F20" s="820">
        <f>'Table 4 Level 3'!P21*90%</f>
        <v>618.05700000000002</v>
      </c>
      <c r="G20" s="820">
        <f t="shared" si="35"/>
        <v>8034.741</v>
      </c>
      <c r="H20" s="820">
        <f t="shared" si="36"/>
        <v>25680.801617296849</v>
      </c>
      <c r="I20" s="820">
        <f>(('Table 3 Levels 1&amp;2'!AL23-D20)*C20)</f>
        <v>1960.6734019218709</v>
      </c>
      <c r="J20" s="820">
        <f>'[1]Oct midyear LA Virtual Admy'!K19</f>
        <v>7901.7851130144145</v>
      </c>
      <c r="K20" s="820">
        <f>'[1]Feb midyear LA Virtual Admy'!K19</f>
        <v>-5926.3388347608106</v>
      </c>
      <c r="L20" s="820">
        <f t="shared" si="37"/>
        <v>1975.4462782536039</v>
      </c>
      <c r="M20" s="820">
        <f t="shared" si="38"/>
        <v>27656.247895550452</v>
      </c>
      <c r="N20" s="820">
        <f t="shared" si="39"/>
        <v>-69</v>
      </c>
      <c r="O20" s="821">
        <f t="shared" si="30"/>
        <v>27587.247895550452</v>
      </c>
      <c r="P20" s="821">
        <f>'[23]Oct midyear adj_LA virtual'!$M21</f>
        <v>0</v>
      </c>
      <c r="Q20" s="822">
        <f t="shared" si="40"/>
        <v>27587.247895550452</v>
      </c>
      <c r="R20" s="822">
        <f>2128+2664+3449+3449+3449+2608+2608+2608+1134+1134</f>
        <v>25231</v>
      </c>
      <c r="S20" s="822">
        <f t="shared" si="41"/>
        <v>2356.2478955504521</v>
      </c>
      <c r="T20" s="822">
        <f t="shared" si="42"/>
        <v>1178</v>
      </c>
      <c r="U20" s="823">
        <f>'[14]FY2012-13 Final'!K23*90%</f>
        <v>13587.300000000001</v>
      </c>
      <c r="V20" s="824">
        <f t="shared" si="31"/>
        <v>176634.90000000002</v>
      </c>
      <c r="W20" s="1489">
        <f>'[20]Oct midyear LA Virtual Admy'!E19</f>
        <v>4</v>
      </c>
      <c r="X20" s="824">
        <f t="shared" si="43"/>
        <v>54349.200000000004</v>
      </c>
      <c r="Y20" s="1489">
        <f>'[20]Feb midyear LA Virtual Admy'!E19</f>
        <v>-6</v>
      </c>
      <c r="Z20" s="824">
        <f t="shared" si="44"/>
        <v>-40761.9</v>
      </c>
      <c r="AA20" s="824">
        <f t="shared" si="45"/>
        <v>13587.300000000003</v>
      </c>
      <c r="AB20" s="824">
        <f t="shared" si="46"/>
        <v>190222.2</v>
      </c>
      <c r="AC20" s="824">
        <f t="shared" si="47"/>
        <v>-476</v>
      </c>
      <c r="AD20" s="824">
        <f t="shared" si="48"/>
        <v>189746.2</v>
      </c>
      <c r="AE20" s="823">
        <f>'[23]Oct midyear adj_LA virtual'!$P21</f>
        <v>0</v>
      </c>
      <c r="AF20" s="850">
        <f t="shared" si="49"/>
        <v>189746.2</v>
      </c>
      <c r="AG20" s="850">
        <f>15567+19486+25234+25234+25234+19075+19075+19075+5426+5426</f>
        <v>178832</v>
      </c>
      <c r="AH20" s="850">
        <f t="shared" si="50"/>
        <v>10914.200000000012</v>
      </c>
      <c r="AI20" s="850">
        <f t="shared" si="51"/>
        <v>5457</v>
      </c>
      <c r="AJ20" s="825">
        <f t="shared" si="32"/>
        <v>217333.44789555046</v>
      </c>
      <c r="AK20" s="825">
        <f t="shared" si="33"/>
        <v>6635</v>
      </c>
      <c r="AM20" s="1543">
        <v>-468</v>
      </c>
      <c r="AN20" s="1543">
        <v>-7</v>
      </c>
      <c r="AP20" s="1543">
        <f t="shared" si="52"/>
        <v>-1</v>
      </c>
    </row>
    <row r="21" spans="1:42" s="553" customFormat="1" ht="17.25" customHeight="1">
      <c r="A21" s="103">
        <v>17</v>
      </c>
      <c r="B21" s="805" t="s">
        <v>118</v>
      </c>
      <c r="C21" s="826">
        <f>'Table 8 2.1.12 MFP Funded'!U20</f>
        <v>77</v>
      </c>
      <c r="D21" s="827">
        <f>'Table 3 Levels 1&amp;2'!AL24*90%</f>
        <v>3056.1520356966321</v>
      </c>
      <c r="E21" s="827">
        <f t="shared" si="34"/>
        <v>235323.70674864066</v>
      </c>
      <c r="F21" s="828">
        <f>'Table 5B2_RSD_LA'!F7*90%</f>
        <v>721.32986175126121</v>
      </c>
      <c r="G21" s="828">
        <f t="shared" si="35"/>
        <v>55542.399354847112</v>
      </c>
      <c r="H21" s="828">
        <f t="shared" si="36"/>
        <v>290866.10610348778</v>
      </c>
      <c r="I21" s="828">
        <f>(('Table 3 Levels 1&amp;2'!AL24-D21)*C21)</f>
        <v>26147.078527626734</v>
      </c>
      <c r="J21" s="828">
        <f>'[1]Oct midyear LA Virtual Admy'!K20</f>
        <v>15109.927589791572</v>
      </c>
      <c r="K21" s="828">
        <f>'[1]Feb midyear LA Virtual Admy'!K20</f>
        <v>-22664.891384687358</v>
      </c>
      <c r="L21" s="828">
        <f t="shared" si="37"/>
        <v>-7554.9637948957861</v>
      </c>
      <c r="M21" s="828">
        <f t="shared" si="38"/>
        <v>283311.14230859198</v>
      </c>
      <c r="N21" s="828">
        <f t="shared" si="39"/>
        <v>-708</v>
      </c>
      <c r="O21" s="829">
        <f t="shared" si="30"/>
        <v>282603.14230859198</v>
      </c>
      <c r="P21" s="829">
        <f>'[23]Oct midyear adj_LA virtual'!$M22</f>
        <v>0</v>
      </c>
      <c r="Q21" s="830">
        <f t="shared" si="40"/>
        <v>282603.14230859198</v>
      </c>
      <c r="R21" s="830">
        <f>24125+31303+30176+30176+30176+22656+22656+22656+17016+17016</f>
        <v>247956</v>
      </c>
      <c r="S21" s="830">
        <f t="shared" si="41"/>
        <v>34647.142308591981</v>
      </c>
      <c r="T21" s="830">
        <f t="shared" si="42"/>
        <v>17324</v>
      </c>
      <c r="U21" s="831">
        <f>'[14]FY2012-13 Final'!K24*90%</f>
        <v>5940.9000000000005</v>
      </c>
      <c r="V21" s="832">
        <f t="shared" si="31"/>
        <v>457449.30000000005</v>
      </c>
      <c r="W21" s="1490">
        <f>'[20]Oct midyear LA Virtual Admy'!E20</f>
        <v>4</v>
      </c>
      <c r="X21" s="832">
        <f t="shared" si="43"/>
        <v>23763.600000000002</v>
      </c>
      <c r="Y21" s="1490">
        <f>'[20]Feb midyear LA Virtual Admy'!E20</f>
        <v>-12</v>
      </c>
      <c r="Z21" s="832">
        <f t="shared" si="44"/>
        <v>-35645.4</v>
      </c>
      <c r="AA21" s="832">
        <f t="shared" si="45"/>
        <v>-11881.8</v>
      </c>
      <c r="AB21" s="832">
        <f t="shared" si="46"/>
        <v>445567.50000000006</v>
      </c>
      <c r="AC21" s="832">
        <f t="shared" si="47"/>
        <v>-1114</v>
      </c>
      <c r="AD21" s="832">
        <f t="shared" si="48"/>
        <v>444453.50000000006</v>
      </c>
      <c r="AE21" s="831">
        <f>'[23]Oct midyear adj_LA virtual'!$P22</f>
        <v>0</v>
      </c>
      <c r="AF21" s="851">
        <f t="shared" si="49"/>
        <v>444453.50000000006</v>
      </c>
      <c r="AG21" s="851">
        <f>37403+48532+46783+46783+46783+35125+35125+35125+27357+27357</f>
        <v>386373</v>
      </c>
      <c r="AH21" s="851">
        <f t="shared" si="50"/>
        <v>58080.500000000058</v>
      </c>
      <c r="AI21" s="851">
        <f t="shared" si="51"/>
        <v>29040</v>
      </c>
      <c r="AJ21" s="833">
        <f t="shared" si="32"/>
        <v>727056.6423085921</v>
      </c>
      <c r="AK21" s="833">
        <f t="shared" si="33"/>
        <v>46364</v>
      </c>
      <c r="AM21" s="1543">
        <v>-1125</v>
      </c>
      <c r="AN21" s="1543">
        <v>20</v>
      </c>
      <c r="AP21" s="1543">
        <f t="shared" si="52"/>
        <v>-9</v>
      </c>
    </row>
    <row r="22" spans="1:42" s="553" customFormat="1" ht="17.25" customHeight="1">
      <c r="A22" s="103">
        <v>18</v>
      </c>
      <c r="B22" s="805" t="s">
        <v>119</v>
      </c>
      <c r="C22" s="826">
        <f>'Table 8 2.1.12 MFP Funded'!U21</f>
        <v>1</v>
      </c>
      <c r="D22" s="827">
        <f>'Table 3 Levels 1&amp;2'!AL25*90%</f>
        <v>5230.7258932102213</v>
      </c>
      <c r="E22" s="827">
        <f t="shared" si="34"/>
        <v>5230.7258932102213</v>
      </c>
      <c r="F22" s="828">
        <f>'Table 4 Level 3'!P23*90%</f>
        <v>761.3549999999999</v>
      </c>
      <c r="G22" s="828">
        <f t="shared" si="35"/>
        <v>761.3549999999999</v>
      </c>
      <c r="H22" s="828">
        <f t="shared" si="36"/>
        <v>5992.0808932102209</v>
      </c>
      <c r="I22" s="828">
        <f>(('Table 3 Levels 1&amp;2'!AL25-D22)*C22)</f>
        <v>581.19176591224641</v>
      </c>
      <c r="J22" s="828">
        <f>'[1]Oct midyear LA Virtual Admy'!K21</f>
        <v>0</v>
      </c>
      <c r="K22" s="828">
        <f>'[1]Feb midyear LA Virtual Admy'!K21</f>
        <v>0</v>
      </c>
      <c r="L22" s="828">
        <f t="shared" si="37"/>
        <v>0</v>
      </c>
      <c r="M22" s="828">
        <f t="shared" si="38"/>
        <v>5992.0808932102209</v>
      </c>
      <c r="N22" s="828">
        <f t="shared" si="39"/>
        <v>-15</v>
      </c>
      <c r="O22" s="829">
        <f t="shared" si="30"/>
        <v>5977.0808932102209</v>
      </c>
      <c r="P22" s="829">
        <f>'[23]Oct midyear adj_LA virtual'!$M23</f>
        <v>0</v>
      </c>
      <c r="Q22" s="830">
        <f t="shared" si="40"/>
        <v>5977.0808932102209</v>
      </c>
      <c r="R22" s="830">
        <f>497+1582+389+389+389+388+388+388+389+389</f>
        <v>5188</v>
      </c>
      <c r="S22" s="830">
        <f t="shared" si="41"/>
        <v>789.08089321022089</v>
      </c>
      <c r="T22" s="830">
        <f t="shared" si="42"/>
        <v>395</v>
      </c>
      <c r="U22" s="831">
        <f>'[14]FY2012-13 Final'!K25*90%</f>
        <v>1961.1000000000001</v>
      </c>
      <c r="V22" s="832">
        <f t="shared" si="31"/>
        <v>1961.1000000000001</v>
      </c>
      <c r="W22" s="1490">
        <f>'[20]Oct midyear LA Virtual Admy'!E21</f>
        <v>0</v>
      </c>
      <c r="X22" s="832">
        <f t="shared" si="43"/>
        <v>0</v>
      </c>
      <c r="Y22" s="1490">
        <f>'[20]Feb midyear LA Virtual Admy'!E21</f>
        <v>0</v>
      </c>
      <c r="Z22" s="832">
        <f t="shared" si="44"/>
        <v>0</v>
      </c>
      <c r="AA22" s="832">
        <f t="shared" si="45"/>
        <v>0</v>
      </c>
      <c r="AB22" s="832">
        <f t="shared" si="46"/>
        <v>1961.1000000000001</v>
      </c>
      <c r="AC22" s="832">
        <f t="shared" si="47"/>
        <v>-5</v>
      </c>
      <c r="AD22" s="832">
        <f t="shared" si="48"/>
        <v>1956.1000000000001</v>
      </c>
      <c r="AE22" s="831">
        <f>'[23]Oct midyear adj_LA virtual'!$P23</f>
        <v>0</v>
      </c>
      <c r="AF22" s="851">
        <f t="shared" si="49"/>
        <v>1956.1000000000001</v>
      </c>
      <c r="AG22" s="851">
        <f>156+497+122+122+122+122+122+122+140+140</f>
        <v>1665</v>
      </c>
      <c r="AH22" s="851">
        <f t="shared" si="50"/>
        <v>291.10000000000014</v>
      </c>
      <c r="AI22" s="851">
        <f t="shared" si="51"/>
        <v>146</v>
      </c>
      <c r="AJ22" s="833">
        <f t="shared" si="32"/>
        <v>7933.1808932102213</v>
      </c>
      <c r="AK22" s="833">
        <f t="shared" si="33"/>
        <v>541</v>
      </c>
      <c r="AM22" s="1543">
        <v>-5</v>
      </c>
      <c r="AN22" s="1543">
        <v>0</v>
      </c>
      <c r="AP22" s="1543">
        <f t="shared" si="52"/>
        <v>0</v>
      </c>
    </row>
    <row r="23" spans="1:42" s="553" customFormat="1" ht="17.25" customHeight="1">
      <c r="A23" s="103">
        <v>19</v>
      </c>
      <c r="B23" s="805" t="s">
        <v>120</v>
      </c>
      <c r="C23" s="826">
        <f>'Table 8 2.1.12 MFP Funded'!U22</f>
        <v>8</v>
      </c>
      <c r="D23" s="827">
        <f>'Table 3 Levels 1&amp;2'!AL26*90%</f>
        <v>4681.59188879257</v>
      </c>
      <c r="E23" s="827">
        <f t="shared" si="34"/>
        <v>37452.73511034056</v>
      </c>
      <c r="F23" s="828">
        <f>'Table 4 Level 3'!P24*90%</f>
        <v>814.88699999999994</v>
      </c>
      <c r="G23" s="828">
        <f t="shared" si="35"/>
        <v>6519.0959999999995</v>
      </c>
      <c r="H23" s="828">
        <f t="shared" si="36"/>
        <v>43971.831110340558</v>
      </c>
      <c r="I23" s="828">
        <f>(('Table 3 Levels 1&amp;2'!AL26-D23)*C23)</f>
        <v>4161.4150122600622</v>
      </c>
      <c r="J23" s="828">
        <f>'[1]Oct midyear LA Virtual Admy'!K22</f>
        <v>-5496.4788887925697</v>
      </c>
      <c r="K23" s="828">
        <f>'[1]Feb midyear LA Virtual Admy'!K22</f>
        <v>-5496.4788887925697</v>
      </c>
      <c r="L23" s="828">
        <f t="shared" si="37"/>
        <v>-10992.957777585139</v>
      </c>
      <c r="M23" s="828">
        <f t="shared" si="38"/>
        <v>32978.873332755422</v>
      </c>
      <c r="N23" s="828">
        <f t="shared" si="39"/>
        <v>-82</v>
      </c>
      <c r="O23" s="829">
        <f t="shared" si="30"/>
        <v>32896.873332755422</v>
      </c>
      <c r="P23" s="829">
        <f>'[23]Oct midyear adj_LA virtual'!$M24</f>
        <v>0</v>
      </c>
      <c r="Q23" s="830">
        <f t="shared" si="40"/>
        <v>32896.873332755422</v>
      </c>
      <c r="R23" s="830">
        <f>3666+5165+3516+3516+3516+2730+2730+2730+1355+1355</f>
        <v>30279</v>
      </c>
      <c r="S23" s="830">
        <f t="shared" si="41"/>
        <v>2617.8733327554219</v>
      </c>
      <c r="T23" s="830">
        <f t="shared" si="42"/>
        <v>1309</v>
      </c>
      <c r="U23" s="831">
        <f>'[14]FY2012-13 Final'!K26*90%</f>
        <v>2462.4</v>
      </c>
      <c r="V23" s="832">
        <f t="shared" si="31"/>
        <v>19699.2</v>
      </c>
      <c r="W23" s="1490">
        <f>'[20]Oct midyear LA Virtual Admy'!E22</f>
        <v>-1</v>
      </c>
      <c r="X23" s="832">
        <f t="shared" si="43"/>
        <v>-2462.4</v>
      </c>
      <c r="Y23" s="1490">
        <f>'[20]Feb midyear LA Virtual Admy'!E22</f>
        <v>-2</v>
      </c>
      <c r="Z23" s="832">
        <f t="shared" si="44"/>
        <v>-2462.4</v>
      </c>
      <c r="AA23" s="832">
        <f t="shared" si="45"/>
        <v>-4924.8</v>
      </c>
      <c r="AB23" s="832">
        <f t="shared" si="46"/>
        <v>14774.400000000001</v>
      </c>
      <c r="AC23" s="832">
        <f t="shared" si="47"/>
        <v>-37</v>
      </c>
      <c r="AD23" s="832">
        <f t="shared" si="48"/>
        <v>14737.400000000001</v>
      </c>
      <c r="AE23" s="831">
        <f>'[23]Oct midyear adj_LA virtual'!$P24</f>
        <v>0</v>
      </c>
      <c r="AF23" s="851">
        <f t="shared" si="49"/>
        <v>14737.400000000001</v>
      </c>
      <c r="AG23" s="851">
        <f>1362+1919+1306+1306+1306+1014+1014+1014+1115+1115</f>
        <v>12471</v>
      </c>
      <c r="AH23" s="851">
        <f t="shared" si="50"/>
        <v>2266.4000000000015</v>
      </c>
      <c r="AI23" s="851">
        <f t="shared" si="51"/>
        <v>1133</v>
      </c>
      <c r="AJ23" s="833">
        <f t="shared" si="32"/>
        <v>47634.273332755423</v>
      </c>
      <c r="AK23" s="833">
        <f t="shared" si="33"/>
        <v>2442</v>
      </c>
      <c r="AM23" s="1543">
        <v>-41</v>
      </c>
      <c r="AN23" s="1543">
        <v>4</v>
      </c>
      <c r="AP23" s="1543">
        <f t="shared" si="52"/>
        <v>0</v>
      </c>
    </row>
    <row r="24" spans="1:42" s="553" customFormat="1" ht="17.25" customHeight="1">
      <c r="A24" s="104">
        <v>20</v>
      </c>
      <c r="B24" s="806" t="s">
        <v>121</v>
      </c>
      <c r="C24" s="834">
        <f>'Table 8 2.1.12 MFP Funded'!U23</f>
        <v>8</v>
      </c>
      <c r="D24" s="835">
        <f>'Table 3 Levels 1&amp;2'!AL27*90%</f>
        <v>4901.9459468598861</v>
      </c>
      <c r="E24" s="835">
        <f t="shared" si="34"/>
        <v>39215.567574879089</v>
      </c>
      <c r="F24" s="836">
        <f>'Table 4 Level 3'!P25*90%</f>
        <v>527.553</v>
      </c>
      <c r="G24" s="836">
        <f t="shared" si="35"/>
        <v>4220.424</v>
      </c>
      <c r="H24" s="836">
        <f t="shared" si="36"/>
        <v>43435.991574879088</v>
      </c>
      <c r="I24" s="836">
        <f>(('Table 3 Levels 1&amp;2'!AL27-D24)*C24)</f>
        <v>4357.2852860976782</v>
      </c>
      <c r="J24" s="836">
        <f>'[1]Oct midyear LA Virtual Admy'!K23</f>
        <v>-10858.997893719772</v>
      </c>
      <c r="K24" s="836">
        <f>'[1]Feb midyear LA Virtual Admy'!K23</f>
        <v>0</v>
      </c>
      <c r="L24" s="836">
        <f t="shared" si="37"/>
        <v>-10858.997893719772</v>
      </c>
      <c r="M24" s="836">
        <f t="shared" si="38"/>
        <v>32576.993681159314</v>
      </c>
      <c r="N24" s="836">
        <f t="shared" si="39"/>
        <v>-81</v>
      </c>
      <c r="O24" s="837">
        <f t="shared" si="30"/>
        <v>32495.993681159314</v>
      </c>
      <c r="P24" s="837">
        <f>'[23]Oct midyear adj_LA virtual'!$M25</f>
        <v>0</v>
      </c>
      <c r="Q24" s="838">
        <f t="shared" si="40"/>
        <v>32495.993681159314</v>
      </c>
      <c r="R24" s="838">
        <f>3608+2132+2132+2132+2132+2905+2905+2905+2905+2905</f>
        <v>26661</v>
      </c>
      <c r="S24" s="838">
        <f t="shared" si="41"/>
        <v>5834.9936811593143</v>
      </c>
      <c r="T24" s="838">
        <f t="shared" si="42"/>
        <v>2917</v>
      </c>
      <c r="U24" s="839">
        <f>'[14]FY2012-13 Final'!K27*90%</f>
        <v>2103.3000000000002</v>
      </c>
      <c r="V24" s="840">
        <f t="shared" si="31"/>
        <v>16826.400000000001</v>
      </c>
      <c r="W24" s="1491">
        <f>'[20]Oct midyear LA Virtual Admy'!E23</f>
        <v>-2</v>
      </c>
      <c r="X24" s="840">
        <f t="shared" si="43"/>
        <v>-4206.6000000000004</v>
      </c>
      <c r="Y24" s="1491">
        <f>'[20]Feb midyear LA Virtual Admy'!E23</f>
        <v>0</v>
      </c>
      <c r="Z24" s="840">
        <f t="shared" si="44"/>
        <v>0</v>
      </c>
      <c r="AA24" s="840">
        <f t="shared" si="45"/>
        <v>-4206.6000000000004</v>
      </c>
      <c r="AB24" s="840">
        <f t="shared" si="46"/>
        <v>12619.800000000001</v>
      </c>
      <c r="AC24" s="840">
        <f t="shared" si="47"/>
        <v>-32</v>
      </c>
      <c r="AD24" s="840">
        <f t="shared" si="48"/>
        <v>12587.800000000001</v>
      </c>
      <c r="AE24" s="839">
        <f>'[23]Oct midyear adj_LA virtual'!$P25</f>
        <v>0</v>
      </c>
      <c r="AF24" s="852">
        <f t="shared" si="49"/>
        <v>12587.800000000001</v>
      </c>
      <c r="AG24" s="852">
        <f>1381+816+816+816+816+1112+1112+1112+1148+1148</f>
        <v>10277</v>
      </c>
      <c r="AH24" s="852">
        <f t="shared" si="50"/>
        <v>2310.8000000000011</v>
      </c>
      <c r="AI24" s="852">
        <f t="shared" si="51"/>
        <v>1155</v>
      </c>
      <c r="AJ24" s="841">
        <f t="shared" si="32"/>
        <v>45083.793681159317</v>
      </c>
      <c r="AK24" s="841">
        <f t="shared" si="33"/>
        <v>4072</v>
      </c>
      <c r="AM24" s="1543">
        <v>-42</v>
      </c>
      <c r="AN24" s="1543">
        <v>10</v>
      </c>
      <c r="AP24" s="1543">
        <f t="shared" si="52"/>
        <v>0</v>
      </c>
    </row>
    <row r="25" spans="1:42" s="553" customFormat="1" ht="17.25" customHeight="1">
      <c r="A25" s="103">
        <v>21</v>
      </c>
      <c r="B25" s="805" t="s">
        <v>122</v>
      </c>
      <c r="C25" s="818">
        <f>'Table 8 2.1.12 MFP Funded'!U24</f>
        <v>3</v>
      </c>
      <c r="D25" s="819">
        <f>'Table 3 Levels 1&amp;2'!AL28*90%</f>
        <v>5185.7818678665762</v>
      </c>
      <c r="E25" s="819">
        <f t="shared" si="34"/>
        <v>15557.34560359973</v>
      </c>
      <c r="F25" s="820">
        <f>'Table 4 Level 3'!P26*90%</f>
        <v>549.31500000000005</v>
      </c>
      <c r="G25" s="820">
        <f t="shared" si="35"/>
        <v>1647.9450000000002</v>
      </c>
      <c r="H25" s="820">
        <f t="shared" si="36"/>
        <v>17205.290603599729</v>
      </c>
      <c r="I25" s="820">
        <f>(('Table 3 Levels 1&amp;2'!AL28-D25)*C25)</f>
        <v>1728.5939559555254</v>
      </c>
      <c r="J25" s="820">
        <f>'[1]Oct midyear LA Virtual Admy'!K24</f>
        <v>0</v>
      </c>
      <c r="K25" s="820">
        <f>'[1]Feb midyear LA Virtual Admy'!K24</f>
        <v>0</v>
      </c>
      <c r="L25" s="820">
        <f t="shared" si="37"/>
        <v>0</v>
      </c>
      <c r="M25" s="820">
        <f t="shared" si="38"/>
        <v>17205.290603599729</v>
      </c>
      <c r="N25" s="820">
        <f t="shared" si="39"/>
        <v>-43</v>
      </c>
      <c r="O25" s="821">
        <f t="shared" si="30"/>
        <v>17162.290603599729</v>
      </c>
      <c r="P25" s="821">
        <f>'[23]Oct midyear adj_LA virtual'!$M26</f>
        <v>0</v>
      </c>
      <c r="Q25" s="822">
        <f t="shared" si="40"/>
        <v>17162.290603599729</v>
      </c>
      <c r="R25" s="822">
        <f>1420+387+1524+1524+1524+1524+1524+1524+1524+1524</f>
        <v>13999</v>
      </c>
      <c r="S25" s="822">
        <f t="shared" si="41"/>
        <v>3163.2906035997294</v>
      </c>
      <c r="T25" s="822">
        <f t="shared" si="42"/>
        <v>1582</v>
      </c>
      <c r="U25" s="823">
        <f>'[14]FY2012-13 Final'!K28*90%</f>
        <v>2063.7000000000003</v>
      </c>
      <c r="V25" s="824">
        <f t="shared" si="31"/>
        <v>6191.1</v>
      </c>
      <c r="W25" s="1489">
        <f>'[20]Oct midyear LA Virtual Admy'!E24</f>
        <v>0</v>
      </c>
      <c r="X25" s="824">
        <f t="shared" si="43"/>
        <v>0</v>
      </c>
      <c r="Y25" s="1489">
        <f>'[20]Feb midyear LA Virtual Admy'!E24</f>
        <v>0</v>
      </c>
      <c r="Z25" s="824">
        <f t="shared" si="44"/>
        <v>0</v>
      </c>
      <c r="AA25" s="824">
        <f t="shared" si="45"/>
        <v>0</v>
      </c>
      <c r="AB25" s="824">
        <f t="shared" si="46"/>
        <v>6191.1</v>
      </c>
      <c r="AC25" s="824">
        <f t="shared" si="47"/>
        <v>-15</v>
      </c>
      <c r="AD25" s="824">
        <f t="shared" si="48"/>
        <v>6176.1</v>
      </c>
      <c r="AE25" s="823">
        <f>'[23]Oct midyear adj_LA virtual'!$P26</f>
        <v>0</v>
      </c>
      <c r="AF25" s="850">
        <f t="shared" si="49"/>
        <v>6176.1</v>
      </c>
      <c r="AG25" s="850">
        <f>504+137+541+541+541+540+540+540+533+533</f>
        <v>4950</v>
      </c>
      <c r="AH25" s="850">
        <f t="shared" si="50"/>
        <v>1226.1000000000004</v>
      </c>
      <c r="AI25" s="850">
        <f t="shared" si="51"/>
        <v>613</v>
      </c>
      <c r="AJ25" s="825">
        <f t="shared" si="32"/>
        <v>23338.390603599728</v>
      </c>
      <c r="AK25" s="825">
        <f t="shared" si="33"/>
        <v>2195</v>
      </c>
      <c r="AM25" s="1543">
        <v>-15</v>
      </c>
      <c r="AN25" s="1543">
        <v>0</v>
      </c>
      <c r="AP25" s="1543">
        <f t="shared" si="52"/>
        <v>0</v>
      </c>
    </row>
    <row r="26" spans="1:42" s="553" customFormat="1" ht="17.25" customHeight="1">
      <c r="A26" s="103">
        <v>22</v>
      </c>
      <c r="B26" s="805" t="s">
        <v>123</v>
      </c>
      <c r="C26" s="826">
        <f>'Table 8 2.1.12 MFP Funded'!U25</f>
        <v>2</v>
      </c>
      <c r="D26" s="827">
        <f>'Table 3 Levels 1&amp;2'!AL29*90%</f>
        <v>5591.3339263484895</v>
      </c>
      <c r="E26" s="827">
        <f t="shared" si="34"/>
        <v>11182.667852696979</v>
      </c>
      <c r="F26" s="828">
        <f>'Table 4 Level 3'!P27*90%</f>
        <v>446.72400000000005</v>
      </c>
      <c r="G26" s="828">
        <f t="shared" si="35"/>
        <v>893.44800000000009</v>
      </c>
      <c r="H26" s="828">
        <f t="shared" si="36"/>
        <v>12076.115852696979</v>
      </c>
      <c r="I26" s="828">
        <f>(('Table 3 Levels 1&amp;2'!AL29-D26)*C26)</f>
        <v>1242.5186502996639</v>
      </c>
      <c r="J26" s="828">
        <f>'[1]Oct midyear LA Virtual Admy'!K25</f>
        <v>0</v>
      </c>
      <c r="K26" s="828">
        <f>'[1]Feb midyear LA Virtual Admy'!K25</f>
        <v>0</v>
      </c>
      <c r="L26" s="828">
        <f t="shared" si="37"/>
        <v>0</v>
      </c>
      <c r="M26" s="828">
        <f t="shared" si="38"/>
        <v>12076.115852696979</v>
      </c>
      <c r="N26" s="828">
        <f t="shared" si="39"/>
        <v>-30</v>
      </c>
      <c r="O26" s="829">
        <f t="shared" si="30"/>
        <v>12046.115852696979</v>
      </c>
      <c r="P26" s="829">
        <f>'[23]Oct midyear adj_LA virtual'!$M27</f>
        <v>0</v>
      </c>
      <c r="Q26" s="830">
        <f t="shared" si="40"/>
        <v>12046.115852696979</v>
      </c>
      <c r="R26" s="830">
        <f>1002+1548+1548+1548+1548+690+690+690+689+689</f>
        <v>10642</v>
      </c>
      <c r="S26" s="830">
        <f t="shared" si="41"/>
        <v>1404.1158526969793</v>
      </c>
      <c r="T26" s="830">
        <f t="shared" si="42"/>
        <v>702</v>
      </c>
      <c r="U26" s="831">
        <f>'[14]FY2012-13 Final'!K29*90%</f>
        <v>1270.8</v>
      </c>
      <c r="V26" s="832">
        <f t="shared" si="31"/>
        <v>2541.6</v>
      </c>
      <c r="W26" s="1490">
        <f>'[20]Oct midyear LA Virtual Admy'!E25</f>
        <v>0</v>
      </c>
      <c r="X26" s="832">
        <f t="shared" si="43"/>
        <v>0</v>
      </c>
      <c r="Y26" s="1490">
        <f>'[20]Feb midyear LA Virtual Admy'!E25</f>
        <v>0</v>
      </c>
      <c r="Z26" s="832">
        <f t="shared" si="44"/>
        <v>0</v>
      </c>
      <c r="AA26" s="832">
        <f t="shared" si="45"/>
        <v>0</v>
      </c>
      <c r="AB26" s="832">
        <f t="shared" si="46"/>
        <v>2541.6</v>
      </c>
      <c r="AC26" s="832">
        <f t="shared" si="47"/>
        <v>-6</v>
      </c>
      <c r="AD26" s="832">
        <f t="shared" si="48"/>
        <v>2535.6</v>
      </c>
      <c r="AE26" s="831">
        <f>'[23]Oct midyear adj_LA virtual'!$P27</f>
        <v>0</v>
      </c>
      <c r="AF26" s="851">
        <f t="shared" si="49"/>
        <v>2535.6</v>
      </c>
      <c r="AG26" s="851">
        <f>216+334+334+334+334+149+149+149+133+133</f>
        <v>2265</v>
      </c>
      <c r="AH26" s="851">
        <f t="shared" si="50"/>
        <v>270.59999999999991</v>
      </c>
      <c r="AI26" s="851">
        <f t="shared" si="51"/>
        <v>135</v>
      </c>
      <c r="AJ26" s="833">
        <f t="shared" si="32"/>
        <v>14581.71585269698</v>
      </c>
      <c r="AK26" s="833">
        <f t="shared" si="33"/>
        <v>837</v>
      </c>
      <c r="AM26" s="1543">
        <v>-7</v>
      </c>
      <c r="AN26" s="1543">
        <v>1</v>
      </c>
      <c r="AP26" s="1543">
        <f t="shared" si="52"/>
        <v>0</v>
      </c>
    </row>
    <row r="27" spans="1:42" s="553" customFormat="1" ht="17.25" customHeight="1">
      <c r="A27" s="103">
        <v>23</v>
      </c>
      <c r="B27" s="805" t="s">
        <v>124</v>
      </c>
      <c r="C27" s="826">
        <f>'Table 8 2.1.12 MFP Funded'!U26</f>
        <v>10</v>
      </c>
      <c r="D27" s="827">
        <f>'Table 3 Levels 1&amp;2'!AL30*90%</f>
        <v>4342.0567352432536</v>
      </c>
      <c r="E27" s="827">
        <f t="shared" si="34"/>
        <v>43420.567352432539</v>
      </c>
      <c r="F27" s="828">
        <f>'Table 4 Level 3'!P28*90%</f>
        <v>619.72200000000009</v>
      </c>
      <c r="G27" s="828">
        <f t="shared" si="35"/>
        <v>6197.2200000000012</v>
      </c>
      <c r="H27" s="828">
        <f t="shared" si="36"/>
        <v>49617.787352432541</v>
      </c>
      <c r="I27" s="828">
        <f>(('Table 3 Levels 1&amp;2'!AL30-D27)*C27)</f>
        <v>4824.507483603611</v>
      </c>
      <c r="J27" s="828">
        <f>'[1]Oct midyear LA Virtual Admy'!K26</f>
        <v>14885.33620572976</v>
      </c>
      <c r="K27" s="828">
        <f>'[1]Feb midyear LA Virtual Admy'!K26</f>
        <v>-2480.8893676216267</v>
      </c>
      <c r="L27" s="828">
        <f t="shared" si="37"/>
        <v>12404.446838108133</v>
      </c>
      <c r="M27" s="828">
        <f t="shared" si="38"/>
        <v>62022.234190540672</v>
      </c>
      <c r="N27" s="828">
        <f t="shared" si="39"/>
        <v>-155</v>
      </c>
      <c r="O27" s="829">
        <f t="shared" si="30"/>
        <v>61867.234190540672</v>
      </c>
      <c r="P27" s="829">
        <f>'[23]Oct midyear adj_LA virtual'!$M28</f>
        <v>0</v>
      </c>
      <c r="Q27" s="830">
        <f t="shared" si="40"/>
        <v>61867.234190540672</v>
      </c>
      <c r="R27" s="830">
        <f>4113+6805+7299+7299+7299+4478+4478+4478+3861+3861</f>
        <v>53971</v>
      </c>
      <c r="S27" s="830">
        <f t="shared" si="41"/>
        <v>7896.234190540672</v>
      </c>
      <c r="T27" s="830">
        <f t="shared" si="42"/>
        <v>3948</v>
      </c>
      <c r="U27" s="831">
        <f>'[14]FY2012-13 Final'!K30*90%</f>
        <v>2950.2000000000003</v>
      </c>
      <c r="V27" s="832">
        <f t="shared" si="31"/>
        <v>29502.000000000004</v>
      </c>
      <c r="W27" s="1490">
        <f>'[20]Oct midyear LA Virtual Admy'!E26</f>
        <v>3</v>
      </c>
      <c r="X27" s="832">
        <f t="shared" si="43"/>
        <v>8850.6</v>
      </c>
      <c r="Y27" s="1490">
        <f>'[20]Feb midyear LA Virtual Admy'!E26</f>
        <v>-1</v>
      </c>
      <c r="Z27" s="832">
        <f t="shared" si="44"/>
        <v>-1475.1000000000001</v>
      </c>
      <c r="AA27" s="832">
        <f t="shared" si="45"/>
        <v>7375.5</v>
      </c>
      <c r="AB27" s="832">
        <f t="shared" si="46"/>
        <v>36877.5</v>
      </c>
      <c r="AC27" s="832">
        <f t="shared" si="47"/>
        <v>-92</v>
      </c>
      <c r="AD27" s="832">
        <f t="shared" si="48"/>
        <v>36785.5</v>
      </c>
      <c r="AE27" s="831">
        <f>'[23]Oct midyear adj_LA virtual'!$P28</f>
        <v>0</v>
      </c>
      <c r="AF27" s="851">
        <f t="shared" si="49"/>
        <v>36785.5</v>
      </c>
      <c r="AG27" s="851">
        <f>2465+4079+4374+4374+4374+2684+2684+2684+2211+2211</f>
        <v>32140</v>
      </c>
      <c r="AH27" s="851">
        <f t="shared" si="50"/>
        <v>4645.5</v>
      </c>
      <c r="AI27" s="851">
        <f t="shared" si="51"/>
        <v>2323</v>
      </c>
      <c r="AJ27" s="833">
        <f t="shared" si="32"/>
        <v>98652.734190540679</v>
      </c>
      <c r="AK27" s="833">
        <f t="shared" si="33"/>
        <v>6271</v>
      </c>
      <c r="AM27" s="1543">
        <v>-74</v>
      </c>
      <c r="AN27" s="1543">
        <v>-18</v>
      </c>
      <c r="AP27" s="1543">
        <f t="shared" si="52"/>
        <v>0</v>
      </c>
    </row>
    <row r="28" spans="1:42" s="553" customFormat="1" ht="17.25" customHeight="1">
      <c r="A28" s="103">
        <v>24</v>
      </c>
      <c r="B28" s="805" t="s">
        <v>125</v>
      </c>
      <c r="C28" s="826">
        <f>'Table 8 2.1.12 MFP Funded'!U27</f>
        <v>9</v>
      </c>
      <c r="D28" s="827">
        <f>'Table 3 Levels 1&amp;2'!AL31*90%</f>
        <v>2389.0593603220755</v>
      </c>
      <c r="E28" s="827">
        <f t="shared" si="34"/>
        <v>21501.534242898681</v>
      </c>
      <c r="F28" s="828">
        <f>'Table 4 Level 3'!P29*90%</f>
        <v>768.82499999999993</v>
      </c>
      <c r="G28" s="828">
        <f t="shared" si="35"/>
        <v>6919.4249999999993</v>
      </c>
      <c r="H28" s="828">
        <f t="shared" si="36"/>
        <v>28420.95924289868</v>
      </c>
      <c r="I28" s="828">
        <f>(('Table 3 Levels 1&amp;2'!AL31-D28)*C28)</f>
        <v>2389.0593603220764</v>
      </c>
      <c r="J28" s="828">
        <f>'[1]Oct midyear LA Virtual Admy'!K27</f>
        <v>6315.7687206441506</v>
      </c>
      <c r="K28" s="828">
        <f>'[1]Feb midyear LA Virtual Admy'!K27</f>
        <v>-1578.9421801610376</v>
      </c>
      <c r="L28" s="828">
        <f t="shared" si="37"/>
        <v>4736.8265404831127</v>
      </c>
      <c r="M28" s="828">
        <f t="shared" si="38"/>
        <v>33157.785783381791</v>
      </c>
      <c r="N28" s="828">
        <f t="shared" si="39"/>
        <v>-83</v>
      </c>
      <c r="O28" s="829">
        <f t="shared" si="30"/>
        <v>33074.785783381791</v>
      </c>
      <c r="P28" s="829">
        <f>'[23]Oct midyear adj_LA virtual'!$M29</f>
        <v>0</v>
      </c>
      <c r="Q28" s="830">
        <f t="shared" si="40"/>
        <v>33074.785783381791</v>
      </c>
      <c r="R28" s="830">
        <f>2359+3217+3217+3217+3217+2768+2768+2768+2375+2375</f>
        <v>28281</v>
      </c>
      <c r="S28" s="830">
        <f t="shared" si="41"/>
        <v>4793.7857833817907</v>
      </c>
      <c r="T28" s="830">
        <f t="shared" si="42"/>
        <v>2397</v>
      </c>
      <c r="U28" s="831">
        <f>'[14]FY2012-13 Final'!K31*90%</f>
        <v>8379.9</v>
      </c>
      <c r="V28" s="832">
        <f t="shared" si="31"/>
        <v>75419.099999999991</v>
      </c>
      <c r="W28" s="1490">
        <f>'[20]Oct midyear LA Virtual Admy'!E27</f>
        <v>2</v>
      </c>
      <c r="X28" s="832">
        <f t="shared" si="43"/>
        <v>16759.8</v>
      </c>
      <c r="Y28" s="1490">
        <f>'[20]Feb midyear LA Virtual Admy'!E27</f>
        <v>-1</v>
      </c>
      <c r="Z28" s="832">
        <f t="shared" si="44"/>
        <v>-4189.95</v>
      </c>
      <c r="AA28" s="832">
        <f t="shared" si="45"/>
        <v>12569.849999999999</v>
      </c>
      <c r="AB28" s="832">
        <f t="shared" si="46"/>
        <v>87988.949999999983</v>
      </c>
      <c r="AC28" s="832">
        <f t="shared" si="47"/>
        <v>-220</v>
      </c>
      <c r="AD28" s="832">
        <f t="shared" si="48"/>
        <v>87768.949999999983</v>
      </c>
      <c r="AE28" s="831">
        <f>'[23]Oct midyear adj_LA virtual'!$P29</f>
        <v>0</v>
      </c>
      <c r="AF28" s="851">
        <f t="shared" si="49"/>
        <v>87768.949999999983</v>
      </c>
      <c r="AG28" s="851">
        <f>5904+8051+8051+8051+8051+6927+6927+6927+7147+7147</f>
        <v>73183</v>
      </c>
      <c r="AH28" s="851">
        <f t="shared" si="50"/>
        <v>14585.949999999983</v>
      </c>
      <c r="AI28" s="851">
        <f t="shared" si="51"/>
        <v>7293</v>
      </c>
      <c r="AJ28" s="833">
        <f t="shared" si="32"/>
        <v>120843.73578338177</v>
      </c>
      <c r="AK28" s="833">
        <f t="shared" si="33"/>
        <v>9690</v>
      </c>
      <c r="AM28" s="1543">
        <v>-178</v>
      </c>
      <c r="AN28" s="1543">
        <v>-41</v>
      </c>
      <c r="AP28" s="1543">
        <f t="shared" si="52"/>
        <v>-1</v>
      </c>
    </row>
    <row r="29" spans="1:42" s="553" customFormat="1" ht="17.25" customHeight="1">
      <c r="A29" s="104">
        <v>25</v>
      </c>
      <c r="B29" s="806" t="s">
        <v>126</v>
      </c>
      <c r="C29" s="834">
        <f>'Table 8 2.1.12 MFP Funded'!U28</f>
        <v>2</v>
      </c>
      <c r="D29" s="835">
        <f>'Table 3 Levels 1&amp;2'!AL32*90%</f>
        <v>3488.9946391541243</v>
      </c>
      <c r="E29" s="835">
        <f t="shared" si="34"/>
        <v>6977.9892783082487</v>
      </c>
      <c r="F29" s="836">
        <f>'Table 4 Level 3'!P30*90%</f>
        <v>588.35700000000008</v>
      </c>
      <c r="G29" s="836">
        <f t="shared" si="35"/>
        <v>1176.7140000000002</v>
      </c>
      <c r="H29" s="836">
        <f t="shared" si="36"/>
        <v>8154.7032783082486</v>
      </c>
      <c r="I29" s="836">
        <f>(('Table 3 Levels 1&amp;2'!AL32-D29)*C29)</f>
        <v>775.33214203424996</v>
      </c>
      <c r="J29" s="836">
        <f>'[1]Oct midyear LA Virtual Admy'!K28</f>
        <v>8154.7032783082486</v>
      </c>
      <c r="K29" s="836">
        <f>'[1]Feb midyear LA Virtual Admy'!K28</f>
        <v>0</v>
      </c>
      <c r="L29" s="836">
        <f t="shared" si="37"/>
        <v>8154.7032783082486</v>
      </c>
      <c r="M29" s="836">
        <f t="shared" si="38"/>
        <v>16309.406556616497</v>
      </c>
      <c r="N29" s="836">
        <f t="shared" si="39"/>
        <v>-41</v>
      </c>
      <c r="O29" s="837">
        <f t="shared" si="30"/>
        <v>16268.406556616497</v>
      </c>
      <c r="P29" s="837">
        <f>'[23]Oct midyear adj_LA virtual'!$M30</f>
        <v>0</v>
      </c>
      <c r="Q29" s="838">
        <f t="shared" si="40"/>
        <v>16268.406556616497</v>
      </c>
      <c r="R29" s="838">
        <f>674+2143+1335+1335+1335+1335+1335+1335+1335+1335</f>
        <v>13497</v>
      </c>
      <c r="S29" s="838">
        <f t="shared" si="41"/>
        <v>2771.4065566164973</v>
      </c>
      <c r="T29" s="838">
        <f t="shared" si="42"/>
        <v>1386</v>
      </c>
      <c r="U29" s="839">
        <f>'[14]FY2012-13 Final'!K32*90%</f>
        <v>4824.9000000000005</v>
      </c>
      <c r="V29" s="840">
        <f t="shared" si="31"/>
        <v>9649.8000000000011</v>
      </c>
      <c r="W29" s="1491">
        <f>'[20]Oct midyear LA Virtual Admy'!E28</f>
        <v>2</v>
      </c>
      <c r="X29" s="840">
        <f t="shared" si="43"/>
        <v>9649.8000000000011</v>
      </c>
      <c r="Y29" s="1491">
        <f>'[20]Feb midyear LA Virtual Admy'!E28</f>
        <v>0</v>
      </c>
      <c r="Z29" s="840">
        <f t="shared" si="44"/>
        <v>0</v>
      </c>
      <c r="AA29" s="840">
        <f t="shared" si="45"/>
        <v>9649.8000000000011</v>
      </c>
      <c r="AB29" s="840">
        <f t="shared" si="46"/>
        <v>19299.600000000002</v>
      </c>
      <c r="AC29" s="840">
        <f t="shared" si="47"/>
        <v>-48</v>
      </c>
      <c r="AD29" s="840">
        <f t="shared" si="48"/>
        <v>19251.600000000002</v>
      </c>
      <c r="AE29" s="839">
        <f>'[23]Oct midyear adj_LA virtual'!$P30</f>
        <v>0</v>
      </c>
      <c r="AF29" s="852">
        <f t="shared" si="49"/>
        <v>19251.600000000002</v>
      </c>
      <c r="AG29" s="852">
        <f>776+2469+1538+1538+1538+1538+1538+1538+1686+1686</f>
        <v>15845</v>
      </c>
      <c r="AH29" s="852">
        <f t="shared" si="50"/>
        <v>3406.6000000000022</v>
      </c>
      <c r="AI29" s="852">
        <f t="shared" si="51"/>
        <v>1703</v>
      </c>
      <c r="AJ29" s="841">
        <f t="shared" si="32"/>
        <v>35520.006556616499</v>
      </c>
      <c r="AK29" s="841">
        <f t="shared" si="33"/>
        <v>3089</v>
      </c>
      <c r="AM29" s="1543">
        <v>-23</v>
      </c>
      <c r="AN29" s="1543">
        <v>-25</v>
      </c>
      <c r="AP29" s="1543">
        <f t="shared" si="52"/>
        <v>0</v>
      </c>
    </row>
    <row r="30" spans="1:42" s="553" customFormat="1" ht="17.25" customHeight="1">
      <c r="A30" s="103">
        <v>26</v>
      </c>
      <c r="B30" s="805" t="s">
        <v>127</v>
      </c>
      <c r="C30" s="818">
        <f>'Table 8 2.1.12 MFP Funded'!U29</f>
        <v>102</v>
      </c>
      <c r="D30" s="819">
        <f>'Table 3 Levels 1&amp;2'!AL33*90%</f>
        <v>2817.8178319924173</v>
      </c>
      <c r="E30" s="819">
        <f t="shared" si="34"/>
        <v>287417.41886322654</v>
      </c>
      <c r="F30" s="820">
        <f>'Table 4 Level 3'!P31*90%</f>
        <v>753.14700000000005</v>
      </c>
      <c r="G30" s="820">
        <f t="shared" si="35"/>
        <v>76820.994000000006</v>
      </c>
      <c r="H30" s="820">
        <f t="shared" si="36"/>
        <v>364238.41286322655</v>
      </c>
      <c r="I30" s="820">
        <f>(('Table 3 Levels 1&amp;2'!AL33-D30)*C30)</f>
        <v>31935.268762580723</v>
      </c>
      <c r="J30" s="820">
        <f>'[1]Oct midyear LA Virtual Admy'!K29</f>
        <v>42851.57798390901</v>
      </c>
      <c r="K30" s="820">
        <f>'[1]Feb midyear LA Virtual Admy'!K29</f>
        <v>-32138.683487931754</v>
      </c>
      <c r="L30" s="820">
        <f t="shared" si="37"/>
        <v>10712.894495977256</v>
      </c>
      <c r="M30" s="820">
        <f t="shared" si="38"/>
        <v>374951.30735920381</v>
      </c>
      <c r="N30" s="820">
        <f t="shared" si="39"/>
        <v>-937</v>
      </c>
      <c r="O30" s="821">
        <f t="shared" si="30"/>
        <v>374014.30735920381</v>
      </c>
      <c r="P30" s="821">
        <f>'[23]Oct midyear adj_LA virtual'!$M31</f>
        <v>0</v>
      </c>
      <c r="Q30" s="822">
        <f t="shared" si="40"/>
        <v>374014.30735920381</v>
      </c>
      <c r="R30" s="822">
        <f>30392+37218+40078+40078+40078+31395+31395+31395+23350+23350</f>
        <v>328729</v>
      </c>
      <c r="S30" s="822">
        <f t="shared" si="41"/>
        <v>45285.307359203813</v>
      </c>
      <c r="T30" s="822">
        <f t="shared" si="42"/>
        <v>22643</v>
      </c>
      <c r="U30" s="823">
        <f>'[14]FY2012-13 Final'!K33*90%</f>
        <v>4681.8</v>
      </c>
      <c r="V30" s="824">
        <f t="shared" si="31"/>
        <v>477543.60000000003</v>
      </c>
      <c r="W30" s="1489">
        <f>'[20]Oct midyear LA Virtual Admy'!E29</f>
        <v>12</v>
      </c>
      <c r="X30" s="824">
        <f t="shared" si="43"/>
        <v>56181.600000000006</v>
      </c>
      <c r="Y30" s="1489">
        <f>'[20]Feb midyear LA Virtual Admy'!E29</f>
        <v>-18</v>
      </c>
      <c r="Z30" s="824">
        <f t="shared" si="44"/>
        <v>-42136.200000000004</v>
      </c>
      <c r="AA30" s="824">
        <f t="shared" si="45"/>
        <v>14045.400000000001</v>
      </c>
      <c r="AB30" s="824">
        <f t="shared" si="46"/>
        <v>491589.00000000006</v>
      </c>
      <c r="AC30" s="824">
        <f t="shared" si="47"/>
        <v>-1229</v>
      </c>
      <c r="AD30" s="824">
        <f t="shared" si="48"/>
        <v>490360.00000000006</v>
      </c>
      <c r="AE30" s="823">
        <f>'[23]Oct midyear adj_LA virtual'!$P31</f>
        <v>0</v>
      </c>
      <c r="AF30" s="850">
        <f t="shared" si="49"/>
        <v>490360.00000000006</v>
      </c>
      <c r="AG30" s="850">
        <f>39658+48565+52297+52297+52297+40966+40966+40966+28183+28183</f>
        <v>424378</v>
      </c>
      <c r="AH30" s="850">
        <f t="shared" si="50"/>
        <v>65982.000000000058</v>
      </c>
      <c r="AI30" s="850">
        <f t="shared" si="51"/>
        <v>32991</v>
      </c>
      <c r="AJ30" s="825">
        <f t="shared" si="32"/>
        <v>864374.30735920393</v>
      </c>
      <c r="AK30" s="825">
        <f t="shared" si="33"/>
        <v>55634</v>
      </c>
      <c r="AM30" s="1543">
        <v>-1193</v>
      </c>
      <c r="AN30" s="1543">
        <v>-12</v>
      </c>
      <c r="AP30" s="1543">
        <f t="shared" si="52"/>
        <v>-24</v>
      </c>
    </row>
    <row r="31" spans="1:42" s="553" customFormat="1" ht="17.25" customHeight="1">
      <c r="A31" s="103">
        <v>27</v>
      </c>
      <c r="B31" s="805" t="s">
        <v>128</v>
      </c>
      <c r="C31" s="826">
        <f>'Table 8 2.1.12 MFP Funded'!U30</f>
        <v>8</v>
      </c>
      <c r="D31" s="827">
        <f>'Table 3 Levels 1&amp;2'!AL34*90%</f>
        <v>5105.9788139123302</v>
      </c>
      <c r="E31" s="827">
        <f t="shared" si="34"/>
        <v>40847.830511298642</v>
      </c>
      <c r="F31" s="828">
        <f>'Table 4 Level 3'!P32*90%</f>
        <v>623.75400000000002</v>
      </c>
      <c r="G31" s="828">
        <f t="shared" si="35"/>
        <v>4990.0320000000002</v>
      </c>
      <c r="H31" s="828">
        <f t="shared" si="36"/>
        <v>45837.862511298641</v>
      </c>
      <c r="I31" s="828">
        <f>(('Table 3 Levels 1&amp;2'!AL34-D31)*C31)</f>
        <v>4538.6478345887372</v>
      </c>
      <c r="J31" s="828">
        <f>'[1]Oct midyear LA Virtual Admy'!K30</f>
        <v>-22918.931255649321</v>
      </c>
      <c r="K31" s="828">
        <f>'[1]Feb midyear LA Virtual Admy'!K30</f>
        <v>-2864.8664069561651</v>
      </c>
      <c r="L31" s="828">
        <f t="shared" si="37"/>
        <v>-25783.797662605484</v>
      </c>
      <c r="M31" s="828">
        <f t="shared" si="38"/>
        <v>20054.064848693157</v>
      </c>
      <c r="N31" s="828">
        <f t="shared" si="39"/>
        <v>-50</v>
      </c>
      <c r="O31" s="829">
        <f t="shared" si="30"/>
        <v>20004.064848693157</v>
      </c>
      <c r="P31" s="829">
        <f>'[23]Oct midyear adj_LA virtual'!$M32</f>
        <v>0</v>
      </c>
      <c r="Q31" s="830">
        <f t="shared" si="40"/>
        <v>20004.064848693157</v>
      </c>
      <c r="R31" s="830">
        <f>3798+2763+2762+2762+2762+1135+1135+1135+422+422</f>
        <v>19096</v>
      </c>
      <c r="S31" s="830">
        <f t="shared" si="41"/>
        <v>908.06484869315682</v>
      </c>
      <c r="T31" s="830">
        <f t="shared" si="42"/>
        <v>454</v>
      </c>
      <c r="U31" s="831">
        <f>'[14]FY2012-13 Final'!K34*90%</f>
        <v>2783.7000000000003</v>
      </c>
      <c r="V31" s="832">
        <f t="shared" si="31"/>
        <v>22269.600000000002</v>
      </c>
      <c r="W31" s="1490">
        <f>'[20]Oct midyear LA Virtual Admy'!E30</f>
        <v>-4</v>
      </c>
      <c r="X31" s="832">
        <f t="shared" si="43"/>
        <v>-11134.800000000001</v>
      </c>
      <c r="Y31" s="1490">
        <f>'[20]Feb midyear LA Virtual Admy'!E30</f>
        <v>-1</v>
      </c>
      <c r="Z31" s="832">
        <f t="shared" si="44"/>
        <v>-1391.8500000000001</v>
      </c>
      <c r="AA31" s="832">
        <f t="shared" si="45"/>
        <v>-12526.650000000001</v>
      </c>
      <c r="AB31" s="832">
        <f t="shared" si="46"/>
        <v>9742.9500000000007</v>
      </c>
      <c r="AC31" s="832">
        <f t="shared" si="47"/>
        <v>-24</v>
      </c>
      <c r="AD31" s="832">
        <f t="shared" si="48"/>
        <v>9718.9500000000007</v>
      </c>
      <c r="AE31" s="831">
        <f>'[23]Oct midyear adj_LA virtual'!$P32</f>
        <v>0</v>
      </c>
      <c r="AF31" s="851">
        <f t="shared" si="49"/>
        <v>9718.9500000000007</v>
      </c>
      <c r="AG31" s="851">
        <f>1839+1338+1338+1338+1338+549+549+549+219+219</f>
        <v>9276</v>
      </c>
      <c r="AH31" s="851">
        <f t="shared" si="50"/>
        <v>442.95000000000073</v>
      </c>
      <c r="AI31" s="851">
        <f t="shared" si="51"/>
        <v>221</v>
      </c>
      <c r="AJ31" s="833">
        <f t="shared" si="32"/>
        <v>29723.014848693158</v>
      </c>
      <c r="AK31" s="833">
        <f t="shared" si="33"/>
        <v>675</v>
      </c>
      <c r="AM31" s="1543">
        <v>-55</v>
      </c>
      <c r="AN31" s="1543">
        <v>31</v>
      </c>
      <c r="AP31" s="1543">
        <f t="shared" si="52"/>
        <v>0</v>
      </c>
    </row>
    <row r="32" spans="1:42" s="553" customFormat="1" ht="17.25" customHeight="1">
      <c r="A32" s="103">
        <v>28</v>
      </c>
      <c r="B32" s="805" t="s">
        <v>129</v>
      </c>
      <c r="C32" s="826">
        <f>'Table 8 2.1.12 MFP Funded'!U31</f>
        <v>53</v>
      </c>
      <c r="D32" s="827">
        <f>'Table 3 Levels 1&amp;2'!AL35*90%</f>
        <v>2903.1265428383563</v>
      </c>
      <c r="E32" s="827">
        <f t="shared" si="34"/>
        <v>153865.70677043288</v>
      </c>
      <c r="F32" s="828">
        <f>'Table 4 Level 3'!P33*90%</f>
        <v>624.96</v>
      </c>
      <c r="G32" s="828">
        <f t="shared" si="35"/>
        <v>33122.880000000005</v>
      </c>
      <c r="H32" s="828">
        <f t="shared" si="36"/>
        <v>186988.58677043288</v>
      </c>
      <c r="I32" s="828">
        <f>(('Table 3 Levels 1&amp;2'!AL35-D32)*C32)</f>
        <v>17096.189641159202</v>
      </c>
      <c r="J32" s="828">
        <f>'[1]Oct midyear LA Virtual Admy'!K31</f>
        <v>-28224.69234270685</v>
      </c>
      <c r="K32" s="828">
        <f>'[1]Feb midyear LA Virtual Admy'!K31</f>
        <v>-10584.259628515068</v>
      </c>
      <c r="L32" s="828">
        <f t="shared" si="37"/>
        <v>-38808.951971221919</v>
      </c>
      <c r="M32" s="828">
        <f t="shared" si="38"/>
        <v>148179.63479921097</v>
      </c>
      <c r="N32" s="828">
        <f t="shared" si="39"/>
        <v>-370</v>
      </c>
      <c r="O32" s="829">
        <f t="shared" si="30"/>
        <v>147809.63479921097</v>
      </c>
      <c r="P32" s="829">
        <f>'[23]Oct midyear adj_LA virtual'!$M33</f>
        <v>-3655.5709760091704</v>
      </c>
      <c r="Q32" s="830">
        <f t="shared" si="40"/>
        <v>144154.06382320181</v>
      </c>
      <c r="R32" s="830">
        <f>15139+17046+14948+14948+14948+10952+10952+10952+8330+8330</f>
        <v>126545</v>
      </c>
      <c r="S32" s="830">
        <f t="shared" si="41"/>
        <v>17609.06382320181</v>
      </c>
      <c r="T32" s="830">
        <f t="shared" si="42"/>
        <v>8805</v>
      </c>
      <c r="U32" s="831">
        <f>'[14]FY2012-13 Final'!K35*90%</f>
        <v>4804.2</v>
      </c>
      <c r="V32" s="832">
        <f t="shared" si="31"/>
        <v>254622.59999999998</v>
      </c>
      <c r="W32" s="1490">
        <f>'[20]Oct midyear LA Virtual Admy'!E31</f>
        <v>-8</v>
      </c>
      <c r="X32" s="832">
        <f t="shared" si="43"/>
        <v>-38433.599999999999</v>
      </c>
      <c r="Y32" s="1490">
        <f>'[20]Feb midyear LA Virtual Admy'!E31</f>
        <v>-6</v>
      </c>
      <c r="Z32" s="832">
        <f t="shared" si="44"/>
        <v>-14412.599999999999</v>
      </c>
      <c r="AA32" s="832">
        <f t="shared" si="45"/>
        <v>-52846.2</v>
      </c>
      <c r="AB32" s="832">
        <f t="shared" si="46"/>
        <v>201776.39999999997</v>
      </c>
      <c r="AC32" s="832">
        <f t="shared" si="47"/>
        <v>-504</v>
      </c>
      <c r="AD32" s="832">
        <f t="shared" si="48"/>
        <v>201272.39999999997</v>
      </c>
      <c r="AE32" s="831">
        <f>'[23]Oct midyear adj_LA virtual'!$P33</f>
        <v>-4530.6000000000004</v>
      </c>
      <c r="AF32" s="851">
        <f t="shared" si="49"/>
        <v>196741.79999999996</v>
      </c>
      <c r="AG32" s="851">
        <f>19773+22261+19524+19524+19524+14310+14310+14310+13160+13160</f>
        <v>169856</v>
      </c>
      <c r="AH32" s="851">
        <f t="shared" si="50"/>
        <v>26885.799999999959</v>
      </c>
      <c r="AI32" s="851">
        <f t="shared" si="51"/>
        <v>13443</v>
      </c>
      <c r="AJ32" s="833">
        <f t="shared" si="32"/>
        <v>340895.86382320174</v>
      </c>
      <c r="AK32" s="833">
        <f t="shared" si="33"/>
        <v>22248</v>
      </c>
      <c r="AM32" s="1543">
        <v>-606</v>
      </c>
      <c r="AN32" s="1543">
        <v>103</v>
      </c>
      <c r="AP32" s="1543">
        <f t="shared" si="52"/>
        <v>-1</v>
      </c>
    </row>
    <row r="33" spans="1:42" s="553" customFormat="1" ht="17.25" customHeight="1">
      <c r="A33" s="103">
        <v>29</v>
      </c>
      <c r="B33" s="805" t="s">
        <v>130</v>
      </c>
      <c r="C33" s="826">
        <f>'Table 8 2.1.12 MFP Funded'!U32</f>
        <v>18</v>
      </c>
      <c r="D33" s="827">
        <f>'Table 3 Levels 1&amp;2'!AL36*90%</f>
        <v>3560.2066933546671</v>
      </c>
      <c r="E33" s="827">
        <f t="shared" si="34"/>
        <v>64083.720480384007</v>
      </c>
      <c r="F33" s="828">
        <f>'Table 4 Level 3'!P34*90%</f>
        <v>679.45499999999993</v>
      </c>
      <c r="G33" s="828">
        <f t="shared" si="35"/>
        <v>12230.189999999999</v>
      </c>
      <c r="H33" s="828">
        <f t="shared" si="36"/>
        <v>76313.910480384002</v>
      </c>
      <c r="I33" s="828">
        <f>(('Table 3 Levels 1&amp;2'!AL36-D33)*C33)</f>
        <v>7120.413386709336</v>
      </c>
      <c r="J33" s="828">
        <f>'[1]Oct midyear LA Virtual Admy'!K32</f>
        <v>-25437.970160127999</v>
      </c>
      <c r="K33" s="828">
        <f>'[1]Feb midyear LA Virtual Admy'!K32</f>
        <v>0</v>
      </c>
      <c r="L33" s="828">
        <f t="shared" si="37"/>
        <v>-25437.970160127999</v>
      </c>
      <c r="M33" s="828">
        <f t="shared" si="38"/>
        <v>50875.940320256006</v>
      </c>
      <c r="N33" s="828">
        <f t="shared" si="39"/>
        <v>-127</v>
      </c>
      <c r="O33" s="829">
        <f t="shared" si="30"/>
        <v>50748.940320256006</v>
      </c>
      <c r="P33" s="829">
        <f>'[23]Oct midyear adj_LA virtual'!$M34</f>
        <v>0</v>
      </c>
      <c r="Q33" s="830">
        <f t="shared" si="40"/>
        <v>50748.940320256006</v>
      </c>
      <c r="R33" s="830">
        <f>6329+7480+5792+5792+5792+2778+2778+2778+2778+2778</f>
        <v>45075</v>
      </c>
      <c r="S33" s="830">
        <f t="shared" si="41"/>
        <v>5673.9403202560061</v>
      </c>
      <c r="T33" s="830">
        <f t="shared" si="42"/>
        <v>2837</v>
      </c>
      <c r="U33" s="831">
        <f>'[14]FY2012-13 Final'!K36*90%</f>
        <v>3972.6</v>
      </c>
      <c r="V33" s="832">
        <f t="shared" si="31"/>
        <v>71506.8</v>
      </c>
      <c r="W33" s="1490">
        <f>'[20]Oct midyear LA Virtual Admy'!E32</f>
        <v>-6</v>
      </c>
      <c r="X33" s="832">
        <f t="shared" si="43"/>
        <v>-23835.599999999999</v>
      </c>
      <c r="Y33" s="1490">
        <f>'[20]Feb midyear LA Virtual Admy'!E32</f>
        <v>0</v>
      </c>
      <c r="Z33" s="832">
        <f t="shared" si="44"/>
        <v>0</v>
      </c>
      <c r="AA33" s="832">
        <f t="shared" si="45"/>
        <v>-23835.599999999999</v>
      </c>
      <c r="AB33" s="832">
        <f t="shared" si="46"/>
        <v>47671.200000000004</v>
      </c>
      <c r="AC33" s="832">
        <f t="shared" si="47"/>
        <v>-119</v>
      </c>
      <c r="AD33" s="832">
        <f t="shared" si="48"/>
        <v>47552.200000000004</v>
      </c>
      <c r="AE33" s="831">
        <f>'[23]Oct midyear adj_LA virtual'!$P34</f>
        <v>0</v>
      </c>
      <c r="AF33" s="851">
        <f t="shared" si="49"/>
        <v>47552.200000000004</v>
      </c>
      <c r="AG33" s="851">
        <f>5784+6835+5293+5293+5293+2539+2539+2539+2789+2789</f>
        <v>41693</v>
      </c>
      <c r="AH33" s="851">
        <f t="shared" si="50"/>
        <v>5859.2000000000044</v>
      </c>
      <c r="AI33" s="851">
        <f t="shared" si="51"/>
        <v>2930</v>
      </c>
      <c r="AJ33" s="833">
        <f t="shared" si="32"/>
        <v>98301.140320256003</v>
      </c>
      <c r="AK33" s="833">
        <f t="shared" si="33"/>
        <v>5767</v>
      </c>
      <c r="AM33" s="1543">
        <v>-174</v>
      </c>
      <c r="AN33" s="1543">
        <v>56</v>
      </c>
      <c r="AP33" s="1543">
        <f t="shared" si="52"/>
        <v>-1</v>
      </c>
    </row>
    <row r="34" spans="1:42" s="553" customFormat="1" ht="17.25" customHeight="1">
      <c r="A34" s="104">
        <v>30</v>
      </c>
      <c r="B34" s="806" t="s">
        <v>131</v>
      </c>
      <c r="C34" s="834">
        <f>'Table 8 2.1.12 MFP Funded'!U33</f>
        <v>1</v>
      </c>
      <c r="D34" s="835">
        <f>'Table 3 Levels 1&amp;2'!AL37*90%</f>
        <v>5048.672531981766</v>
      </c>
      <c r="E34" s="835">
        <f t="shared" si="34"/>
        <v>5048.672531981766</v>
      </c>
      <c r="F34" s="836">
        <f>'Table 4 Level 3'!P35*90%</f>
        <v>654.45299999999997</v>
      </c>
      <c r="G34" s="836">
        <f t="shared" si="35"/>
        <v>654.45299999999997</v>
      </c>
      <c r="H34" s="836">
        <f t="shared" si="36"/>
        <v>5703.1255319817665</v>
      </c>
      <c r="I34" s="836">
        <f>(('Table 3 Levels 1&amp;2'!AL37-D34)*C34)</f>
        <v>560.96361466464077</v>
      </c>
      <c r="J34" s="836">
        <f>'[1]Oct midyear LA Virtual Admy'!K33</f>
        <v>17109.376595945301</v>
      </c>
      <c r="K34" s="836">
        <f>'[1]Feb midyear LA Virtual Admy'!K33</f>
        <v>0</v>
      </c>
      <c r="L34" s="836">
        <f t="shared" si="37"/>
        <v>17109.376595945301</v>
      </c>
      <c r="M34" s="836">
        <f t="shared" si="38"/>
        <v>22812.502127927066</v>
      </c>
      <c r="N34" s="836">
        <f t="shared" si="39"/>
        <v>-57</v>
      </c>
      <c r="O34" s="837">
        <f t="shared" si="30"/>
        <v>22755.502127927066</v>
      </c>
      <c r="P34" s="837">
        <f>'[23]Oct midyear adj_LA virtual'!$M35</f>
        <v>0</v>
      </c>
      <c r="Q34" s="838">
        <f t="shared" si="40"/>
        <v>22755.502127927066</v>
      </c>
      <c r="R34" s="838">
        <f>473+989+2124+2124+2124+2124+2124+2124+2124+2124</f>
        <v>18454</v>
      </c>
      <c r="S34" s="838">
        <f t="shared" si="41"/>
        <v>4301.5021279270659</v>
      </c>
      <c r="T34" s="838">
        <f t="shared" si="42"/>
        <v>2151</v>
      </c>
      <c r="U34" s="839">
        <f>'[14]FY2012-13 Final'!K37*90%</f>
        <v>3332.7000000000003</v>
      </c>
      <c r="V34" s="840">
        <f t="shared" si="31"/>
        <v>3332.7000000000003</v>
      </c>
      <c r="W34" s="1491">
        <f>'[20]Oct midyear LA Virtual Admy'!E33</f>
        <v>3</v>
      </c>
      <c r="X34" s="840">
        <f t="shared" si="43"/>
        <v>9998.1</v>
      </c>
      <c r="Y34" s="1491">
        <f>'[20]Feb midyear LA Virtual Admy'!E33</f>
        <v>0</v>
      </c>
      <c r="Z34" s="840">
        <f t="shared" si="44"/>
        <v>0</v>
      </c>
      <c r="AA34" s="840">
        <f t="shared" si="45"/>
        <v>9998.1</v>
      </c>
      <c r="AB34" s="840">
        <f t="shared" si="46"/>
        <v>13330.800000000001</v>
      </c>
      <c r="AC34" s="840">
        <f t="shared" si="47"/>
        <v>-33</v>
      </c>
      <c r="AD34" s="840">
        <f t="shared" si="48"/>
        <v>13297.800000000001</v>
      </c>
      <c r="AE34" s="839">
        <f>'[23]Oct midyear adj_LA virtual'!$P35</f>
        <v>0</v>
      </c>
      <c r="AF34" s="852">
        <f t="shared" si="49"/>
        <v>13297.800000000001</v>
      </c>
      <c r="AG34" s="852">
        <f>266+556+1194+1194+1194+1194+1194+1194+1327+1327</f>
        <v>10640</v>
      </c>
      <c r="AH34" s="852">
        <f t="shared" si="50"/>
        <v>2657.8000000000011</v>
      </c>
      <c r="AI34" s="852">
        <f t="shared" si="51"/>
        <v>1329</v>
      </c>
      <c r="AJ34" s="841">
        <f t="shared" si="32"/>
        <v>36053.302127927069</v>
      </c>
      <c r="AK34" s="841">
        <f t="shared" si="33"/>
        <v>3480</v>
      </c>
      <c r="AM34" s="1543">
        <v>-8</v>
      </c>
      <c r="AN34" s="1543">
        <v>-25</v>
      </c>
      <c r="AP34" s="1543">
        <f t="shared" si="52"/>
        <v>0</v>
      </c>
    </row>
    <row r="35" spans="1:42" s="553" customFormat="1" ht="17.25" customHeight="1">
      <c r="A35" s="103">
        <v>31</v>
      </c>
      <c r="B35" s="805" t="s">
        <v>132</v>
      </c>
      <c r="C35" s="818">
        <f>'Table 8 2.1.12 MFP Funded'!U34</f>
        <v>2</v>
      </c>
      <c r="D35" s="819">
        <f>'Table 3 Levels 1&amp;2'!AL38*90%</f>
        <v>3756.6843660201857</v>
      </c>
      <c r="E35" s="819">
        <f t="shared" si="34"/>
        <v>7513.3687320403715</v>
      </c>
      <c r="F35" s="820">
        <f>'Table 4 Level 3'!P36*90%</f>
        <v>558.74700000000007</v>
      </c>
      <c r="G35" s="820">
        <f t="shared" si="35"/>
        <v>1117.4940000000001</v>
      </c>
      <c r="H35" s="820">
        <f t="shared" si="36"/>
        <v>8630.8627320403721</v>
      </c>
      <c r="I35" s="820">
        <f>(('Table 3 Levels 1&amp;2'!AL38-D35)*C35)</f>
        <v>834.81874800448531</v>
      </c>
      <c r="J35" s="820">
        <f>'[1]Oct midyear LA Virtual Admy'!K34</f>
        <v>12946.294098060558</v>
      </c>
      <c r="K35" s="820">
        <f>'[1]Feb midyear LA Virtual Admy'!K34</f>
        <v>-6473.147049030279</v>
      </c>
      <c r="L35" s="820">
        <f t="shared" si="37"/>
        <v>6473.147049030279</v>
      </c>
      <c r="M35" s="820">
        <f t="shared" si="38"/>
        <v>15104.00978107065</v>
      </c>
      <c r="N35" s="820">
        <f t="shared" si="39"/>
        <v>-38</v>
      </c>
      <c r="O35" s="821">
        <f t="shared" si="30"/>
        <v>15066.00978107065</v>
      </c>
      <c r="P35" s="821">
        <f>'[23]Oct midyear adj_LA virtual'!$M36</f>
        <v>0</v>
      </c>
      <c r="Q35" s="822">
        <f t="shared" si="40"/>
        <v>15066.00978107065</v>
      </c>
      <c r="R35" s="822">
        <f>715+3056+2198+2198+2198+1585+1585+1585-25-25</f>
        <v>15070</v>
      </c>
      <c r="S35" s="822">
        <f t="shared" si="41"/>
        <v>-3.9902189293497941</v>
      </c>
      <c r="T35" s="822">
        <f t="shared" si="42"/>
        <v>-2</v>
      </c>
      <c r="U35" s="823">
        <f>'[14]FY2012-13 Final'!K38*90%</f>
        <v>4238.1000000000004</v>
      </c>
      <c r="V35" s="824">
        <f t="shared" si="31"/>
        <v>8476.2000000000007</v>
      </c>
      <c r="W35" s="1489">
        <f>'[20]Oct midyear LA Virtual Admy'!E34</f>
        <v>3</v>
      </c>
      <c r="X35" s="824">
        <f t="shared" si="43"/>
        <v>12714.300000000001</v>
      </c>
      <c r="Y35" s="1489">
        <f>'[20]Feb midyear LA Virtual Admy'!E34</f>
        <v>-3</v>
      </c>
      <c r="Z35" s="824">
        <f t="shared" si="44"/>
        <v>-6357.1500000000005</v>
      </c>
      <c r="AA35" s="824">
        <f t="shared" si="45"/>
        <v>6357.1500000000005</v>
      </c>
      <c r="AB35" s="824">
        <f t="shared" si="46"/>
        <v>14833.350000000002</v>
      </c>
      <c r="AC35" s="824">
        <f t="shared" si="47"/>
        <v>-37</v>
      </c>
      <c r="AD35" s="824">
        <f t="shared" si="48"/>
        <v>14796.350000000002</v>
      </c>
      <c r="AE35" s="823">
        <f>'[23]Oct midyear adj_LA virtual'!$P36</f>
        <v>0</v>
      </c>
      <c r="AF35" s="850">
        <f t="shared" si="49"/>
        <v>14796.350000000002</v>
      </c>
      <c r="AG35" s="850">
        <f>706+3017+2170+2170+2170+1564+1564+1564-64-64</f>
        <v>14797</v>
      </c>
      <c r="AH35" s="850">
        <f t="shared" si="50"/>
        <v>-0.64999999999781721</v>
      </c>
      <c r="AI35" s="850">
        <f t="shared" si="51"/>
        <v>0</v>
      </c>
      <c r="AJ35" s="825">
        <f t="shared" si="32"/>
        <v>29862.359781070652</v>
      </c>
      <c r="AK35" s="825">
        <f t="shared" si="33"/>
        <v>-2</v>
      </c>
      <c r="AM35" s="1543">
        <v>-21</v>
      </c>
      <c r="AN35" s="1543">
        <v>-16</v>
      </c>
      <c r="AP35" s="1543">
        <f t="shared" si="52"/>
        <v>0</v>
      </c>
    </row>
    <row r="36" spans="1:42" s="553" customFormat="1" ht="17.25" customHeight="1">
      <c r="A36" s="103">
        <v>32</v>
      </c>
      <c r="B36" s="805" t="s">
        <v>133</v>
      </c>
      <c r="C36" s="826">
        <f>'Table 8 2.1.12 MFP Funded'!U35</f>
        <v>35</v>
      </c>
      <c r="D36" s="827">
        <f>'Table 3 Levels 1&amp;2'!AL39*90%</f>
        <v>4937.54266495303</v>
      </c>
      <c r="E36" s="827">
        <f t="shared" si="34"/>
        <v>172813.99327335606</v>
      </c>
      <c r="F36" s="828">
        <f>'Table 4 Level 3'!P37*90%</f>
        <v>503.79300000000001</v>
      </c>
      <c r="G36" s="828">
        <f t="shared" si="35"/>
        <v>17632.755000000001</v>
      </c>
      <c r="H36" s="828">
        <f t="shared" si="36"/>
        <v>190446.74827335606</v>
      </c>
      <c r="I36" s="828">
        <f>(('Table 3 Levels 1&amp;2'!AL39-D36)*C36)</f>
        <v>19201.554808150671</v>
      </c>
      <c r="J36" s="828">
        <f>'[1]Oct midyear LA Virtual Admy'!K35</f>
        <v>27206.678324765147</v>
      </c>
      <c r="K36" s="828">
        <f>'[1]Feb midyear LA Virtual Admy'!K35</f>
        <v>-21765.342659812119</v>
      </c>
      <c r="L36" s="828">
        <f t="shared" si="37"/>
        <v>5441.3356649530288</v>
      </c>
      <c r="M36" s="828">
        <f t="shared" si="38"/>
        <v>195888.08393830908</v>
      </c>
      <c r="N36" s="828">
        <f t="shared" si="39"/>
        <v>-490</v>
      </c>
      <c r="O36" s="829">
        <f t="shared" si="30"/>
        <v>195398.08393830908</v>
      </c>
      <c r="P36" s="829">
        <f>'[23]Oct midyear adj_LA virtual'!$M37</f>
        <v>-5381.8986037962932</v>
      </c>
      <c r="Q36" s="830">
        <f t="shared" si="40"/>
        <v>190016.18533451279</v>
      </c>
      <c r="R36" s="830">
        <f>15354+18801+19885+19885+19885+16789+16789+16789+11371+11371</f>
        <v>166919</v>
      </c>
      <c r="S36" s="830">
        <f t="shared" si="41"/>
        <v>23097.185334512789</v>
      </c>
      <c r="T36" s="830">
        <f t="shared" si="42"/>
        <v>11549</v>
      </c>
      <c r="U36" s="831">
        <f>'[14]FY2012-13 Final'!K39*90%</f>
        <v>1770.3</v>
      </c>
      <c r="V36" s="832">
        <f t="shared" si="31"/>
        <v>61960.5</v>
      </c>
      <c r="W36" s="1490">
        <f>'[20]Oct midyear LA Virtual Admy'!E35</f>
        <v>5</v>
      </c>
      <c r="X36" s="832">
        <f t="shared" si="43"/>
        <v>8851.5</v>
      </c>
      <c r="Y36" s="1490">
        <f>'[20]Feb midyear LA Virtual Admy'!E35</f>
        <v>-8</v>
      </c>
      <c r="Z36" s="832">
        <f t="shared" si="44"/>
        <v>-7081.2</v>
      </c>
      <c r="AA36" s="832">
        <f t="shared" si="45"/>
        <v>1770.3000000000002</v>
      </c>
      <c r="AB36" s="832">
        <f t="shared" si="46"/>
        <v>63730.8</v>
      </c>
      <c r="AC36" s="832">
        <f t="shared" si="47"/>
        <v>-159</v>
      </c>
      <c r="AD36" s="832">
        <f t="shared" si="48"/>
        <v>63571.8</v>
      </c>
      <c r="AE36" s="831">
        <f>'[23]Oct midyear adj_LA virtual'!$P37</f>
        <v>-1687.5</v>
      </c>
      <c r="AF36" s="851">
        <f t="shared" si="49"/>
        <v>61884.3</v>
      </c>
      <c r="AG36" s="851">
        <f>5041+6172+6527+6527+6527+5512+5512+5512+3622+3622</f>
        <v>54574</v>
      </c>
      <c r="AH36" s="851">
        <f t="shared" si="50"/>
        <v>7310.3000000000029</v>
      </c>
      <c r="AI36" s="851">
        <f t="shared" si="51"/>
        <v>3655</v>
      </c>
      <c r="AJ36" s="833">
        <f t="shared" si="32"/>
        <v>251900.48533451278</v>
      </c>
      <c r="AK36" s="833">
        <f t="shared" si="33"/>
        <v>15204</v>
      </c>
      <c r="AM36" s="1543">
        <v>-156</v>
      </c>
      <c r="AN36" s="1543">
        <v>-3</v>
      </c>
      <c r="AP36" s="1543">
        <f t="shared" si="52"/>
        <v>0</v>
      </c>
    </row>
    <row r="37" spans="1:42" s="553" customFormat="1" ht="17.25" customHeight="1">
      <c r="A37" s="103">
        <v>33</v>
      </c>
      <c r="B37" s="805" t="s">
        <v>134</v>
      </c>
      <c r="C37" s="826">
        <f>'Table 8 2.1.12 MFP Funded'!U36</f>
        <v>3</v>
      </c>
      <c r="D37" s="827">
        <f>'Table 3 Levels 1&amp;2'!AL40*90%</f>
        <v>4854.4624747794223</v>
      </c>
      <c r="E37" s="827">
        <f t="shared" si="34"/>
        <v>14563.387424338267</v>
      </c>
      <c r="F37" s="828">
        <f>'Table 4 Level 3'!P38*90%</f>
        <v>589.77900000000011</v>
      </c>
      <c r="G37" s="828">
        <f t="shared" si="35"/>
        <v>1769.3370000000004</v>
      </c>
      <c r="H37" s="828">
        <f t="shared" si="36"/>
        <v>16332.724424338267</v>
      </c>
      <c r="I37" s="828">
        <f>(('Table 3 Levels 1&amp;2'!AL40-D37)*C37)</f>
        <v>1618.1541582598056</v>
      </c>
      <c r="J37" s="828">
        <f>'[1]Oct midyear LA Virtual Admy'!K36</f>
        <v>-5444.2414747794228</v>
      </c>
      <c r="K37" s="828">
        <f>'[1]Feb midyear LA Virtual Admy'!K36</f>
        <v>0</v>
      </c>
      <c r="L37" s="828">
        <f t="shared" si="37"/>
        <v>-5444.2414747794228</v>
      </c>
      <c r="M37" s="828">
        <f t="shared" si="38"/>
        <v>10888.482949558844</v>
      </c>
      <c r="N37" s="828">
        <f t="shared" si="39"/>
        <v>-27</v>
      </c>
      <c r="O37" s="829">
        <f t="shared" ref="O37:O68" si="53">M37+N37</f>
        <v>10861.482949558844</v>
      </c>
      <c r="P37" s="829">
        <f>'[23]Oct midyear adj_LA virtual'!$M38</f>
        <v>-5740.4614273781681</v>
      </c>
      <c r="Q37" s="830">
        <f t="shared" si="40"/>
        <v>5121.0215221806757</v>
      </c>
      <c r="R37" s="830">
        <f>880*2+337+337+337+337+337+337+336+336</f>
        <v>4454</v>
      </c>
      <c r="S37" s="830">
        <f t="shared" si="41"/>
        <v>667.02152218067567</v>
      </c>
      <c r="T37" s="830">
        <f t="shared" si="42"/>
        <v>334</v>
      </c>
      <c r="U37" s="831">
        <f>'[14]FY2012-13 Final'!K40*90%</f>
        <v>2691</v>
      </c>
      <c r="V37" s="832">
        <f t="shared" ref="V37:V68" si="54">U37*C37</f>
        <v>8073</v>
      </c>
      <c r="W37" s="1490">
        <f>'[20]Oct midyear LA Virtual Admy'!E36</f>
        <v>-1</v>
      </c>
      <c r="X37" s="832">
        <f t="shared" si="43"/>
        <v>-2691</v>
      </c>
      <c r="Y37" s="1490">
        <f>'[20]Feb midyear LA Virtual Admy'!E36</f>
        <v>0</v>
      </c>
      <c r="Z37" s="832">
        <f t="shared" si="44"/>
        <v>0</v>
      </c>
      <c r="AA37" s="832">
        <f t="shared" si="45"/>
        <v>-2691</v>
      </c>
      <c r="AB37" s="832">
        <f t="shared" si="46"/>
        <v>5382</v>
      </c>
      <c r="AC37" s="832">
        <f t="shared" si="47"/>
        <v>-13</v>
      </c>
      <c r="AD37" s="832">
        <f t="shared" si="48"/>
        <v>5369</v>
      </c>
      <c r="AE37" s="831">
        <f>'[23]Oct midyear adj_LA virtual'!$P38</f>
        <v>-2740.5</v>
      </c>
      <c r="AF37" s="851">
        <f t="shared" si="49"/>
        <v>2628.5</v>
      </c>
      <c r="AG37" s="851">
        <f>457*2+183+183+183+183+183+183+56+56</f>
        <v>2124</v>
      </c>
      <c r="AH37" s="851">
        <f t="shared" si="50"/>
        <v>504.5</v>
      </c>
      <c r="AI37" s="851">
        <f t="shared" si="51"/>
        <v>252</v>
      </c>
      <c r="AJ37" s="833">
        <f t="shared" ref="AJ37:AJ73" si="55">AF37+Q37</f>
        <v>7749.5215221806757</v>
      </c>
      <c r="AK37" s="833">
        <f t="shared" ref="AK37:AK73" si="56">T37+AI37</f>
        <v>586</v>
      </c>
      <c r="AM37" s="1543">
        <v>-21</v>
      </c>
      <c r="AN37" s="1543">
        <v>9</v>
      </c>
      <c r="AP37" s="1543">
        <f t="shared" si="52"/>
        <v>-1</v>
      </c>
    </row>
    <row r="38" spans="1:42" s="553" customFormat="1" ht="17.25" customHeight="1">
      <c r="A38" s="103">
        <v>34</v>
      </c>
      <c r="B38" s="805" t="s">
        <v>135</v>
      </c>
      <c r="C38" s="826">
        <f>'Table 8 2.1.12 MFP Funded'!U37</f>
        <v>12</v>
      </c>
      <c r="D38" s="827">
        <f>'Table 3 Levels 1&amp;2'!AL41*90%</f>
        <v>5277.9194526024967</v>
      </c>
      <c r="E38" s="827">
        <f t="shared" si="34"/>
        <v>63335.03343122996</v>
      </c>
      <c r="F38" s="828">
        <f>'Table 4 Level 3'!P39*90%</f>
        <v>579.69900000000018</v>
      </c>
      <c r="G38" s="828">
        <f t="shared" si="35"/>
        <v>6956.3880000000026</v>
      </c>
      <c r="H38" s="828">
        <f t="shared" si="36"/>
        <v>70291.421431229959</v>
      </c>
      <c r="I38" s="828">
        <f>(('Table 3 Levels 1&amp;2'!AL41-D38)*C38)</f>
        <v>7037.2259368033265</v>
      </c>
      <c r="J38" s="828">
        <f>'[1]Oct midyear LA Virtual Admy'!K37</f>
        <v>23430.473810409989</v>
      </c>
      <c r="K38" s="828">
        <f>'[1]Feb midyear LA Virtual Admy'!K37</f>
        <v>-2928.8092263012486</v>
      </c>
      <c r="L38" s="828">
        <f t="shared" si="37"/>
        <v>20501.664584108741</v>
      </c>
      <c r="M38" s="828">
        <f t="shared" si="38"/>
        <v>90793.086015338704</v>
      </c>
      <c r="N38" s="828">
        <f t="shared" si="39"/>
        <v>-227</v>
      </c>
      <c r="O38" s="829">
        <f t="shared" si="53"/>
        <v>90566.086015338704</v>
      </c>
      <c r="P38" s="829">
        <f>'[23]Oct midyear adj_LA virtual'!$M39</f>
        <v>0</v>
      </c>
      <c r="Q38" s="830">
        <f t="shared" si="40"/>
        <v>90566.086015338704</v>
      </c>
      <c r="R38" s="830">
        <f>5825+10590+10590+10590+10590+6430+6430+6430+5702+5702</f>
        <v>78879</v>
      </c>
      <c r="S38" s="830">
        <f t="shared" si="41"/>
        <v>11687.086015338704</v>
      </c>
      <c r="T38" s="830">
        <f t="shared" si="42"/>
        <v>5844</v>
      </c>
      <c r="U38" s="831">
        <f>'[14]FY2012-13 Final'!K41*90%</f>
        <v>2491.2000000000003</v>
      </c>
      <c r="V38" s="832">
        <f t="shared" si="54"/>
        <v>29894.400000000001</v>
      </c>
      <c r="W38" s="1490">
        <f>'[20]Oct midyear LA Virtual Admy'!E37</f>
        <v>4</v>
      </c>
      <c r="X38" s="832">
        <f t="shared" si="43"/>
        <v>9964.8000000000011</v>
      </c>
      <c r="Y38" s="1490">
        <f>'[20]Feb midyear LA Virtual Admy'!E37</f>
        <v>-1</v>
      </c>
      <c r="Z38" s="832">
        <f t="shared" si="44"/>
        <v>-1245.6000000000001</v>
      </c>
      <c r="AA38" s="832">
        <f t="shared" si="45"/>
        <v>8719.2000000000007</v>
      </c>
      <c r="AB38" s="832">
        <f t="shared" si="46"/>
        <v>38613.600000000006</v>
      </c>
      <c r="AC38" s="832">
        <f t="shared" si="47"/>
        <v>-97</v>
      </c>
      <c r="AD38" s="832">
        <f t="shared" si="48"/>
        <v>38516.600000000006</v>
      </c>
      <c r="AE38" s="831">
        <f>'[23]Oct midyear adj_LA virtual'!$P39</f>
        <v>0</v>
      </c>
      <c r="AF38" s="851">
        <f t="shared" si="49"/>
        <v>38516.600000000006</v>
      </c>
      <c r="AG38" s="851">
        <f>2498+4541+4541+4541+4541+2757+2757+2757+2361+2361</f>
        <v>33655</v>
      </c>
      <c r="AH38" s="851">
        <f t="shared" si="50"/>
        <v>4861.6000000000058</v>
      </c>
      <c r="AI38" s="851">
        <f t="shared" si="51"/>
        <v>2431</v>
      </c>
      <c r="AJ38" s="833">
        <f t="shared" si="55"/>
        <v>129082.68601533871</v>
      </c>
      <c r="AK38" s="833">
        <f t="shared" si="56"/>
        <v>8275</v>
      </c>
      <c r="AM38" s="1543">
        <v>-75</v>
      </c>
      <c r="AN38" s="1543">
        <v>-21</v>
      </c>
      <c r="AP38" s="1543">
        <f t="shared" si="52"/>
        <v>-1</v>
      </c>
    </row>
    <row r="39" spans="1:42" s="553" customFormat="1" ht="17.25" customHeight="1">
      <c r="A39" s="104">
        <v>35</v>
      </c>
      <c r="B39" s="806" t="s">
        <v>136</v>
      </c>
      <c r="C39" s="834">
        <f>'Table 8 2.1.12 MFP Funded'!U38</f>
        <v>11</v>
      </c>
      <c r="D39" s="835">
        <f>'Table 3 Levels 1&amp;2'!AL42*90%</f>
        <v>4363.9812104131306</v>
      </c>
      <c r="E39" s="835">
        <f t="shared" si="34"/>
        <v>48003.79331454444</v>
      </c>
      <c r="F39" s="836">
        <f>'Table 4 Level 3'!P40*90%</f>
        <v>484.16400000000004</v>
      </c>
      <c r="G39" s="836">
        <f t="shared" si="35"/>
        <v>5325.8040000000001</v>
      </c>
      <c r="H39" s="836">
        <f t="shared" si="36"/>
        <v>53329.597314544444</v>
      </c>
      <c r="I39" s="836">
        <f>(('Table 3 Levels 1&amp;2'!AL42-D39)*C39)</f>
        <v>5333.754812727163</v>
      </c>
      <c r="J39" s="836">
        <f>'[1]Oct midyear LA Virtual Admy'!K38</f>
        <v>29088.87126247878</v>
      </c>
      <c r="K39" s="836">
        <f>'[1]Feb midyear LA Virtual Admy'!K38</f>
        <v>0</v>
      </c>
      <c r="L39" s="836">
        <f t="shared" si="37"/>
        <v>29088.87126247878</v>
      </c>
      <c r="M39" s="836">
        <f t="shared" si="38"/>
        <v>82418.468577023217</v>
      </c>
      <c r="N39" s="836">
        <f t="shared" si="39"/>
        <v>-206</v>
      </c>
      <c r="O39" s="837">
        <f t="shared" si="53"/>
        <v>82212.468577023217</v>
      </c>
      <c r="P39" s="837">
        <f>'[23]Oct midyear adj_LA virtual'!$M40</f>
        <v>0</v>
      </c>
      <c r="Q39" s="838">
        <f t="shared" si="40"/>
        <v>82212.468577023217</v>
      </c>
      <c r="R39" s="838">
        <f>4418+6609+8055+8055+8055+6678+6678+6678+6678+6678</f>
        <v>68582</v>
      </c>
      <c r="S39" s="838">
        <f t="shared" si="41"/>
        <v>13630.468577023217</v>
      </c>
      <c r="T39" s="838">
        <f t="shared" si="42"/>
        <v>6815</v>
      </c>
      <c r="U39" s="839">
        <f>'[14]FY2012-13 Final'!K42*90%</f>
        <v>3249.9</v>
      </c>
      <c r="V39" s="840">
        <f t="shared" si="54"/>
        <v>35748.9</v>
      </c>
      <c r="W39" s="1491">
        <f>'[20]Oct midyear LA Virtual Admy'!E38</f>
        <v>6</v>
      </c>
      <c r="X39" s="840">
        <f t="shared" si="43"/>
        <v>19499.400000000001</v>
      </c>
      <c r="Y39" s="1491">
        <f>'[20]Feb midyear LA Virtual Admy'!E38</f>
        <v>0</v>
      </c>
      <c r="Z39" s="840">
        <f t="shared" si="44"/>
        <v>0</v>
      </c>
      <c r="AA39" s="840">
        <f t="shared" si="45"/>
        <v>19499.400000000001</v>
      </c>
      <c r="AB39" s="840">
        <f t="shared" si="46"/>
        <v>55248.3</v>
      </c>
      <c r="AC39" s="840">
        <f t="shared" si="47"/>
        <v>-138</v>
      </c>
      <c r="AD39" s="840">
        <f t="shared" si="48"/>
        <v>55110.3</v>
      </c>
      <c r="AE39" s="839">
        <f>'[23]Oct midyear adj_LA virtual'!$P40</f>
        <v>0</v>
      </c>
      <c r="AF39" s="852">
        <f t="shared" si="49"/>
        <v>55110.3</v>
      </c>
      <c r="AG39" s="852">
        <f>2613+3908+4764+4764+4764+3949+3949+3949+5582+5582</f>
        <v>43824</v>
      </c>
      <c r="AH39" s="852">
        <f t="shared" si="50"/>
        <v>11286.300000000003</v>
      </c>
      <c r="AI39" s="852">
        <f t="shared" si="51"/>
        <v>5643</v>
      </c>
      <c r="AJ39" s="841">
        <f t="shared" si="55"/>
        <v>137322.76857702323</v>
      </c>
      <c r="AK39" s="841">
        <f t="shared" si="56"/>
        <v>12458</v>
      </c>
      <c r="AM39" s="1543">
        <v>-79</v>
      </c>
      <c r="AN39" s="1543">
        <v>-59</v>
      </c>
      <c r="AP39" s="1543">
        <f t="shared" si="52"/>
        <v>0</v>
      </c>
    </row>
    <row r="40" spans="1:42" s="553" customFormat="1" ht="17.25" customHeight="1">
      <c r="A40" s="103">
        <v>36</v>
      </c>
      <c r="B40" s="805" t="s">
        <v>137</v>
      </c>
      <c r="C40" s="818">
        <f>'Table 8 2.1.12 MFP Funded'!U39</f>
        <v>76</v>
      </c>
      <c r="D40" s="819">
        <f>'Table 3 Levels 1&amp;2'!AL43*90%</f>
        <v>3098.4792146014224</v>
      </c>
      <c r="E40" s="819">
        <f t="shared" si="34"/>
        <v>235484.4203097081</v>
      </c>
      <c r="F40" s="820">
        <f>'Table 5B1_RSD_Orleans'!F78*90%</f>
        <v>671.43020547945218</v>
      </c>
      <c r="G40" s="820">
        <f t="shared" si="35"/>
        <v>51028.695616438366</v>
      </c>
      <c r="H40" s="820">
        <f t="shared" si="36"/>
        <v>286513.11592614645</v>
      </c>
      <c r="I40" s="820">
        <f>(('Table 3 Levels 1&amp;2'!AL43-D40)*C40)</f>
        <v>26164.935589967557</v>
      </c>
      <c r="J40" s="820">
        <f>'[1]Oct midyear LA Virtual Admy'!K39</f>
        <v>-56548.641301213116</v>
      </c>
      <c r="K40" s="820">
        <f>'[1]Feb midyear LA Virtual Admy'!K39</f>
        <v>-16964.592390363934</v>
      </c>
      <c r="L40" s="820">
        <f t="shared" si="37"/>
        <v>-73513.233691577043</v>
      </c>
      <c r="M40" s="820">
        <f t="shared" si="38"/>
        <v>212999.88223456941</v>
      </c>
      <c r="N40" s="820">
        <f t="shared" si="39"/>
        <v>-532</v>
      </c>
      <c r="O40" s="821">
        <f t="shared" si="53"/>
        <v>212467.88223456941</v>
      </c>
      <c r="P40" s="821">
        <f>'[23]Oct midyear adj_LA virtual'!$M41</f>
        <v>-3598.2545918539108</v>
      </c>
      <c r="Q40" s="822">
        <f t="shared" si="40"/>
        <v>208869.6276427155</v>
      </c>
      <c r="R40" s="822">
        <f>23805+21729+20968+20968+20968+17161+17161+17161+12880+12880</f>
        <v>185681</v>
      </c>
      <c r="S40" s="822">
        <f t="shared" si="41"/>
        <v>23188.627642715495</v>
      </c>
      <c r="T40" s="822">
        <f t="shared" si="42"/>
        <v>11594</v>
      </c>
      <c r="U40" s="823">
        <f>'[14]FY2012-13 Final'!K43*90%</f>
        <v>4395.6000000000004</v>
      </c>
      <c r="V40" s="824">
        <f t="shared" si="54"/>
        <v>334065.60000000003</v>
      </c>
      <c r="W40" s="1489">
        <f>'[20]Oct midyear LA Virtual Admy'!E39</f>
        <v>-15</v>
      </c>
      <c r="X40" s="824">
        <f t="shared" si="43"/>
        <v>-65934</v>
      </c>
      <c r="Y40" s="1489">
        <f>'[20]Feb midyear LA Virtual Admy'!E39</f>
        <v>-9</v>
      </c>
      <c r="Z40" s="824">
        <f t="shared" si="44"/>
        <v>-19780.2</v>
      </c>
      <c r="AA40" s="824">
        <f t="shared" si="45"/>
        <v>-85714.2</v>
      </c>
      <c r="AB40" s="824">
        <f t="shared" si="46"/>
        <v>248351.40000000002</v>
      </c>
      <c r="AC40" s="824">
        <f t="shared" si="47"/>
        <v>-621</v>
      </c>
      <c r="AD40" s="824">
        <f t="shared" si="48"/>
        <v>247730.40000000002</v>
      </c>
      <c r="AE40" s="823">
        <f>'[23]Oct midyear adj_LA virtual'!$P41</f>
        <v>-4365.9000000000005</v>
      </c>
      <c r="AF40" s="850">
        <f t="shared" si="49"/>
        <v>243364.50000000003</v>
      </c>
      <c r="AG40" s="850">
        <f>26843+24499+23640+23640+23640+19345+19345+19345+12178+12178</f>
        <v>204653</v>
      </c>
      <c r="AH40" s="850">
        <f t="shared" si="50"/>
        <v>38711.500000000029</v>
      </c>
      <c r="AI40" s="850">
        <f t="shared" si="51"/>
        <v>19356</v>
      </c>
      <c r="AJ40" s="825">
        <f t="shared" si="55"/>
        <v>452234.12764271552</v>
      </c>
      <c r="AK40" s="825">
        <f t="shared" si="56"/>
        <v>30950</v>
      </c>
      <c r="AM40" s="1543">
        <v>-818</v>
      </c>
      <c r="AN40" s="1543">
        <v>233</v>
      </c>
      <c r="AP40" s="1543">
        <f t="shared" si="52"/>
        <v>-36</v>
      </c>
    </row>
    <row r="41" spans="1:42" s="553" customFormat="1" ht="17.25" customHeight="1">
      <c r="A41" s="103">
        <v>37</v>
      </c>
      <c r="B41" s="805" t="s">
        <v>138</v>
      </c>
      <c r="C41" s="826">
        <f>'Table 8 2.1.12 MFP Funded'!U40</f>
        <v>23</v>
      </c>
      <c r="D41" s="827">
        <f>'Table 3 Levels 1&amp;2'!AL44*90%</f>
        <v>4942.8578908866539</v>
      </c>
      <c r="E41" s="827">
        <f t="shared" si="34"/>
        <v>113685.73149039304</v>
      </c>
      <c r="F41" s="828">
        <f>'Table 4 Level 3'!P42*90%</f>
        <v>588.24900000000002</v>
      </c>
      <c r="G41" s="828">
        <f t="shared" si="35"/>
        <v>13529.727000000001</v>
      </c>
      <c r="H41" s="828">
        <f t="shared" si="36"/>
        <v>127215.45849039304</v>
      </c>
      <c r="I41" s="828">
        <f>(('Table 3 Levels 1&amp;2'!AL44-D41)*C41)</f>
        <v>12631.747943376991</v>
      </c>
      <c r="J41" s="828">
        <f>'[1]Oct midyear LA Virtual Admy'!K40</f>
        <v>105091.03092684642</v>
      </c>
      <c r="K41" s="828">
        <f>'[1]Feb midyear LA Virtual Admy'!K40</f>
        <v>-13827.767227216635</v>
      </c>
      <c r="L41" s="828">
        <f t="shared" si="37"/>
        <v>91263.263699629781</v>
      </c>
      <c r="M41" s="828">
        <f t="shared" si="38"/>
        <v>218478.72219002282</v>
      </c>
      <c r="N41" s="828">
        <f t="shared" si="39"/>
        <v>-546</v>
      </c>
      <c r="O41" s="829">
        <f t="shared" si="53"/>
        <v>217932.72219002282</v>
      </c>
      <c r="P41" s="829">
        <f>'[23]Oct midyear adj_LA virtual'!$M42</f>
        <v>0</v>
      </c>
      <c r="Q41" s="830">
        <f t="shared" si="40"/>
        <v>217932.72219002282</v>
      </c>
      <c r="R41" s="830">
        <f>10561+17575+19228+19228+19228+20802+20802+20802+17358+17358</f>
        <v>182942</v>
      </c>
      <c r="S41" s="830">
        <f t="shared" si="41"/>
        <v>34990.722190022818</v>
      </c>
      <c r="T41" s="830">
        <f t="shared" si="42"/>
        <v>17495</v>
      </c>
      <c r="U41" s="831">
        <f>'[14]FY2012-13 Final'!K44*90%</f>
        <v>2815.2000000000003</v>
      </c>
      <c r="V41" s="832">
        <f t="shared" si="54"/>
        <v>64749.600000000006</v>
      </c>
      <c r="W41" s="1490">
        <f>'[20]Oct midyear LA Virtual Admy'!E40</f>
        <v>19</v>
      </c>
      <c r="X41" s="832">
        <f t="shared" si="43"/>
        <v>53488.800000000003</v>
      </c>
      <c r="Y41" s="1490">
        <f>'[20]Feb midyear LA Virtual Admy'!E40</f>
        <v>-5</v>
      </c>
      <c r="Z41" s="832">
        <f t="shared" si="44"/>
        <v>-7038.0000000000009</v>
      </c>
      <c r="AA41" s="832">
        <f t="shared" si="45"/>
        <v>46450.8</v>
      </c>
      <c r="AB41" s="832">
        <f t="shared" si="46"/>
        <v>111200.40000000001</v>
      </c>
      <c r="AC41" s="832">
        <f t="shared" si="47"/>
        <v>-278</v>
      </c>
      <c r="AD41" s="832">
        <f t="shared" si="48"/>
        <v>110922.40000000001</v>
      </c>
      <c r="AE41" s="831">
        <f>'[23]Oct midyear adj_LA virtual'!$P42</f>
        <v>0</v>
      </c>
      <c r="AF41" s="851">
        <f t="shared" si="49"/>
        <v>110922.40000000001</v>
      </c>
      <c r="AG41" s="851">
        <f>5355+8911+9749+9749+9749+10547+10547+10547+8685+8685</f>
        <v>92524</v>
      </c>
      <c r="AH41" s="851">
        <f t="shared" si="50"/>
        <v>18398.400000000009</v>
      </c>
      <c r="AI41" s="851">
        <f t="shared" si="51"/>
        <v>9199</v>
      </c>
      <c r="AJ41" s="833">
        <f t="shared" si="55"/>
        <v>328855.12219002284</v>
      </c>
      <c r="AK41" s="833">
        <f t="shared" si="56"/>
        <v>26694</v>
      </c>
      <c r="AM41" s="1543">
        <v>-161</v>
      </c>
      <c r="AN41" s="1543">
        <v>-114</v>
      </c>
      <c r="AP41" s="1543">
        <f t="shared" si="52"/>
        <v>-3</v>
      </c>
    </row>
    <row r="42" spans="1:42" s="553" customFormat="1" ht="17.25" customHeight="1">
      <c r="A42" s="103">
        <v>38</v>
      </c>
      <c r="B42" s="805" t="s">
        <v>139</v>
      </c>
      <c r="C42" s="826">
        <f>'Table 8 2.1.12 MFP Funded'!U41</f>
        <v>4</v>
      </c>
      <c r="D42" s="827">
        <f>'Table 3 Levels 1&amp;2'!AL45*90%</f>
        <v>2067.229848363927</v>
      </c>
      <c r="E42" s="827">
        <f t="shared" si="34"/>
        <v>8268.9193934557079</v>
      </c>
      <c r="F42" s="828">
        <f>'Table 4 Level 3'!P43*90%</f>
        <v>746.92800000000011</v>
      </c>
      <c r="G42" s="828">
        <f t="shared" si="35"/>
        <v>2987.7120000000004</v>
      </c>
      <c r="H42" s="828">
        <f t="shared" si="36"/>
        <v>11256.631393455707</v>
      </c>
      <c r="I42" s="828">
        <f>(('Table 3 Levels 1&amp;2'!AL45-D42)*C42)</f>
        <v>918.76882149507765</v>
      </c>
      <c r="J42" s="828">
        <f>'[1]Oct midyear LA Virtual Admy'!K41</f>
        <v>5628.3156967278537</v>
      </c>
      <c r="K42" s="828">
        <f>'[1]Feb midyear LA Virtual Admy'!K41</f>
        <v>-5628.3156967278537</v>
      </c>
      <c r="L42" s="828">
        <f t="shared" si="37"/>
        <v>0</v>
      </c>
      <c r="M42" s="828">
        <f t="shared" si="38"/>
        <v>11256.631393455707</v>
      </c>
      <c r="N42" s="828">
        <f t="shared" si="39"/>
        <v>-28</v>
      </c>
      <c r="O42" s="829">
        <f t="shared" si="53"/>
        <v>11228.631393455707</v>
      </c>
      <c r="P42" s="829">
        <f>'[23]Oct midyear adj_LA virtual'!$M43</f>
        <v>0</v>
      </c>
      <c r="Q42" s="830">
        <f t="shared" si="40"/>
        <v>11228.631393455707</v>
      </c>
      <c r="R42" s="830">
        <f>904+2384+1841+1841+1841+1066+1066+1066-290-290</f>
        <v>11429</v>
      </c>
      <c r="S42" s="830">
        <f t="shared" si="41"/>
        <v>-200.36860654429256</v>
      </c>
      <c r="T42" s="830">
        <f t="shared" si="42"/>
        <v>-100</v>
      </c>
      <c r="U42" s="831">
        <f>'[14]FY2012-13 Final'!K45*90%</f>
        <v>9838.8000000000011</v>
      </c>
      <c r="V42" s="832">
        <f t="shared" si="54"/>
        <v>39355.200000000004</v>
      </c>
      <c r="W42" s="1490">
        <f>'[20]Oct midyear LA Virtual Admy'!E41</f>
        <v>2</v>
      </c>
      <c r="X42" s="832">
        <f t="shared" si="43"/>
        <v>19677.600000000002</v>
      </c>
      <c r="Y42" s="1490">
        <f>'[20]Feb midyear LA Virtual Admy'!E41</f>
        <v>-4</v>
      </c>
      <c r="Z42" s="832">
        <f t="shared" si="44"/>
        <v>-19677.600000000002</v>
      </c>
      <c r="AA42" s="832">
        <f t="shared" si="45"/>
        <v>0</v>
      </c>
      <c r="AB42" s="832">
        <f t="shared" si="46"/>
        <v>39355.200000000004</v>
      </c>
      <c r="AC42" s="832">
        <f t="shared" si="47"/>
        <v>-98</v>
      </c>
      <c r="AD42" s="832">
        <f t="shared" si="48"/>
        <v>39257.200000000004</v>
      </c>
      <c r="AE42" s="831">
        <f>'[23]Oct midyear adj_LA virtual'!$P43</f>
        <v>0</v>
      </c>
      <c r="AF42" s="851">
        <f t="shared" si="49"/>
        <v>39257.200000000004</v>
      </c>
      <c r="AG42" s="851">
        <f>2924+7709+5954+5954+5954+3448+3448+3448-1025-1025</f>
        <v>36789</v>
      </c>
      <c r="AH42" s="851">
        <f t="shared" si="50"/>
        <v>2468.2000000000044</v>
      </c>
      <c r="AI42" s="851">
        <f t="shared" si="51"/>
        <v>1234</v>
      </c>
      <c r="AJ42" s="833">
        <f t="shared" si="55"/>
        <v>50485.831393455708</v>
      </c>
      <c r="AK42" s="833">
        <f t="shared" si="56"/>
        <v>1134</v>
      </c>
      <c r="AM42" s="1543">
        <v>-88</v>
      </c>
      <c r="AN42" s="1543">
        <v>1</v>
      </c>
      <c r="AP42" s="1543">
        <f t="shared" si="52"/>
        <v>-11</v>
      </c>
    </row>
    <row r="43" spans="1:42" s="553" customFormat="1" ht="17.25" customHeight="1">
      <c r="A43" s="103">
        <v>39</v>
      </c>
      <c r="B43" s="805" t="s">
        <v>140</v>
      </c>
      <c r="C43" s="826">
        <f>'Table 8 2.1.12 MFP Funded'!U42</f>
        <v>7</v>
      </c>
      <c r="D43" s="827">
        <f>'Table 3 Levels 1&amp;2'!AL46*90%</f>
        <v>3323.3329378454041</v>
      </c>
      <c r="E43" s="827">
        <f t="shared" si="34"/>
        <v>23263.330564917829</v>
      </c>
      <c r="F43" s="828">
        <f>'Table 5B2_RSD_LA'!F21*90%</f>
        <v>701.69015738498797</v>
      </c>
      <c r="G43" s="828">
        <f t="shared" si="35"/>
        <v>4911.8311016949156</v>
      </c>
      <c r="H43" s="828">
        <f t="shared" si="36"/>
        <v>28175.161666612745</v>
      </c>
      <c r="I43" s="828">
        <f>(('Table 3 Levels 1&amp;2'!AL46-D43)*C43)</f>
        <v>2584.814507213091</v>
      </c>
      <c r="J43" s="828">
        <f>'[1]Oct midyear LA Virtual Admy'!K42</f>
        <v>8050.0461904607837</v>
      </c>
      <c r="K43" s="828">
        <f>'[1]Feb midyear LA Virtual Admy'!K42</f>
        <v>-12075.069285691176</v>
      </c>
      <c r="L43" s="828">
        <f t="shared" si="37"/>
        <v>-4025.0230952303918</v>
      </c>
      <c r="M43" s="828">
        <f t="shared" si="38"/>
        <v>24150.138571382355</v>
      </c>
      <c r="N43" s="828">
        <f t="shared" si="39"/>
        <v>-60</v>
      </c>
      <c r="O43" s="829">
        <f t="shared" si="53"/>
        <v>24090.138571382355</v>
      </c>
      <c r="P43" s="829">
        <f>'[23]Oct midyear adj_LA virtual'!$M44</f>
        <v>0</v>
      </c>
      <c r="Q43" s="830">
        <f t="shared" si="40"/>
        <v>24090.138571382355</v>
      </c>
      <c r="R43" s="830">
        <f>2339+3432+4234+4234+4234+2516+2516+2516-491-491</f>
        <v>25039</v>
      </c>
      <c r="S43" s="830">
        <f t="shared" si="41"/>
        <v>-948.86142861764529</v>
      </c>
      <c r="T43" s="830">
        <f t="shared" si="42"/>
        <v>-474</v>
      </c>
      <c r="U43" s="831">
        <f>'[14]FY2012-13 Final'!K46*90%</f>
        <v>3885.3</v>
      </c>
      <c r="V43" s="832">
        <f t="shared" si="54"/>
        <v>27197.100000000002</v>
      </c>
      <c r="W43" s="1490">
        <f>'[20]Oct midyear LA Virtual Admy'!E42</f>
        <v>2</v>
      </c>
      <c r="X43" s="832">
        <f t="shared" si="43"/>
        <v>7770.6</v>
      </c>
      <c r="Y43" s="1490">
        <f>'[20]Feb midyear LA Virtual Admy'!E42</f>
        <v>-6</v>
      </c>
      <c r="Z43" s="832">
        <f t="shared" si="44"/>
        <v>-11655.900000000001</v>
      </c>
      <c r="AA43" s="832">
        <f t="shared" si="45"/>
        <v>-3885.3000000000011</v>
      </c>
      <c r="AB43" s="832">
        <f t="shared" si="46"/>
        <v>23311.800000000003</v>
      </c>
      <c r="AC43" s="832">
        <f t="shared" si="47"/>
        <v>-58</v>
      </c>
      <c r="AD43" s="832">
        <f t="shared" si="48"/>
        <v>23253.800000000003</v>
      </c>
      <c r="AE43" s="831">
        <f>'[23]Oct midyear adj_LA virtual'!$P44</f>
        <v>0</v>
      </c>
      <c r="AF43" s="851">
        <f t="shared" si="49"/>
        <v>23253.800000000003</v>
      </c>
      <c r="AG43" s="851">
        <f>2194+3220+3973+3973+3973+2360+2360+2360-344-344</f>
        <v>23725</v>
      </c>
      <c r="AH43" s="851">
        <f t="shared" si="50"/>
        <v>-471.19999999999709</v>
      </c>
      <c r="AI43" s="851">
        <f t="shared" si="51"/>
        <v>-236</v>
      </c>
      <c r="AJ43" s="833">
        <f t="shared" si="55"/>
        <v>47343.938571382358</v>
      </c>
      <c r="AK43" s="833">
        <f t="shared" si="56"/>
        <v>-710</v>
      </c>
      <c r="AM43" s="1543">
        <v>-66</v>
      </c>
      <c r="AN43" s="1543">
        <v>8</v>
      </c>
      <c r="AP43" s="1543">
        <f t="shared" si="52"/>
        <v>0</v>
      </c>
    </row>
    <row r="44" spans="1:42" s="553" customFormat="1" ht="17.25" customHeight="1">
      <c r="A44" s="104">
        <v>40</v>
      </c>
      <c r="B44" s="806" t="s">
        <v>141</v>
      </c>
      <c r="C44" s="834">
        <f>'Table 8 2.1.12 MFP Funded'!U43</f>
        <v>31</v>
      </c>
      <c r="D44" s="835">
        <f>'Table 3 Levels 1&amp;2'!AL47*90%</f>
        <v>4407.5779034317629</v>
      </c>
      <c r="E44" s="835">
        <f t="shared" si="34"/>
        <v>136634.91500638466</v>
      </c>
      <c r="F44" s="836">
        <f>'Table 4 Level 3'!P45*90%</f>
        <v>630.24300000000005</v>
      </c>
      <c r="G44" s="836">
        <f t="shared" si="35"/>
        <v>19537.533000000003</v>
      </c>
      <c r="H44" s="836">
        <f t="shared" si="36"/>
        <v>156172.44800638466</v>
      </c>
      <c r="I44" s="836">
        <f>(('Table 3 Levels 1&amp;2'!AL47-D44)*C44)</f>
        <v>15181.657222931623</v>
      </c>
      <c r="J44" s="836">
        <f>'[1]Oct midyear LA Virtual Admy'!K43</f>
        <v>30226.925420590582</v>
      </c>
      <c r="K44" s="836">
        <f>'[1]Feb midyear LA Virtual Admy'!K43</f>
        <v>-12594.552258579408</v>
      </c>
      <c r="L44" s="836">
        <f t="shared" si="37"/>
        <v>17632.373162011172</v>
      </c>
      <c r="M44" s="836">
        <f t="shared" si="38"/>
        <v>173804.82116839584</v>
      </c>
      <c r="N44" s="836">
        <f t="shared" si="39"/>
        <v>-435</v>
      </c>
      <c r="O44" s="837">
        <f t="shared" si="53"/>
        <v>173369.82116839584</v>
      </c>
      <c r="P44" s="837">
        <f>'[23]Oct midyear adj_LA virtual'!$M45</f>
        <v>0</v>
      </c>
      <c r="Q44" s="838">
        <f t="shared" si="40"/>
        <v>173369.82116839584</v>
      </c>
      <c r="R44" s="838">
        <f>12939+18404+18904+18904+18904+13896+13896+13896+10765+10765</f>
        <v>151273</v>
      </c>
      <c r="S44" s="838">
        <f t="shared" si="41"/>
        <v>22096.821168395836</v>
      </c>
      <c r="T44" s="838">
        <f t="shared" si="42"/>
        <v>11048</v>
      </c>
      <c r="U44" s="839">
        <f>'[14]FY2012-13 Final'!K47*90%</f>
        <v>2638.8</v>
      </c>
      <c r="V44" s="840">
        <f t="shared" si="54"/>
        <v>81802.8</v>
      </c>
      <c r="W44" s="1491">
        <f>'[20]Oct midyear LA Virtual Admy'!E43</f>
        <v>6</v>
      </c>
      <c r="X44" s="840">
        <f t="shared" si="43"/>
        <v>15832.800000000001</v>
      </c>
      <c r="Y44" s="1491">
        <f>'[20]Feb midyear LA Virtual Admy'!E43</f>
        <v>-5</v>
      </c>
      <c r="Z44" s="840">
        <f t="shared" si="44"/>
        <v>-6597</v>
      </c>
      <c r="AA44" s="840">
        <f t="shared" si="45"/>
        <v>9235.8000000000011</v>
      </c>
      <c r="AB44" s="840">
        <f t="shared" si="46"/>
        <v>91038.6</v>
      </c>
      <c r="AC44" s="840">
        <f t="shared" si="47"/>
        <v>-228</v>
      </c>
      <c r="AD44" s="840">
        <f t="shared" si="48"/>
        <v>90810.6</v>
      </c>
      <c r="AE44" s="839">
        <f>'[23]Oct midyear adj_LA virtual'!$P45</f>
        <v>0</v>
      </c>
      <c r="AF44" s="852">
        <f t="shared" si="49"/>
        <v>90810.6</v>
      </c>
      <c r="AG44" s="852">
        <f>6696+9523+9782+9782+9782+7190+7190+7190+5834+5834</f>
        <v>78803</v>
      </c>
      <c r="AH44" s="852">
        <f t="shared" si="50"/>
        <v>12007.600000000006</v>
      </c>
      <c r="AI44" s="852">
        <f t="shared" si="51"/>
        <v>6004</v>
      </c>
      <c r="AJ44" s="841">
        <f t="shared" si="55"/>
        <v>264180.42116839584</v>
      </c>
      <c r="AK44" s="841">
        <f t="shared" si="56"/>
        <v>17052</v>
      </c>
      <c r="AM44" s="1543">
        <v>-201</v>
      </c>
      <c r="AN44" s="1543">
        <v>-26</v>
      </c>
      <c r="AP44" s="1543">
        <f t="shared" si="52"/>
        <v>-1</v>
      </c>
    </row>
    <row r="45" spans="1:42" s="553" customFormat="1" ht="17.25" customHeight="1">
      <c r="A45" s="103">
        <v>41</v>
      </c>
      <c r="B45" s="805" t="s">
        <v>142</v>
      </c>
      <c r="C45" s="818">
        <f>'Table 8 2.1.12 MFP Funded'!U44</f>
        <v>2</v>
      </c>
      <c r="D45" s="819">
        <f>'Table 3 Levels 1&amp;2'!AL48*90%</f>
        <v>1451.7439102564103</v>
      </c>
      <c r="E45" s="819">
        <f t="shared" si="34"/>
        <v>2903.4878205128207</v>
      </c>
      <c r="F45" s="820">
        <f>'Table 4 Level 3'!P46*90%</f>
        <v>797.59800000000007</v>
      </c>
      <c r="G45" s="820">
        <f t="shared" si="35"/>
        <v>1595.1960000000001</v>
      </c>
      <c r="H45" s="820">
        <f t="shared" si="36"/>
        <v>4498.6838205128206</v>
      </c>
      <c r="I45" s="820">
        <f>(('Table 3 Levels 1&amp;2'!AL48-D45)*C45)</f>
        <v>322.6097578347576</v>
      </c>
      <c r="J45" s="820">
        <f>'[1]Oct midyear LA Virtual Admy'!K44</f>
        <v>2249.3419102564103</v>
      </c>
      <c r="K45" s="820">
        <f>'[1]Feb midyear LA Virtual Admy'!K44</f>
        <v>-2249.3419102564103</v>
      </c>
      <c r="L45" s="820">
        <f t="shared" si="37"/>
        <v>0</v>
      </c>
      <c r="M45" s="820">
        <f t="shared" si="38"/>
        <v>4498.6838205128206</v>
      </c>
      <c r="N45" s="820">
        <f t="shared" si="39"/>
        <v>-11</v>
      </c>
      <c r="O45" s="821">
        <f t="shared" si="53"/>
        <v>4487.6838205128206</v>
      </c>
      <c r="P45" s="821">
        <f>'[23]Oct midyear adj_LA virtual'!$M46</f>
        <v>0</v>
      </c>
      <c r="Q45" s="822">
        <f t="shared" si="40"/>
        <v>4487.6838205128206</v>
      </c>
      <c r="R45" s="822">
        <f>373+781+556+556+556+557+557+557-3-3</f>
        <v>4487</v>
      </c>
      <c r="S45" s="822">
        <f t="shared" si="41"/>
        <v>0.68382051282060274</v>
      </c>
      <c r="T45" s="822">
        <f t="shared" si="42"/>
        <v>0</v>
      </c>
      <c r="U45" s="823">
        <f>'[14]FY2012-13 Final'!K48*90%</f>
        <v>10823.4</v>
      </c>
      <c r="V45" s="824">
        <f t="shared" si="54"/>
        <v>21646.799999999999</v>
      </c>
      <c r="W45" s="1489">
        <f>'[20]Oct midyear LA Virtual Admy'!E44</f>
        <v>1</v>
      </c>
      <c r="X45" s="824">
        <f t="shared" si="43"/>
        <v>10823.4</v>
      </c>
      <c r="Y45" s="1489">
        <f>'[20]Feb midyear LA Virtual Admy'!E44</f>
        <v>-2</v>
      </c>
      <c r="Z45" s="824">
        <f t="shared" si="44"/>
        <v>-10823.4</v>
      </c>
      <c r="AA45" s="824">
        <f t="shared" si="45"/>
        <v>0</v>
      </c>
      <c r="AB45" s="824">
        <f t="shared" si="46"/>
        <v>21646.799999999999</v>
      </c>
      <c r="AC45" s="824">
        <f t="shared" si="47"/>
        <v>-54</v>
      </c>
      <c r="AD45" s="824">
        <f t="shared" si="48"/>
        <v>21592.799999999999</v>
      </c>
      <c r="AE45" s="823">
        <f>'[23]Oct midyear adj_LA virtual'!$P46</f>
        <v>0</v>
      </c>
      <c r="AF45" s="850">
        <f t="shared" si="49"/>
        <v>21592.799999999999</v>
      </c>
      <c r="AG45" s="850">
        <f>1866+3901+2782+2782+2782+2782+2782+2782-217-217</f>
        <v>22025</v>
      </c>
      <c r="AH45" s="850">
        <f t="shared" si="50"/>
        <v>-432.20000000000073</v>
      </c>
      <c r="AI45" s="850">
        <f t="shared" si="51"/>
        <v>-216</v>
      </c>
      <c r="AJ45" s="825">
        <f t="shared" si="55"/>
        <v>26080.483820512818</v>
      </c>
      <c r="AK45" s="825">
        <f t="shared" si="56"/>
        <v>-216</v>
      </c>
      <c r="AM45" s="1543">
        <v>-56</v>
      </c>
      <c r="AN45" s="1543">
        <v>2</v>
      </c>
      <c r="AP45" s="1543">
        <f t="shared" si="52"/>
        <v>0</v>
      </c>
    </row>
    <row r="46" spans="1:42" s="553" customFormat="1" ht="17.25" customHeight="1">
      <c r="A46" s="103">
        <v>42</v>
      </c>
      <c r="B46" s="805" t="s">
        <v>143</v>
      </c>
      <c r="C46" s="826">
        <f>'Table 8 2.1.12 MFP Funded'!U45</f>
        <v>11</v>
      </c>
      <c r="D46" s="827">
        <f>'Table 3 Levels 1&amp;2'!AL49*90%</f>
        <v>4733.4453842483845</v>
      </c>
      <c r="E46" s="827">
        <f t="shared" si="34"/>
        <v>52067.899226732232</v>
      </c>
      <c r="F46" s="828">
        <f>'Table 4 Level 3'!P47*90%</f>
        <v>480.85199999999998</v>
      </c>
      <c r="G46" s="828">
        <f t="shared" si="35"/>
        <v>5289.3719999999994</v>
      </c>
      <c r="H46" s="828">
        <f t="shared" si="36"/>
        <v>57357.271226732235</v>
      </c>
      <c r="I46" s="828">
        <f>(('Table 3 Levels 1&amp;2'!AL49-D46)*C46)</f>
        <v>5785.3221363035755</v>
      </c>
      <c r="J46" s="828">
        <f>'[1]Oct midyear LA Virtual Admy'!K45</f>
        <v>5214.2973842483843</v>
      </c>
      <c r="K46" s="828">
        <f>'[1]Feb midyear LA Virtual Admy'!K45</f>
        <v>-13035.743460620961</v>
      </c>
      <c r="L46" s="828">
        <f t="shared" si="37"/>
        <v>-7821.4460763725765</v>
      </c>
      <c r="M46" s="828">
        <f t="shared" si="38"/>
        <v>49535.825150359655</v>
      </c>
      <c r="N46" s="828">
        <f t="shared" si="39"/>
        <v>-124</v>
      </c>
      <c r="O46" s="829">
        <f t="shared" si="53"/>
        <v>49411.825150359655</v>
      </c>
      <c r="P46" s="829">
        <f>'[23]Oct midyear adj_LA virtual'!$M47</f>
        <v>0</v>
      </c>
      <c r="Q46" s="830">
        <f t="shared" si="40"/>
        <v>49411.825150359655</v>
      </c>
      <c r="R46" s="830">
        <f>4769+6660+7180+7180+7180+4208+4208+4208+957+957</f>
        <v>47507</v>
      </c>
      <c r="S46" s="830">
        <f t="shared" si="41"/>
        <v>1904.8251503596548</v>
      </c>
      <c r="T46" s="830">
        <f t="shared" si="42"/>
        <v>952</v>
      </c>
      <c r="U46" s="831">
        <f>'[14]FY2012-13 Final'!K49*90%</f>
        <v>2592.9</v>
      </c>
      <c r="V46" s="832">
        <f t="shared" si="54"/>
        <v>28521.9</v>
      </c>
      <c r="W46" s="1490">
        <f>'[20]Oct midyear LA Virtual Admy'!E45</f>
        <v>1</v>
      </c>
      <c r="X46" s="832">
        <f t="shared" si="43"/>
        <v>2592.9</v>
      </c>
      <c r="Y46" s="1490">
        <f>'[20]Feb midyear LA Virtual Admy'!E45</f>
        <v>-5</v>
      </c>
      <c r="Z46" s="832">
        <f t="shared" si="44"/>
        <v>-6482.25</v>
      </c>
      <c r="AA46" s="832">
        <f t="shared" si="45"/>
        <v>-3889.35</v>
      </c>
      <c r="AB46" s="832">
        <f t="shared" si="46"/>
        <v>24632.550000000003</v>
      </c>
      <c r="AC46" s="832">
        <f t="shared" si="47"/>
        <v>-62</v>
      </c>
      <c r="AD46" s="832">
        <f t="shared" si="48"/>
        <v>24570.550000000003</v>
      </c>
      <c r="AE46" s="831">
        <f>'[23]Oct midyear adj_LA virtual'!$P47</f>
        <v>0</v>
      </c>
      <c r="AF46" s="851">
        <f t="shared" si="49"/>
        <v>24570.550000000003</v>
      </c>
      <c r="AG46" s="851">
        <f>1936+2705+2916+2916+2916+1708+1708+1708+817+817</f>
        <v>20147</v>
      </c>
      <c r="AH46" s="851">
        <f t="shared" si="50"/>
        <v>4423.5500000000029</v>
      </c>
      <c r="AI46" s="851">
        <f t="shared" si="51"/>
        <v>2212</v>
      </c>
      <c r="AJ46" s="833">
        <f t="shared" si="55"/>
        <v>73982.375150359658</v>
      </c>
      <c r="AK46" s="833">
        <f t="shared" si="56"/>
        <v>3164</v>
      </c>
      <c r="AM46" s="1543">
        <v>-58</v>
      </c>
      <c r="AN46" s="1543">
        <v>3</v>
      </c>
      <c r="AP46" s="1543">
        <f t="shared" si="52"/>
        <v>-7</v>
      </c>
    </row>
    <row r="47" spans="1:42" s="553" customFormat="1" ht="17.25" customHeight="1">
      <c r="A47" s="103">
        <v>43</v>
      </c>
      <c r="B47" s="805" t="s">
        <v>144</v>
      </c>
      <c r="C47" s="826">
        <f>'Table 8 2.1.12 MFP Funded'!U46</f>
        <v>15</v>
      </c>
      <c r="D47" s="827">
        <f>'Table 3 Levels 1&amp;2'!AL50*90%</f>
        <v>5042.4502871029408</v>
      </c>
      <c r="E47" s="827">
        <f t="shared" si="34"/>
        <v>75636.754306544113</v>
      </c>
      <c r="F47" s="828">
        <f>'Table 4 Level 3'!P48*90%</f>
        <v>517.14899999999989</v>
      </c>
      <c r="G47" s="828">
        <f t="shared" si="35"/>
        <v>7757.2349999999988</v>
      </c>
      <c r="H47" s="828">
        <f t="shared" si="36"/>
        <v>83393.989306544114</v>
      </c>
      <c r="I47" s="828">
        <f>(('Table 3 Levels 1&amp;2'!AL50-D47)*C47)</f>
        <v>8404.0838118382271</v>
      </c>
      <c r="J47" s="828">
        <f>'[1]Oct midyear LA Virtual Admy'!K46</f>
        <v>-33357.595722617647</v>
      </c>
      <c r="K47" s="828">
        <f>'[1]Feb midyear LA Virtual Admy'!K46</f>
        <v>-8339.3989306544117</v>
      </c>
      <c r="L47" s="828">
        <f t="shared" si="37"/>
        <v>-41696.994653272057</v>
      </c>
      <c r="M47" s="828">
        <f t="shared" si="38"/>
        <v>41696.994653272057</v>
      </c>
      <c r="N47" s="828">
        <f t="shared" si="39"/>
        <v>-104</v>
      </c>
      <c r="O47" s="829">
        <f t="shared" si="53"/>
        <v>41592.994653272057</v>
      </c>
      <c r="P47" s="829">
        <f>'[23]Oct midyear adj_LA virtual'!$M48</f>
        <v>0</v>
      </c>
      <c r="Q47" s="830">
        <f t="shared" si="40"/>
        <v>41592.994653272057</v>
      </c>
      <c r="R47" s="830">
        <f>6915+3897+4451+4451+4451+3660+3660+3660+1586+1586</f>
        <v>38317</v>
      </c>
      <c r="S47" s="830">
        <f t="shared" si="41"/>
        <v>3275.9946532720569</v>
      </c>
      <c r="T47" s="830">
        <f t="shared" si="42"/>
        <v>1638</v>
      </c>
      <c r="U47" s="831">
        <f>'[14]FY2012-13 Final'!K50*90%</f>
        <v>4743</v>
      </c>
      <c r="V47" s="832">
        <f t="shared" si="54"/>
        <v>71145</v>
      </c>
      <c r="W47" s="1490">
        <f>'[20]Oct midyear LA Virtual Admy'!E46</f>
        <v>-6</v>
      </c>
      <c r="X47" s="832">
        <f t="shared" si="43"/>
        <v>-28458</v>
      </c>
      <c r="Y47" s="1490">
        <f>'[20]Feb midyear LA Virtual Admy'!E46</f>
        <v>-3</v>
      </c>
      <c r="Z47" s="832">
        <f t="shared" si="44"/>
        <v>-7114.5</v>
      </c>
      <c r="AA47" s="832">
        <f t="shared" si="45"/>
        <v>-35572.5</v>
      </c>
      <c r="AB47" s="832">
        <f t="shared" si="46"/>
        <v>35572.5</v>
      </c>
      <c r="AC47" s="832">
        <f t="shared" si="47"/>
        <v>-89</v>
      </c>
      <c r="AD47" s="832">
        <f t="shared" si="48"/>
        <v>35483.5</v>
      </c>
      <c r="AE47" s="831">
        <f>'[23]Oct midyear adj_LA virtual'!$P48</f>
        <v>0</v>
      </c>
      <c r="AF47" s="851">
        <f t="shared" si="49"/>
        <v>35483.5</v>
      </c>
      <c r="AG47" s="851">
        <f>6283+3541+4044+4044+4044+3326+3326+3326+879+879</f>
        <v>33692</v>
      </c>
      <c r="AH47" s="851">
        <f t="shared" si="50"/>
        <v>1791.5</v>
      </c>
      <c r="AI47" s="851">
        <f t="shared" si="51"/>
        <v>896</v>
      </c>
      <c r="AJ47" s="833">
        <f t="shared" si="55"/>
        <v>77076.494653272064</v>
      </c>
      <c r="AK47" s="833">
        <f t="shared" si="56"/>
        <v>2534</v>
      </c>
      <c r="AM47" s="1543">
        <v>-189</v>
      </c>
      <c r="AN47" s="1543">
        <v>100</v>
      </c>
      <c r="AP47" s="1543">
        <f t="shared" si="52"/>
        <v>0</v>
      </c>
    </row>
    <row r="48" spans="1:42" s="553" customFormat="1" ht="17.25" customHeight="1">
      <c r="A48" s="103">
        <v>44</v>
      </c>
      <c r="B48" s="805" t="s">
        <v>145</v>
      </c>
      <c r="C48" s="826">
        <f>'Table 8 2.1.12 MFP Funded'!U47</f>
        <v>5</v>
      </c>
      <c r="D48" s="827">
        <f>'Table 3 Levels 1&amp;2'!AL51*90%</f>
        <v>3710.7279832530739</v>
      </c>
      <c r="E48" s="827">
        <f t="shared" si="34"/>
        <v>18553.639916265369</v>
      </c>
      <c r="F48" s="828">
        <f>'Table 4 Level 3'!P49*90%</f>
        <v>596.84400000000005</v>
      </c>
      <c r="G48" s="828">
        <f t="shared" si="35"/>
        <v>2984.2200000000003</v>
      </c>
      <c r="H48" s="828">
        <f t="shared" si="36"/>
        <v>21537.85991626537</v>
      </c>
      <c r="I48" s="828">
        <f>(('Table 3 Levels 1&amp;2'!AL51-D48)*C48)</f>
        <v>2061.5155462517077</v>
      </c>
      <c r="J48" s="828">
        <f>'[1]Oct midyear LA Virtual Admy'!K47</f>
        <v>-4307.571983253074</v>
      </c>
      <c r="K48" s="828">
        <f>'[1]Feb midyear LA Virtual Admy'!K47</f>
        <v>-2153.785991626537</v>
      </c>
      <c r="L48" s="828">
        <f t="shared" si="37"/>
        <v>-6461.357974879611</v>
      </c>
      <c r="M48" s="828">
        <f t="shared" si="38"/>
        <v>15076.501941385759</v>
      </c>
      <c r="N48" s="828">
        <f t="shared" si="39"/>
        <v>-38</v>
      </c>
      <c r="O48" s="829">
        <f t="shared" si="53"/>
        <v>15038.501941385759</v>
      </c>
      <c r="P48" s="829">
        <f>'[23]Oct midyear adj_LA virtual'!$M49</f>
        <v>0</v>
      </c>
      <c r="Q48" s="830">
        <f t="shared" si="40"/>
        <v>15038.501941385759</v>
      </c>
      <c r="R48" s="830">
        <f>1787+2566+2138+2138+2138+912+912+912+376+376</f>
        <v>14255</v>
      </c>
      <c r="S48" s="830">
        <f t="shared" si="41"/>
        <v>783.50194138575898</v>
      </c>
      <c r="T48" s="830">
        <f t="shared" si="42"/>
        <v>392</v>
      </c>
      <c r="U48" s="831">
        <f>'[14]FY2012-13 Final'!K51*90%</f>
        <v>3719.7000000000003</v>
      </c>
      <c r="V48" s="832">
        <f t="shared" si="54"/>
        <v>18598.5</v>
      </c>
      <c r="W48" s="1490">
        <f>'[20]Oct midyear LA Virtual Admy'!E47</f>
        <v>-1</v>
      </c>
      <c r="X48" s="832">
        <f t="shared" si="43"/>
        <v>-3719.7000000000003</v>
      </c>
      <c r="Y48" s="1490">
        <f>'[20]Feb midyear LA Virtual Admy'!E47</f>
        <v>-1</v>
      </c>
      <c r="Z48" s="832">
        <f t="shared" si="44"/>
        <v>-1859.8500000000001</v>
      </c>
      <c r="AA48" s="832">
        <f t="shared" si="45"/>
        <v>-5579.55</v>
      </c>
      <c r="AB48" s="832">
        <f t="shared" si="46"/>
        <v>13018.95</v>
      </c>
      <c r="AC48" s="832">
        <f t="shared" si="47"/>
        <v>-33</v>
      </c>
      <c r="AD48" s="832">
        <f t="shared" si="48"/>
        <v>12985.95</v>
      </c>
      <c r="AE48" s="831">
        <f>'[23]Oct midyear adj_LA virtual'!$P49</f>
        <v>0</v>
      </c>
      <c r="AF48" s="851">
        <f t="shared" si="49"/>
        <v>12985.95</v>
      </c>
      <c r="AG48" s="851">
        <f>1744+2504+2086+2086+2086+890+890+890-66-66</f>
        <v>13044</v>
      </c>
      <c r="AH48" s="851">
        <f t="shared" si="50"/>
        <v>-58.049999999999272</v>
      </c>
      <c r="AI48" s="851">
        <f t="shared" si="51"/>
        <v>-29</v>
      </c>
      <c r="AJ48" s="833">
        <f t="shared" si="55"/>
        <v>28024.45194138576</v>
      </c>
      <c r="AK48" s="833">
        <f t="shared" si="56"/>
        <v>363</v>
      </c>
      <c r="AM48" s="1543">
        <v>-52</v>
      </c>
      <c r="AN48" s="1543">
        <v>20</v>
      </c>
      <c r="AP48" s="1543">
        <f t="shared" si="52"/>
        <v>-1</v>
      </c>
    </row>
    <row r="49" spans="1:42" s="553" customFormat="1" ht="17.25" customHeight="1">
      <c r="A49" s="104">
        <v>45</v>
      </c>
      <c r="B49" s="806" t="s">
        <v>146</v>
      </c>
      <c r="C49" s="834">
        <f>'Table 8 2.1.12 MFP Funded'!U48</f>
        <v>2</v>
      </c>
      <c r="D49" s="835">
        <f>'Table 3 Levels 1&amp;2'!AL52*90%</f>
        <v>2185.8081907999576</v>
      </c>
      <c r="E49" s="835">
        <f t="shared" si="34"/>
        <v>4371.6163815999153</v>
      </c>
      <c r="F49" s="836">
        <f>'Table 4 Level 3'!P50*90%</f>
        <v>678.56400000000019</v>
      </c>
      <c r="G49" s="836">
        <f t="shared" si="35"/>
        <v>1357.1280000000004</v>
      </c>
      <c r="H49" s="836">
        <f t="shared" si="36"/>
        <v>5728.7443815999159</v>
      </c>
      <c r="I49" s="836">
        <f>(('Table 3 Levels 1&amp;2'!AL52-D49)*C49)</f>
        <v>485.73515351110109</v>
      </c>
      <c r="J49" s="836">
        <f>'[1]Oct midyear LA Virtual Admy'!K48</f>
        <v>0</v>
      </c>
      <c r="K49" s="836">
        <f>'[1]Feb midyear LA Virtual Admy'!K48</f>
        <v>0</v>
      </c>
      <c r="L49" s="836">
        <f t="shared" si="37"/>
        <v>0</v>
      </c>
      <c r="M49" s="836">
        <f t="shared" si="38"/>
        <v>5728.7443815999159</v>
      </c>
      <c r="N49" s="836">
        <f t="shared" si="39"/>
        <v>-14</v>
      </c>
      <c r="O49" s="837">
        <f t="shared" si="53"/>
        <v>5714.7443815999159</v>
      </c>
      <c r="P49" s="837">
        <f>'[23]Oct midyear adj_LA virtual'!$M50</f>
        <v>0</v>
      </c>
      <c r="Q49" s="838">
        <f t="shared" si="40"/>
        <v>5714.7443815999159</v>
      </c>
      <c r="R49" s="838">
        <f>474*10</f>
        <v>4740</v>
      </c>
      <c r="S49" s="838">
        <f t="shared" si="41"/>
        <v>974.74438159991587</v>
      </c>
      <c r="T49" s="838">
        <f t="shared" si="42"/>
        <v>487</v>
      </c>
      <c r="U49" s="839">
        <f>'[14]FY2012-13 Final'!K52*90%</f>
        <v>11201.4</v>
      </c>
      <c r="V49" s="840">
        <f t="shared" si="54"/>
        <v>22402.799999999999</v>
      </c>
      <c r="W49" s="1491">
        <f>'[20]Oct midyear LA Virtual Admy'!E48</f>
        <v>0</v>
      </c>
      <c r="X49" s="840">
        <f t="shared" si="43"/>
        <v>0</v>
      </c>
      <c r="Y49" s="1491">
        <f>'[20]Feb midyear LA Virtual Admy'!E48</f>
        <v>0</v>
      </c>
      <c r="Z49" s="840">
        <f t="shared" si="44"/>
        <v>0</v>
      </c>
      <c r="AA49" s="840">
        <f t="shared" si="45"/>
        <v>0</v>
      </c>
      <c r="AB49" s="840">
        <f t="shared" si="46"/>
        <v>22402.799999999999</v>
      </c>
      <c r="AC49" s="840">
        <f t="shared" si="47"/>
        <v>-56</v>
      </c>
      <c r="AD49" s="840">
        <f t="shared" si="48"/>
        <v>22346.799999999999</v>
      </c>
      <c r="AE49" s="839">
        <f>'[23]Oct midyear adj_LA virtual'!$P50</f>
        <v>0</v>
      </c>
      <c r="AF49" s="852">
        <f t="shared" si="49"/>
        <v>22346.799999999999</v>
      </c>
      <c r="AG49" s="852">
        <f>1743*8+2092+2092</f>
        <v>18128</v>
      </c>
      <c r="AH49" s="852">
        <f t="shared" si="50"/>
        <v>4218.7999999999993</v>
      </c>
      <c r="AI49" s="852">
        <f t="shared" si="51"/>
        <v>2109</v>
      </c>
      <c r="AJ49" s="841">
        <f t="shared" si="55"/>
        <v>28061.544381599917</v>
      </c>
      <c r="AK49" s="841">
        <f t="shared" si="56"/>
        <v>2596</v>
      </c>
      <c r="AM49" s="1543">
        <v>-52</v>
      </c>
      <c r="AN49" s="1543">
        <v>-4</v>
      </c>
      <c r="AP49" s="1543">
        <f t="shared" si="52"/>
        <v>0</v>
      </c>
    </row>
    <row r="50" spans="1:42" s="553" customFormat="1" ht="17.25" customHeight="1">
      <c r="A50" s="103">
        <v>46</v>
      </c>
      <c r="B50" s="805" t="s">
        <v>147</v>
      </c>
      <c r="C50" s="818">
        <f>'Table 8 2.1.12 MFP Funded'!U49</f>
        <v>7</v>
      </c>
      <c r="D50" s="819">
        <f>'Table 3 Levels 1&amp;2'!AL53*90%</f>
        <v>5205.2515612025381</v>
      </c>
      <c r="E50" s="819">
        <f t="shared" si="34"/>
        <v>36436.760928417767</v>
      </c>
      <c r="F50" s="820">
        <f>'Table 4 Level 3'!P51*90%</f>
        <v>655.25400000000002</v>
      </c>
      <c r="G50" s="820">
        <f t="shared" si="35"/>
        <v>4586.7780000000002</v>
      </c>
      <c r="H50" s="820">
        <f t="shared" si="36"/>
        <v>41023.538928417765</v>
      </c>
      <c r="I50" s="820">
        <f>(('Table 3 Levels 1&amp;2'!AL53-D50)*C50)</f>
        <v>4048.5289920464193</v>
      </c>
      <c r="J50" s="820">
        <f>'[1]Oct midyear LA Virtual Admy'!K49</f>
        <v>17581.516683607613</v>
      </c>
      <c r="K50" s="820">
        <f>'[1]Feb midyear LA Virtual Admy'!K49</f>
        <v>-2930.252780601269</v>
      </c>
      <c r="L50" s="820">
        <f t="shared" si="37"/>
        <v>14651.263903006344</v>
      </c>
      <c r="M50" s="820">
        <f t="shared" si="38"/>
        <v>55674.802831424109</v>
      </c>
      <c r="N50" s="820">
        <f t="shared" si="39"/>
        <v>-139</v>
      </c>
      <c r="O50" s="821">
        <f t="shared" si="53"/>
        <v>55535.802831424109</v>
      </c>
      <c r="P50" s="821">
        <f>'[23]Oct midyear adj_LA virtual'!$M51</f>
        <v>0</v>
      </c>
      <c r="Q50" s="822">
        <f t="shared" si="40"/>
        <v>55535.802831424109</v>
      </c>
      <c r="R50" s="822">
        <f>3400+4990+5573+5573+5573+4740+4740+4740+4012+4012</f>
        <v>47353</v>
      </c>
      <c r="S50" s="822">
        <f t="shared" si="41"/>
        <v>8182.8028314241092</v>
      </c>
      <c r="T50" s="822">
        <f t="shared" si="42"/>
        <v>4091</v>
      </c>
      <c r="U50" s="823">
        <f>'[14]FY2012-13 Final'!K53*90%</f>
        <v>1778.4</v>
      </c>
      <c r="V50" s="824">
        <f t="shared" si="54"/>
        <v>12448.800000000001</v>
      </c>
      <c r="W50" s="1489">
        <f>'[20]Oct midyear LA Virtual Admy'!E49</f>
        <v>3</v>
      </c>
      <c r="X50" s="824">
        <f t="shared" si="43"/>
        <v>5335.2000000000007</v>
      </c>
      <c r="Y50" s="1489">
        <f>'[20]Feb midyear LA Virtual Admy'!E49</f>
        <v>-1</v>
      </c>
      <c r="Z50" s="824">
        <f t="shared" si="44"/>
        <v>-889.2</v>
      </c>
      <c r="AA50" s="824">
        <f t="shared" si="45"/>
        <v>4446.0000000000009</v>
      </c>
      <c r="AB50" s="824">
        <f t="shared" si="46"/>
        <v>16894.800000000003</v>
      </c>
      <c r="AC50" s="824">
        <f t="shared" si="47"/>
        <v>-42</v>
      </c>
      <c r="AD50" s="824">
        <f t="shared" si="48"/>
        <v>16852.800000000003</v>
      </c>
      <c r="AE50" s="823">
        <f>'[23]Oct midyear adj_LA virtual'!$P51</f>
        <v>0</v>
      </c>
      <c r="AF50" s="850">
        <f t="shared" si="49"/>
        <v>16852.800000000003</v>
      </c>
      <c r="AG50" s="850">
        <f>937+1375+1536+1536+1536+1306+1306+1306+1487+1487</f>
        <v>13812</v>
      </c>
      <c r="AH50" s="850">
        <f t="shared" si="50"/>
        <v>3040.8000000000029</v>
      </c>
      <c r="AI50" s="850">
        <f t="shared" si="51"/>
        <v>1520</v>
      </c>
      <c r="AJ50" s="825">
        <f t="shared" si="55"/>
        <v>72388.602831424112</v>
      </c>
      <c r="AK50" s="825">
        <f t="shared" si="56"/>
        <v>5611</v>
      </c>
      <c r="AM50" s="1543">
        <v>-28</v>
      </c>
      <c r="AN50" s="1543">
        <v>-14</v>
      </c>
      <c r="AP50" s="1543">
        <f t="shared" si="52"/>
        <v>0</v>
      </c>
    </row>
    <row r="51" spans="1:42" s="553" customFormat="1" ht="17.25" customHeight="1">
      <c r="A51" s="103">
        <v>47</v>
      </c>
      <c r="B51" s="805" t="s">
        <v>148</v>
      </c>
      <c r="C51" s="826">
        <f>'Table 8 2.1.12 MFP Funded'!U50</f>
        <v>3</v>
      </c>
      <c r="D51" s="827">
        <f>'Table 3 Levels 1&amp;2'!AL54*90%</f>
        <v>2888.8324220827371</v>
      </c>
      <c r="E51" s="827">
        <f t="shared" si="34"/>
        <v>8666.4972662482105</v>
      </c>
      <c r="F51" s="828">
        <f>'Table 4 Level 3'!P52*90%</f>
        <v>819.68399999999997</v>
      </c>
      <c r="G51" s="828">
        <f t="shared" si="35"/>
        <v>2459.0519999999997</v>
      </c>
      <c r="H51" s="828">
        <f t="shared" si="36"/>
        <v>11125.54926624821</v>
      </c>
      <c r="I51" s="828">
        <f>(('Table 3 Levels 1&amp;2'!AL54-D51)*C51)</f>
        <v>962.94414069424556</v>
      </c>
      <c r="J51" s="828">
        <f>'[1]Oct midyear LA Virtual Admy'!K50</f>
        <v>-3708.5164220827373</v>
      </c>
      <c r="K51" s="828">
        <f>'[1]Feb midyear LA Virtual Admy'!K50</f>
        <v>0</v>
      </c>
      <c r="L51" s="828">
        <f t="shared" si="37"/>
        <v>-3708.5164220827373</v>
      </c>
      <c r="M51" s="828">
        <f t="shared" si="38"/>
        <v>7417.0328441654729</v>
      </c>
      <c r="N51" s="828">
        <f t="shared" si="39"/>
        <v>-19</v>
      </c>
      <c r="O51" s="829">
        <f t="shared" si="53"/>
        <v>7398.0328441654729</v>
      </c>
      <c r="P51" s="829">
        <f>'[23]Oct midyear adj_LA virtual'!$M52</f>
        <v>0</v>
      </c>
      <c r="Q51" s="830">
        <f t="shared" si="40"/>
        <v>7398.0328441654729</v>
      </c>
      <c r="R51" s="830">
        <f>919+585+585+585+585+585+585+585+586+586</f>
        <v>6186</v>
      </c>
      <c r="S51" s="830">
        <f t="shared" si="41"/>
        <v>1212.0328441654729</v>
      </c>
      <c r="T51" s="830">
        <f t="shared" si="42"/>
        <v>606</v>
      </c>
      <c r="U51" s="831">
        <f>'[14]FY2012-13 Final'!K54*90%</f>
        <v>9060.3000000000011</v>
      </c>
      <c r="V51" s="832">
        <f t="shared" si="54"/>
        <v>27180.9</v>
      </c>
      <c r="W51" s="1490">
        <f>'[20]Oct midyear LA Virtual Admy'!E50</f>
        <v>-1</v>
      </c>
      <c r="X51" s="832">
        <f t="shared" si="43"/>
        <v>-9060.3000000000011</v>
      </c>
      <c r="Y51" s="1490">
        <f>'[20]Feb midyear LA Virtual Admy'!E50</f>
        <v>0</v>
      </c>
      <c r="Z51" s="832">
        <f t="shared" si="44"/>
        <v>0</v>
      </c>
      <c r="AA51" s="832">
        <f t="shared" si="45"/>
        <v>-9060.3000000000011</v>
      </c>
      <c r="AB51" s="832">
        <f t="shared" si="46"/>
        <v>18120.599999999999</v>
      </c>
      <c r="AC51" s="832">
        <f t="shared" si="47"/>
        <v>-45</v>
      </c>
      <c r="AD51" s="832">
        <f t="shared" si="48"/>
        <v>18075.599999999999</v>
      </c>
      <c r="AE51" s="831">
        <f>'[23]Oct midyear adj_LA virtual'!$P52</f>
        <v>0</v>
      </c>
      <c r="AF51" s="851">
        <f t="shared" si="49"/>
        <v>18075.599999999999</v>
      </c>
      <c r="AG51" s="851">
        <f>2232+1421+1421+1421+1421+1421+1421+1421+1466+1466</f>
        <v>15111</v>
      </c>
      <c r="AH51" s="851">
        <f t="shared" si="50"/>
        <v>2964.5999999999985</v>
      </c>
      <c r="AI51" s="851">
        <f t="shared" si="51"/>
        <v>1482</v>
      </c>
      <c r="AJ51" s="833">
        <f t="shared" si="55"/>
        <v>25473.63284416547</v>
      </c>
      <c r="AK51" s="833">
        <f t="shared" si="56"/>
        <v>2088</v>
      </c>
      <c r="AM51" s="1543">
        <v>-67</v>
      </c>
      <c r="AN51" s="1543">
        <v>22</v>
      </c>
      <c r="AP51" s="1543">
        <f t="shared" si="52"/>
        <v>0</v>
      </c>
    </row>
    <row r="52" spans="1:42" s="553" customFormat="1" ht="17.25" customHeight="1">
      <c r="A52" s="103">
        <v>48</v>
      </c>
      <c r="B52" s="805" t="s">
        <v>217</v>
      </c>
      <c r="C52" s="826">
        <f>'Table 8 2.1.12 MFP Funded'!U51</f>
        <v>13</v>
      </c>
      <c r="D52" s="827">
        <f>'Table 3 Levels 1&amp;2'!AL55*90%</f>
        <v>3850.3761095458653</v>
      </c>
      <c r="E52" s="827">
        <f t="shared" si="34"/>
        <v>50054.889424096247</v>
      </c>
      <c r="F52" s="828">
        <f>'Table 4 Level 3'!P53*90%</f>
        <v>783.96300000000008</v>
      </c>
      <c r="G52" s="828">
        <f t="shared" si="35"/>
        <v>10191.519</v>
      </c>
      <c r="H52" s="828">
        <f t="shared" si="36"/>
        <v>60246.408424096247</v>
      </c>
      <c r="I52" s="828">
        <f>(('Table 3 Levels 1&amp;2'!AL55-D52)*C52)</f>
        <v>5561.6543804551384</v>
      </c>
      <c r="J52" s="828">
        <f>'[1]Oct midyear LA Virtual Admy'!K51</f>
        <v>78783.764862279713</v>
      </c>
      <c r="K52" s="828">
        <f>'[1]Feb midyear LA Virtual Admy'!K51</f>
        <v>-2317.1695547729328</v>
      </c>
      <c r="L52" s="828">
        <f t="shared" si="37"/>
        <v>76466.595307506781</v>
      </c>
      <c r="M52" s="828">
        <f t="shared" si="38"/>
        <v>136713.00373160304</v>
      </c>
      <c r="N52" s="828">
        <f t="shared" si="39"/>
        <v>-342</v>
      </c>
      <c r="O52" s="829">
        <f t="shared" si="53"/>
        <v>136371.00373160304</v>
      </c>
      <c r="P52" s="829">
        <f>'[23]Oct midyear adj_LA virtual'!$M53</f>
        <v>0</v>
      </c>
      <c r="Q52" s="830">
        <f t="shared" si="40"/>
        <v>136371.00373160304</v>
      </c>
      <c r="R52" s="830">
        <f>4991+11273+13576+13576+13576+11602+11602+11602+11026+11026</f>
        <v>113850</v>
      </c>
      <c r="S52" s="830">
        <f t="shared" si="41"/>
        <v>22521.003731603036</v>
      </c>
      <c r="T52" s="830">
        <f t="shared" si="42"/>
        <v>11261</v>
      </c>
      <c r="U52" s="831">
        <f>'[14]FY2012-13 Final'!K55*90%</f>
        <v>5264.1</v>
      </c>
      <c r="V52" s="832">
        <f t="shared" si="54"/>
        <v>68433.3</v>
      </c>
      <c r="W52" s="1490">
        <f>'[20]Oct midyear LA Virtual Admy'!E51</f>
        <v>17</v>
      </c>
      <c r="X52" s="832">
        <f t="shared" si="43"/>
        <v>89489.700000000012</v>
      </c>
      <c r="Y52" s="1490">
        <f>'[20]Feb midyear LA Virtual Admy'!E51</f>
        <v>-1</v>
      </c>
      <c r="Z52" s="832">
        <f t="shared" si="44"/>
        <v>-2632.05</v>
      </c>
      <c r="AA52" s="832">
        <f t="shared" si="45"/>
        <v>86857.650000000009</v>
      </c>
      <c r="AB52" s="832">
        <f t="shared" si="46"/>
        <v>155290.95000000001</v>
      </c>
      <c r="AC52" s="832">
        <f t="shared" si="47"/>
        <v>-388</v>
      </c>
      <c r="AD52" s="832">
        <f t="shared" si="48"/>
        <v>154902.95000000001</v>
      </c>
      <c r="AE52" s="831">
        <f>'[23]Oct midyear adj_LA virtual'!$P53</f>
        <v>0</v>
      </c>
      <c r="AF52" s="851">
        <f t="shared" si="49"/>
        <v>154902.95000000001</v>
      </c>
      <c r="AG52" s="851">
        <f>5179+11698+14088+14088+14088+12039+12039+12039+14289+14289</f>
        <v>123836</v>
      </c>
      <c r="AH52" s="851">
        <f t="shared" si="50"/>
        <v>31066.950000000012</v>
      </c>
      <c r="AI52" s="851">
        <f t="shared" si="51"/>
        <v>15533</v>
      </c>
      <c r="AJ52" s="833">
        <f t="shared" si="55"/>
        <v>291273.95373160305</v>
      </c>
      <c r="AK52" s="833">
        <f t="shared" si="56"/>
        <v>26794</v>
      </c>
      <c r="AM52" s="1543">
        <v>-156</v>
      </c>
      <c r="AN52" s="1543">
        <v>-226</v>
      </c>
      <c r="AP52" s="1543">
        <f t="shared" si="52"/>
        <v>-6</v>
      </c>
    </row>
    <row r="53" spans="1:42" s="553" customFormat="1" ht="17.25" customHeight="1">
      <c r="A53" s="103">
        <v>49</v>
      </c>
      <c r="B53" s="805" t="s">
        <v>149</v>
      </c>
      <c r="C53" s="826">
        <f>'Table 8 2.1.12 MFP Funded'!U52</f>
        <v>50</v>
      </c>
      <c r="D53" s="827">
        <f>'Table 3 Levels 1&amp;2'!AL56*90%</f>
        <v>4337.2549677574598</v>
      </c>
      <c r="E53" s="827">
        <f t="shared" si="34"/>
        <v>216862.748387873</v>
      </c>
      <c r="F53" s="828">
        <f>'Table 4 Level 3'!P54*90%</f>
        <v>516.99599999999998</v>
      </c>
      <c r="G53" s="828">
        <f t="shared" si="35"/>
        <v>25849.8</v>
      </c>
      <c r="H53" s="828">
        <f t="shared" si="36"/>
        <v>242712.54838787299</v>
      </c>
      <c r="I53" s="828">
        <f>(('Table 3 Levels 1&amp;2'!AL56-D53)*C53)</f>
        <v>24095.860931985862</v>
      </c>
      <c r="J53" s="828">
        <f>'[1]Oct midyear LA Virtual Admy'!K52</f>
        <v>19417.00387102984</v>
      </c>
      <c r="K53" s="828">
        <f>'[1]Feb midyear LA Virtual Admy'!K52</f>
        <v>-16989.878387151111</v>
      </c>
      <c r="L53" s="828">
        <f t="shared" si="37"/>
        <v>2427.1254838787281</v>
      </c>
      <c r="M53" s="828">
        <f t="shared" si="38"/>
        <v>245139.6738717517</v>
      </c>
      <c r="N53" s="828">
        <f t="shared" si="39"/>
        <v>-613</v>
      </c>
      <c r="O53" s="829">
        <f t="shared" si="53"/>
        <v>244526.6738717517</v>
      </c>
      <c r="P53" s="829">
        <f>'[23]Oct midyear adj_LA virtual'!$M54</f>
        <v>0</v>
      </c>
      <c r="Q53" s="830">
        <f t="shared" si="40"/>
        <v>244526.6738717517</v>
      </c>
      <c r="R53" s="830">
        <f>20105+31071+25763+25763+25763+18870+18870+18870+14648+14648</f>
        <v>214371</v>
      </c>
      <c r="S53" s="830">
        <f t="shared" si="41"/>
        <v>30155.6738717517</v>
      </c>
      <c r="T53" s="830">
        <f t="shared" si="42"/>
        <v>15078</v>
      </c>
      <c r="U53" s="831">
        <f>'[14]FY2012-13 Final'!K56*90%</f>
        <v>2110.5</v>
      </c>
      <c r="V53" s="832">
        <f t="shared" si="54"/>
        <v>105525</v>
      </c>
      <c r="W53" s="1490">
        <f>'[20]Oct midyear LA Virtual Admy'!E52</f>
        <v>4</v>
      </c>
      <c r="X53" s="832">
        <f t="shared" si="43"/>
        <v>8442</v>
      </c>
      <c r="Y53" s="1490">
        <f>'[20]Feb midyear LA Virtual Admy'!E52</f>
        <v>-7</v>
      </c>
      <c r="Z53" s="832">
        <f t="shared" si="44"/>
        <v>-7386.75</v>
      </c>
      <c r="AA53" s="832">
        <f t="shared" si="45"/>
        <v>1055.25</v>
      </c>
      <c r="AB53" s="832">
        <f t="shared" si="46"/>
        <v>106580.25</v>
      </c>
      <c r="AC53" s="832">
        <f t="shared" si="47"/>
        <v>-266</v>
      </c>
      <c r="AD53" s="832">
        <f t="shared" si="48"/>
        <v>106314.25</v>
      </c>
      <c r="AE53" s="831">
        <f>'[23]Oct midyear adj_LA virtual'!$P54</f>
        <v>0</v>
      </c>
      <c r="AF53" s="851">
        <f t="shared" si="49"/>
        <v>106314.25</v>
      </c>
      <c r="AG53" s="851">
        <f>8701+13446+11150+11150+11150+8166+8166+8166+6441+6441</f>
        <v>92977</v>
      </c>
      <c r="AH53" s="851">
        <f t="shared" si="50"/>
        <v>13337.25</v>
      </c>
      <c r="AI53" s="851">
        <f t="shared" si="51"/>
        <v>6669</v>
      </c>
      <c r="AJ53" s="833">
        <f t="shared" si="55"/>
        <v>350840.9238717517</v>
      </c>
      <c r="AK53" s="833">
        <f t="shared" si="56"/>
        <v>21747</v>
      </c>
      <c r="AM53" s="1543">
        <v>-262</v>
      </c>
      <c r="AN53" s="1543">
        <v>-3</v>
      </c>
      <c r="AP53" s="1543">
        <f t="shared" si="52"/>
        <v>-1</v>
      </c>
    </row>
    <row r="54" spans="1:42" s="553" customFormat="1" ht="17.25" customHeight="1">
      <c r="A54" s="104">
        <v>50</v>
      </c>
      <c r="B54" s="806" t="s">
        <v>150</v>
      </c>
      <c r="C54" s="834">
        <f>'Table 8 2.1.12 MFP Funded'!U53</f>
        <v>7</v>
      </c>
      <c r="D54" s="835">
        <f>'Table 3 Levels 1&amp;2'!AL57*90%</f>
        <v>4570.5043344931864</v>
      </c>
      <c r="E54" s="835">
        <f t="shared" si="34"/>
        <v>31993.530341452304</v>
      </c>
      <c r="F54" s="836">
        <f>'Table 4 Level 3'!P55*90%</f>
        <v>571.01400000000001</v>
      </c>
      <c r="G54" s="836">
        <f t="shared" si="35"/>
        <v>3997.098</v>
      </c>
      <c r="H54" s="836">
        <f t="shared" si="36"/>
        <v>35990.628341452306</v>
      </c>
      <c r="I54" s="836">
        <f>(('Table 3 Levels 1&amp;2'!AL57-D54)*C54)</f>
        <v>3554.8367046058074</v>
      </c>
      <c r="J54" s="836">
        <f>'[1]Oct midyear LA Virtual Admy'!K53</f>
        <v>20566.073337972746</v>
      </c>
      <c r="K54" s="836">
        <f>'[1]Feb midyear LA Virtual Admy'!K53</f>
        <v>-2570.7591672465933</v>
      </c>
      <c r="L54" s="836">
        <f t="shared" si="37"/>
        <v>17995.314170726153</v>
      </c>
      <c r="M54" s="836">
        <f t="shared" si="38"/>
        <v>53985.942512178459</v>
      </c>
      <c r="N54" s="836">
        <f t="shared" si="39"/>
        <v>-135</v>
      </c>
      <c r="O54" s="837">
        <f t="shared" si="53"/>
        <v>53850.942512178459</v>
      </c>
      <c r="P54" s="837">
        <f>'[23]Oct midyear adj_LA virtual'!$M55</f>
        <v>0</v>
      </c>
      <c r="Q54" s="838">
        <f t="shared" si="40"/>
        <v>53850.942512178459</v>
      </c>
      <c r="R54" s="838">
        <f>2982+6700+6699+6699+6699+3779+3779+3779+3139+3139</f>
        <v>47394</v>
      </c>
      <c r="S54" s="838">
        <f t="shared" si="41"/>
        <v>6456.9425121784589</v>
      </c>
      <c r="T54" s="838">
        <f t="shared" si="42"/>
        <v>3228</v>
      </c>
      <c r="U54" s="839">
        <f>'[14]FY2012-13 Final'!K57*90%</f>
        <v>2529</v>
      </c>
      <c r="V54" s="840">
        <f t="shared" si="54"/>
        <v>17703</v>
      </c>
      <c r="W54" s="1491">
        <f>'[20]Oct midyear LA Virtual Admy'!E53</f>
        <v>4</v>
      </c>
      <c r="X54" s="840">
        <f t="shared" si="43"/>
        <v>10116</v>
      </c>
      <c r="Y54" s="1491">
        <f>'[20]Feb midyear LA Virtual Admy'!E53</f>
        <v>-1</v>
      </c>
      <c r="Z54" s="840">
        <f t="shared" si="44"/>
        <v>-1264.5</v>
      </c>
      <c r="AA54" s="840">
        <f t="shared" si="45"/>
        <v>8851.5</v>
      </c>
      <c r="AB54" s="840">
        <f t="shared" si="46"/>
        <v>26554.5</v>
      </c>
      <c r="AC54" s="840">
        <f t="shared" si="47"/>
        <v>-66</v>
      </c>
      <c r="AD54" s="840">
        <f t="shared" si="48"/>
        <v>26488.5</v>
      </c>
      <c r="AE54" s="839">
        <f>'[23]Oct midyear adj_LA virtual'!$P55</f>
        <v>0</v>
      </c>
      <c r="AF54" s="852">
        <f t="shared" si="49"/>
        <v>26488.5</v>
      </c>
      <c r="AG54" s="852">
        <f>1348+3029+3029+3029+3029+1708+1708+1708+1954+1954</f>
        <v>22496</v>
      </c>
      <c r="AH54" s="852">
        <f t="shared" si="50"/>
        <v>3992.5</v>
      </c>
      <c r="AI54" s="852">
        <f t="shared" si="51"/>
        <v>1996</v>
      </c>
      <c r="AJ54" s="841">
        <f t="shared" si="55"/>
        <v>80339.442512178459</v>
      </c>
      <c r="AK54" s="841">
        <f t="shared" si="56"/>
        <v>5224</v>
      </c>
      <c r="AM54" s="1543">
        <v>-41</v>
      </c>
      <c r="AN54" s="1543">
        <v>-25</v>
      </c>
      <c r="AP54" s="1543">
        <f t="shared" si="52"/>
        <v>0</v>
      </c>
    </row>
    <row r="55" spans="1:42" s="553" customFormat="1" ht="17.25" customHeight="1">
      <c r="A55" s="103">
        <v>51</v>
      </c>
      <c r="B55" s="805" t="s">
        <v>151</v>
      </c>
      <c r="C55" s="818">
        <f>'Table 8 2.1.12 MFP Funded'!U54</f>
        <v>7</v>
      </c>
      <c r="D55" s="819">
        <f>'Table 3 Levels 1&amp;2'!AL58*90%</f>
        <v>3895.0873518314788</v>
      </c>
      <c r="E55" s="819">
        <f t="shared" si="34"/>
        <v>27265.61146282035</v>
      </c>
      <c r="F55" s="820">
        <f>'Table 4 Level 3'!P56*90%</f>
        <v>635.99400000000003</v>
      </c>
      <c r="G55" s="820">
        <f t="shared" si="35"/>
        <v>4451.9580000000005</v>
      </c>
      <c r="H55" s="820">
        <f t="shared" si="36"/>
        <v>31717.569462820349</v>
      </c>
      <c r="I55" s="820">
        <f>(('Table 3 Levels 1&amp;2'!AL58-D55)*C55)</f>
        <v>3029.5123847578147</v>
      </c>
      <c r="J55" s="820">
        <f>'[1]Oct midyear LA Virtual Admy'!K54</f>
        <v>-13593.244055494437</v>
      </c>
      <c r="K55" s="820">
        <f>'[1]Feb midyear LA Virtual Admy'!K54</f>
        <v>-6796.6220277472185</v>
      </c>
      <c r="L55" s="820">
        <f t="shared" si="37"/>
        <v>-20389.866083241657</v>
      </c>
      <c r="M55" s="820">
        <f t="shared" si="38"/>
        <v>11327.703379578692</v>
      </c>
      <c r="N55" s="820">
        <f t="shared" si="39"/>
        <v>-28</v>
      </c>
      <c r="O55" s="821">
        <f t="shared" si="53"/>
        <v>11299.703379578692</v>
      </c>
      <c r="P55" s="821">
        <f>'[23]Oct midyear adj_LA virtual'!$M56</f>
        <v>0</v>
      </c>
      <c r="Q55" s="822">
        <f t="shared" si="40"/>
        <v>11299.703379578692</v>
      </c>
      <c r="R55" s="822">
        <f>2666+3081+2624+2624+2624+666+666+666-1048-1048</f>
        <v>13521</v>
      </c>
      <c r="S55" s="822">
        <f t="shared" si="41"/>
        <v>-2221.296620421308</v>
      </c>
      <c r="T55" s="822">
        <f t="shared" si="42"/>
        <v>-1111</v>
      </c>
      <c r="U55" s="823">
        <f>'[14]FY2012-13 Final'!K58*90%</f>
        <v>3771.9</v>
      </c>
      <c r="V55" s="824">
        <f t="shared" si="54"/>
        <v>26403.3</v>
      </c>
      <c r="W55" s="1489">
        <f>'[20]Oct midyear LA Virtual Admy'!E54</f>
        <v>-3</v>
      </c>
      <c r="X55" s="824">
        <f t="shared" si="43"/>
        <v>-11315.7</v>
      </c>
      <c r="Y55" s="1489">
        <f>'[20]Feb midyear LA Virtual Admy'!E54</f>
        <v>-3</v>
      </c>
      <c r="Z55" s="824">
        <f t="shared" si="44"/>
        <v>-5657.85</v>
      </c>
      <c r="AA55" s="824">
        <f t="shared" si="45"/>
        <v>-16973.550000000003</v>
      </c>
      <c r="AB55" s="824">
        <f t="shared" si="46"/>
        <v>9429.7499999999964</v>
      </c>
      <c r="AC55" s="824">
        <f t="shared" si="47"/>
        <v>-24</v>
      </c>
      <c r="AD55" s="824">
        <f t="shared" si="48"/>
        <v>9405.7499999999964</v>
      </c>
      <c r="AE55" s="823">
        <f>'[23]Oct midyear adj_LA virtual'!$P56</f>
        <v>0</v>
      </c>
      <c r="AF55" s="850">
        <f t="shared" si="49"/>
        <v>9405.7499999999964</v>
      </c>
      <c r="AG55" s="850">
        <f>2065+2387+2033+2033+2033+516+516+516-751-751</f>
        <v>10597</v>
      </c>
      <c r="AH55" s="850">
        <f t="shared" si="50"/>
        <v>-1191.2500000000036</v>
      </c>
      <c r="AI55" s="850">
        <f t="shared" si="51"/>
        <v>-596</v>
      </c>
      <c r="AJ55" s="825">
        <f t="shared" si="55"/>
        <v>20705.453379578688</v>
      </c>
      <c r="AK55" s="825">
        <f t="shared" si="56"/>
        <v>-1707</v>
      </c>
      <c r="AM55" s="1543">
        <v>-62</v>
      </c>
      <c r="AN55" s="1543">
        <v>39</v>
      </c>
      <c r="AP55" s="1543">
        <f t="shared" si="52"/>
        <v>-1</v>
      </c>
    </row>
    <row r="56" spans="1:42" s="553" customFormat="1" ht="17.25" customHeight="1">
      <c r="A56" s="103">
        <v>52</v>
      </c>
      <c r="B56" s="805" t="s">
        <v>152</v>
      </c>
      <c r="C56" s="826">
        <f>'Table 8 2.1.12 MFP Funded'!U55</f>
        <v>70</v>
      </c>
      <c r="D56" s="827">
        <f>'Table 3 Levels 1&amp;2'!AL59*90%</f>
        <v>4442.9815583870259</v>
      </c>
      <c r="E56" s="827">
        <f t="shared" si="34"/>
        <v>311008.70908709179</v>
      </c>
      <c r="F56" s="828">
        <f>'Table 4 Level 3'!P57*90%</f>
        <v>592.53300000000002</v>
      </c>
      <c r="G56" s="828">
        <f t="shared" si="35"/>
        <v>41477.31</v>
      </c>
      <c r="H56" s="828">
        <f t="shared" si="36"/>
        <v>352486.01908709179</v>
      </c>
      <c r="I56" s="828">
        <f>(('Table 3 Levels 1&amp;2'!AL59-D56)*C56)</f>
        <v>34556.523231899053</v>
      </c>
      <c r="J56" s="828">
        <f>'[1]Oct midyear LA Virtual Admy'!K55</f>
        <v>100710.29116774052</v>
      </c>
      <c r="K56" s="828">
        <f>'[1]Feb midyear LA Virtual Admy'!K55</f>
        <v>-55390.660142257286</v>
      </c>
      <c r="L56" s="828">
        <f t="shared" si="37"/>
        <v>45319.631025483235</v>
      </c>
      <c r="M56" s="828">
        <f t="shared" si="38"/>
        <v>397805.65011257504</v>
      </c>
      <c r="N56" s="828">
        <f t="shared" si="39"/>
        <v>-995</v>
      </c>
      <c r="O56" s="829">
        <f t="shared" si="53"/>
        <v>396810.65011257504</v>
      </c>
      <c r="P56" s="829">
        <f>'[23]Oct midyear adj_LA virtual'!$M57</f>
        <v>-5080.1043534373293</v>
      </c>
      <c r="Q56" s="830">
        <f t="shared" si="40"/>
        <v>391730.54575913772</v>
      </c>
      <c r="R56" s="830">
        <f>28790+43359+42858+42858+42858+34989+34989+34989+21216+21216</f>
        <v>348122</v>
      </c>
      <c r="S56" s="830">
        <f t="shared" si="41"/>
        <v>43608.54575913772</v>
      </c>
      <c r="T56" s="830">
        <f t="shared" si="42"/>
        <v>21804</v>
      </c>
      <c r="U56" s="831">
        <f>'[14]FY2012-13 Final'!K59*90%</f>
        <v>4405.5</v>
      </c>
      <c r="V56" s="832">
        <f t="shared" si="54"/>
        <v>308385</v>
      </c>
      <c r="W56" s="1490">
        <f>'[20]Oct midyear LA Virtual Admy'!E55</f>
        <v>20</v>
      </c>
      <c r="X56" s="832">
        <f t="shared" si="43"/>
        <v>88110</v>
      </c>
      <c r="Y56" s="1490">
        <f>'[20]Feb midyear LA Virtual Admy'!E55</f>
        <v>-22</v>
      </c>
      <c r="Z56" s="832">
        <f t="shared" si="44"/>
        <v>-48460.5</v>
      </c>
      <c r="AA56" s="832">
        <f t="shared" si="45"/>
        <v>39649.5</v>
      </c>
      <c r="AB56" s="832">
        <f t="shared" si="46"/>
        <v>348034.5</v>
      </c>
      <c r="AC56" s="832">
        <f t="shared" si="47"/>
        <v>-870</v>
      </c>
      <c r="AD56" s="832">
        <f t="shared" si="48"/>
        <v>347164.5</v>
      </c>
      <c r="AE56" s="831">
        <f>'[23]Oct midyear adj_LA virtual'!$P57</f>
        <v>-4339.8</v>
      </c>
      <c r="AF56" s="851">
        <f t="shared" si="49"/>
        <v>342824.7</v>
      </c>
      <c r="AG56" s="851">
        <f>24514+36919+36492+36492+36492+29791+29791+29791+20476+20476</f>
        <v>301234</v>
      </c>
      <c r="AH56" s="851">
        <f t="shared" si="50"/>
        <v>41590.700000000012</v>
      </c>
      <c r="AI56" s="851">
        <f t="shared" si="51"/>
        <v>20795</v>
      </c>
      <c r="AJ56" s="833">
        <f t="shared" si="55"/>
        <v>734555.24575913767</v>
      </c>
      <c r="AK56" s="833">
        <f t="shared" si="56"/>
        <v>42599</v>
      </c>
      <c r="AM56" s="1543">
        <v>-748</v>
      </c>
      <c r="AN56" s="1543">
        <v>-120</v>
      </c>
      <c r="AP56" s="1543">
        <f t="shared" si="52"/>
        <v>-2</v>
      </c>
    </row>
    <row r="57" spans="1:42" s="553" customFormat="1" ht="17.25" customHeight="1">
      <c r="A57" s="103">
        <v>53</v>
      </c>
      <c r="B57" s="805" t="s">
        <v>153</v>
      </c>
      <c r="C57" s="826">
        <f>'Table 8 2.1.12 MFP Funded'!U56</f>
        <v>53</v>
      </c>
      <c r="D57" s="827">
        <f>'Table 3 Levels 1&amp;2'!AL60*90%</f>
        <v>4320.288674996591</v>
      </c>
      <c r="E57" s="827">
        <f t="shared" si="34"/>
        <v>228975.29977481932</v>
      </c>
      <c r="F57" s="828">
        <f>'Table 4 Level 3'!P58*90%</f>
        <v>620.76600000000008</v>
      </c>
      <c r="G57" s="828">
        <f t="shared" si="35"/>
        <v>32900.598000000005</v>
      </c>
      <c r="H57" s="828">
        <f t="shared" si="36"/>
        <v>261875.89777481931</v>
      </c>
      <c r="I57" s="828">
        <f>(('Table 3 Levels 1&amp;2'!AL60-D57)*C57)</f>
        <v>25441.699974979903</v>
      </c>
      <c r="J57" s="828">
        <f>'[1]Oct midyear LA Virtual Admy'!K56</f>
        <v>29646.328049979544</v>
      </c>
      <c r="K57" s="828">
        <f>'[1]Feb midyear LA Virtual Admy'!K56</f>
        <v>-19764.218699986362</v>
      </c>
      <c r="L57" s="828">
        <f t="shared" si="37"/>
        <v>9882.1093499931812</v>
      </c>
      <c r="M57" s="828">
        <f t="shared" si="38"/>
        <v>271758.00712481252</v>
      </c>
      <c r="N57" s="828">
        <f t="shared" si="39"/>
        <v>-679</v>
      </c>
      <c r="O57" s="829">
        <f t="shared" si="53"/>
        <v>271079.00712481252</v>
      </c>
      <c r="P57" s="829">
        <f>'[23]Oct midyear adj_LA virtual'!$M58</f>
        <v>0</v>
      </c>
      <c r="Q57" s="830">
        <f t="shared" si="40"/>
        <v>271079.00712481252</v>
      </c>
      <c r="R57" s="830">
        <f>21705+30640+29657+29657+29657+21232+21232+21232+16319+16319</f>
        <v>237650</v>
      </c>
      <c r="S57" s="830">
        <f t="shared" si="41"/>
        <v>33429.007124812517</v>
      </c>
      <c r="T57" s="830">
        <f t="shared" si="42"/>
        <v>16715</v>
      </c>
      <c r="U57" s="831">
        <f>'[14]FY2012-13 Final'!K60*90%</f>
        <v>1741.5</v>
      </c>
      <c r="V57" s="832">
        <f t="shared" si="54"/>
        <v>92299.5</v>
      </c>
      <c r="W57" s="1490">
        <f>'[20]Oct midyear LA Virtual Admy'!E56</f>
        <v>6</v>
      </c>
      <c r="X57" s="832">
        <f t="shared" si="43"/>
        <v>10449</v>
      </c>
      <c r="Y57" s="1490">
        <f>'[20]Feb midyear LA Virtual Admy'!E56</f>
        <v>-8</v>
      </c>
      <c r="Z57" s="832">
        <f t="shared" si="44"/>
        <v>-6966</v>
      </c>
      <c r="AA57" s="832">
        <f t="shared" si="45"/>
        <v>3483</v>
      </c>
      <c r="AB57" s="832">
        <f t="shared" si="46"/>
        <v>95782.5</v>
      </c>
      <c r="AC57" s="832">
        <f t="shared" si="47"/>
        <v>-239</v>
      </c>
      <c r="AD57" s="832">
        <f t="shared" si="48"/>
        <v>95543.5</v>
      </c>
      <c r="AE57" s="831">
        <f>'[23]Oct midyear adj_LA virtual'!$P58</f>
        <v>0</v>
      </c>
      <c r="AF57" s="851">
        <f t="shared" si="49"/>
        <v>95543.5</v>
      </c>
      <c r="AG57" s="851">
        <f>7585+10708+10364+10364+10364+7420+7420+7420+5900+5900</f>
        <v>83445</v>
      </c>
      <c r="AH57" s="851">
        <f t="shared" si="50"/>
        <v>12098.5</v>
      </c>
      <c r="AI57" s="851">
        <f t="shared" si="51"/>
        <v>6049</v>
      </c>
      <c r="AJ57" s="833">
        <f t="shared" si="55"/>
        <v>366622.50712481252</v>
      </c>
      <c r="AK57" s="833">
        <f t="shared" si="56"/>
        <v>22764</v>
      </c>
      <c r="AM57" s="1543">
        <v>-228</v>
      </c>
      <c r="AN57" s="1543">
        <v>-11</v>
      </c>
      <c r="AP57" s="1543">
        <f t="shared" si="52"/>
        <v>0</v>
      </c>
    </row>
    <row r="58" spans="1:42" s="553" customFormat="1" ht="17.25" customHeight="1">
      <c r="A58" s="103">
        <v>54</v>
      </c>
      <c r="B58" s="805" t="s">
        <v>154</v>
      </c>
      <c r="C58" s="826">
        <f>'Table 8 2.1.12 MFP Funded'!U57</f>
        <v>0</v>
      </c>
      <c r="D58" s="827">
        <f>'Table 3 Levels 1&amp;2'!AL61*90%</f>
        <v>5409.6978024463524</v>
      </c>
      <c r="E58" s="827">
        <f t="shared" si="34"/>
        <v>0</v>
      </c>
      <c r="F58" s="828">
        <f>'Table 4 Level 3'!P59*90%</f>
        <v>856.30500000000006</v>
      </c>
      <c r="G58" s="828">
        <f t="shared" si="35"/>
        <v>0</v>
      </c>
      <c r="H58" s="828">
        <f t="shared" si="36"/>
        <v>0</v>
      </c>
      <c r="I58" s="828">
        <f>(('Table 3 Levels 1&amp;2'!AL61-D58)*C58)</f>
        <v>0</v>
      </c>
      <c r="J58" s="828">
        <f>'[1]Oct midyear LA Virtual Admy'!K57</f>
        <v>0</v>
      </c>
      <c r="K58" s="828">
        <f>'[1]Feb midyear LA Virtual Admy'!K57</f>
        <v>0</v>
      </c>
      <c r="L58" s="828">
        <f t="shared" si="37"/>
        <v>0</v>
      </c>
      <c r="M58" s="828">
        <f t="shared" si="38"/>
        <v>0</v>
      </c>
      <c r="N58" s="828">
        <f t="shared" si="39"/>
        <v>0</v>
      </c>
      <c r="O58" s="829">
        <f t="shared" si="53"/>
        <v>0</v>
      </c>
      <c r="P58" s="829">
        <f>'[23]Oct midyear adj_LA virtual'!$M59</f>
        <v>0</v>
      </c>
      <c r="Q58" s="830">
        <f t="shared" si="40"/>
        <v>0</v>
      </c>
      <c r="R58" s="830">
        <f>1132-113-113-113-113-113-113-114-114</f>
        <v>226</v>
      </c>
      <c r="S58" s="830">
        <f t="shared" si="41"/>
        <v>-226</v>
      </c>
      <c r="T58" s="830">
        <f t="shared" si="42"/>
        <v>-113</v>
      </c>
      <c r="U58" s="831">
        <f>'[14]FY2012-13 Final'!K61*90%</f>
        <v>3057.3</v>
      </c>
      <c r="V58" s="832">
        <f t="shared" si="54"/>
        <v>0</v>
      </c>
      <c r="W58" s="1490">
        <f>'[20]Oct midyear LA Virtual Admy'!E57</f>
        <v>0</v>
      </c>
      <c r="X58" s="832">
        <f t="shared" si="43"/>
        <v>0</v>
      </c>
      <c r="Y58" s="1490">
        <f>'[20]Feb midyear LA Virtual Admy'!E57</f>
        <v>0</v>
      </c>
      <c r="Z58" s="832">
        <f t="shared" si="44"/>
        <v>0</v>
      </c>
      <c r="AA58" s="832">
        <f t="shared" si="45"/>
        <v>0</v>
      </c>
      <c r="AB58" s="832">
        <f t="shared" si="46"/>
        <v>0</v>
      </c>
      <c r="AC58" s="832">
        <f t="shared" si="47"/>
        <v>0</v>
      </c>
      <c r="AD58" s="832">
        <f t="shared" si="48"/>
        <v>0</v>
      </c>
      <c r="AE58" s="831">
        <f>'[23]Oct midyear adj_LA virtual'!$P59</f>
        <v>0</v>
      </c>
      <c r="AF58" s="851">
        <f t="shared" si="49"/>
        <v>0</v>
      </c>
      <c r="AG58" s="851">
        <f>533-53-53-53-53-53-53-54-54</f>
        <v>107</v>
      </c>
      <c r="AH58" s="851">
        <f t="shared" si="50"/>
        <v>-107</v>
      </c>
      <c r="AI58" s="851">
        <f t="shared" si="51"/>
        <v>-54</v>
      </c>
      <c r="AJ58" s="833">
        <f t="shared" si="55"/>
        <v>0</v>
      </c>
      <c r="AK58" s="833">
        <f t="shared" si="56"/>
        <v>-167</v>
      </c>
      <c r="AM58" s="1543">
        <v>0</v>
      </c>
      <c r="AN58" s="1543">
        <v>0</v>
      </c>
      <c r="AP58" s="1543">
        <f t="shared" si="52"/>
        <v>0</v>
      </c>
    </row>
    <row r="59" spans="1:42" s="553" customFormat="1" ht="17.25" customHeight="1">
      <c r="A59" s="104">
        <v>55</v>
      </c>
      <c r="B59" s="806" t="s">
        <v>155</v>
      </c>
      <c r="C59" s="834">
        <f>'Table 8 2.1.12 MFP Funded'!U58</f>
        <v>25</v>
      </c>
      <c r="D59" s="835">
        <f>'Table 3 Levels 1&amp;2'!AL62*90%</f>
        <v>3693.3708466172898</v>
      </c>
      <c r="E59" s="835">
        <f t="shared" si="34"/>
        <v>92334.271165432248</v>
      </c>
      <c r="F59" s="836">
        <f>'Table 4 Level 3'!P60*90%</f>
        <v>715.62599999999998</v>
      </c>
      <c r="G59" s="836">
        <f t="shared" si="35"/>
        <v>17890.649999999998</v>
      </c>
      <c r="H59" s="836">
        <f t="shared" si="36"/>
        <v>110224.92116543224</v>
      </c>
      <c r="I59" s="836">
        <f>(('Table 3 Levels 1&amp;2'!AL62-D59)*C59)</f>
        <v>10259.363462825797</v>
      </c>
      <c r="J59" s="836">
        <f>'[1]Oct midyear LA Virtual Admy'!K58</f>
        <v>-8817.993693234579</v>
      </c>
      <c r="K59" s="836">
        <f>'[1]Feb midyear LA Virtual Admy'!K58</f>
        <v>-4408.9968466172895</v>
      </c>
      <c r="L59" s="836">
        <f t="shared" si="37"/>
        <v>-13226.990539851868</v>
      </c>
      <c r="M59" s="836">
        <f t="shared" si="38"/>
        <v>96997.930625580368</v>
      </c>
      <c r="N59" s="836">
        <f t="shared" si="39"/>
        <v>-242</v>
      </c>
      <c r="O59" s="837">
        <f t="shared" si="53"/>
        <v>96755.930625580368</v>
      </c>
      <c r="P59" s="837">
        <f>'[23]Oct midyear adj_LA virtual'!$M60</f>
        <v>0</v>
      </c>
      <c r="Q59" s="838">
        <f t="shared" si="40"/>
        <v>96755.930625580368</v>
      </c>
      <c r="R59" s="838">
        <f>9132+9929+10367+10367+10367+7236+7236+7236+6141+6141</f>
        <v>84152</v>
      </c>
      <c r="S59" s="838">
        <f t="shared" si="41"/>
        <v>12603.930625580368</v>
      </c>
      <c r="T59" s="838">
        <f t="shared" si="42"/>
        <v>6302</v>
      </c>
      <c r="U59" s="839">
        <f>'[14]FY2012-13 Final'!K62*90%</f>
        <v>2825.1</v>
      </c>
      <c r="V59" s="840">
        <f t="shared" si="54"/>
        <v>70627.5</v>
      </c>
      <c r="W59" s="1491">
        <f>'[20]Oct midyear LA Virtual Admy'!E58</f>
        <v>-2</v>
      </c>
      <c r="X59" s="840">
        <f t="shared" si="43"/>
        <v>-5650.2</v>
      </c>
      <c r="Y59" s="1491">
        <f>'[20]Feb midyear LA Virtual Admy'!E58</f>
        <v>-2</v>
      </c>
      <c r="Z59" s="840">
        <f t="shared" si="44"/>
        <v>-2825.1</v>
      </c>
      <c r="AA59" s="840">
        <f t="shared" si="45"/>
        <v>-8475.2999999999993</v>
      </c>
      <c r="AB59" s="840">
        <f t="shared" si="46"/>
        <v>62152.2</v>
      </c>
      <c r="AC59" s="840">
        <f t="shared" si="47"/>
        <v>-155</v>
      </c>
      <c r="AD59" s="840">
        <f t="shared" si="48"/>
        <v>61997.2</v>
      </c>
      <c r="AE59" s="839">
        <f>'[23]Oct midyear adj_LA virtual'!$P60</f>
        <v>0</v>
      </c>
      <c r="AF59" s="852">
        <f t="shared" si="49"/>
        <v>61997.2</v>
      </c>
      <c r="AG59" s="852">
        <f>5744+6245+6521+6521+6521+4551+4551+4551+4139+4139</f>
        <v>53483</v>
      </c>
      <c r="AH59" s="852">
        <f t="shared" si="50"/>
        <v>8514.1999999999971</v>
      </c>
      <c r="AI59" s="852">
        <f t="shared" si="51"/>
        <v>4257</v>
      </c>
      <c r="AJ59" s="841">
        <f t="shared" si="55"/>
        <v>158753.13062558038</v>
      </c>
      <c r="AK59" s="841">
        <f t="shared" si="56"/>
        <v>10559</v>
      </c>
      <c r="AM59" s="1543">
        <v>-173</v>
      </c>
      <c r="AN59" s="1543">
        <v>18</v>
      </c>
      <c r="AP59" s="1543">
        <f t="shared" si="52"/>
        <v>0</v>
      </c>
    </row>
    <row r="60" spans="1:42" s="553" customFormat="1" ht="17.25" customHeight="1">
      <c r="A60" s="103">
        <v>56</v>
      </c>
      <c r="B60" s="805" t="s">
        <v>156</v>
      </c>
      <c r="C60" s="818">
        <f>'Table 8 2.1.12 MFP Funded'!U59</f>
        <v>4</v>
      </c>
      <c r="D60" s="819">
        <f>'Table 3 Levels 1&amp;2'!AL63*90%</f>
        <v>4568.6166302376278</v>
      </c>
      <c r="E60" s="819">
        <f t="shared" si="34"/>
        <v>18274.466520950511</v>
      </c>
      <c r="F60" s="820">
        <f>'Table 4 Level 3'!P61*90%</f>
        <v>553.19400000000007</v>
      </c>
      <c r="G60" s="820">
        <f t="shared" si="35"/>
        <v>2212.7760000000003</v>
      </c>
      <c r="H60" s="820">
        <f t="shared" si="36"/>
        <v>20487.242520950513</v>
      </c>
      <c r="I60" s="820">
        <f>(('Table 3 Levels 1&amp;2'!AL63-D60)*C60)</f>
        <v>2030.4962801056136</v>
      </c>
      <c r="J60" s="820">
        <f>'[1]Oct midyear LA Virtual Admy'!K59</f>
        <v>25609.053151188142</v>
      </c>
      <c r="K60" s="820">
        <f>'[1]Feb midyear LA Virtual Admy'!K59</f>
        <v>-5121.8106302376282</v>
      </c>
      <c r="L60" s="820">
        <f t="shared" si="37"/>
        <v>20487.242520950513</v>
      </c>
      <c r="M60" s="820">
        <f t="shared" si="38"/>
        <v>40974.485041901025</v>
      </c>
      <c r="N60" s="820">
        <f t="shared" si="39"/>
        <v>-102</v>
      </c>
      <c r="O60" s="821">
        <f t="shared" si="53"/>
        <v>40872.485041901025</v>
      </c>
      <c r="P60" s="821">
        <f>'[23]Oct midyear adj_LA virtual'!$M61</f>
        <v>0</v>
      </c>
      <c r="Q60" s="822">
        <f t="shared" si="40"/>
        <v>40872.485041901025</v>
      </c>
      <c r="R60" s="822">
        <f>1696+4008+4008+4008+4008+4008+4008+4008+2737+2737</f>
        <v>35226</v>
      </c>
      <c r="S60" s="822">
        <f t="shared" si="41"/>
        <v>5646.4850419010254</v>
      </c>
      <c r="T60" s="822">
        <f t="shared" si="42"/>
        <v>2823</v>
      </c>
      <c r="U60" s="823">
        <f>'[14]FY2012-13 Final'!K63*90%</f>
        <v>2502.9</v>
      </c>
      <c r="V60" s="824">
        <f t="shared" si="54"/>
        <v>10011.6</v>
      </c>
      <c r="W60" s="1489">
        <f>'[20]Oct midyear LA Virtual Admy'!E59</f>
        <v>5</v>
      </c>
      <c r="X60" s="824">
        <f t="shared" si="43"/>
        <v>12514.5</v>
      </c>
      <c r="Y60" s="1489">
        <f>'[20]Feb midyear LA Virtual Admy'!E59</f>
        <v>-2</v>
      </c>
      <c r="Z60" s="824">
        <f t="shared" si="44"/>
        <v>-2502.9</v>
      </c>
      <c r="AA60" s="824">
        <f t="shared" si="45"/>
        <v>10011.6</v>
      </c>
      <c r="AB60" s="824">
        <f t="shared" si="46"/>
        <v>20023.2</v>
      </c>
      <c r="AC60" s="824">
        <f t="shared" si="47"/>
        <v>-50</v>
      </c>
      <c r="AD60" s="824">
        <f t="shared" si="48"/>
        <v>19973.2</v>
      </c>
      <c r="AE60" s="823">
        <f>'[23]Oct midyear adj_LA virtual'!$P61</f>
        <v>0</v>
      </c>
      <c r="AF60" s="850">
        <f t="shared" si="49"/>
        <v>19973.2</v>
      </c>
      <c r="AG60" s="850">
        <f>787+1860+1860+1860+1860+1860+1860+1860+1518+1518</f>
        <v>16843</v>
      </c>
      <c r="AH60" s="850">
        <f t="shared" si="50"/>
        <v>3130.2000000000007</v>
      </c>
      <c r="AI60" s="850">
        <f t="shared" si="51"/>
        <v>1565</v>
      </c>
      <c r="AJ60" s="825">
        <f t="shared" si="55"/>
        <v>60845.68504190103</v>
      </c>
      <c r="AK60" s="825">
        <f t="shared" si="56"/>
        <v>4388</v>
      </c>
      <c r="AM60" s="1543">
        <v>-24</v>
      </c>
      <c r="AN60" s="1543">
        <v>-26</v>
      </c>
      <c r="AP60" s="1543">
        <f t="shared" si="52"/>
        <v>0</v>
      </c>
    </row>
    <row r="61" spans="1:42" s="553" customFormat="1" ht="17.25" customHeight="1">
      <c r="A61" s="103">
        <v>57</v>
      </c>
      <c r="B61" s="805" t="s">
        <v>157</v>
      </c>
      <c r="C61" s="826">
        <f>'Table 8 2.1.12 MFP Funded'!U60</f>
        <v>9</v>
      </c>
      <c r="D61" s="827">
        <f>'Table 3 Levels 1&amp;2'!AL64*90%</f>
        <v>3968.1637389559141</v>
      </c>
      <c r="E61" s="827">
        <f t="shared" si="34"/>
        <v>35713.473650603228</v>
      </c>
      <c r="F61" s="828">
        <f>'Table 4 Level 3'!P62*90%</f>
        <v>688.05899999999997</v>
      </c>
      <c r="G61" s="828">
        <f t="shared" si="35"/>
        <v>6192.5309999999999</v>
      </c>
      <c r="H61" s="828">
        <f t="shared" si="36"/>
        <v>41906.00465060323</v>
      </c>
      <c r="I61" s="828">
        <f>(('Table 3 Levels 1&amp;2'!AL64-D61)*C61)</f>
        <v>3968.1637389559151</v>
      </c>
      <c r="J61" s="828">
        <f>'[1]Oct midyear LA Virtual Admy'!K60</f>
        <v>4656.2227389559139</v>
      </c>
      <c r="K61" s="828">
        <f>'[1]Feb midyear LA Virtual Admy'!K60</f>
        <v>0</v>
      </c>
      <c r="L61" s="828">
        <f t="shared" si="37"/>
        <v>4656.2227389559139</v>
      </c>
      <c r="M61" s="828">
        <f t="shared" si="38"/>
        <v>46562.227389559142</v>
      </c>
      <c r="N61" s="828">
        <f t="shared" si="39"/>
        <v>-116</v>
      </c>
      <c r="O61" s="829">
        <f t="shared" si="53"/>
        <v>46446.227389559142</v>
      </c>
      <c r="P61" s="829">
        <f>'[23]Oct midyear adj_LA virtual'!$M62</f>
        <v>0</v>
      </c>
      <c r="Q61" s="830">
        <f t="shared" si="40"/>
        <v>46446.227389559142</v>
      </c>
      <c r="R61" s="830">
        <f>3470+5153+4690+4690+4690+3368+3368+3368+3368+3368</f>
        <v>39533</v>
      </c>
      <c r="S61" s="830">
        <f t="shared" si="41"/>
        <v>6913.2273895591425</v>
      </c>
      <c r="T61" s="830">
        <f t="shared" si="42"/>
        <v>3457</v>
      </c>
      <c r="U61" s="831">
        <f>'[14]FY2012-13 Final'!K64*90%</f>
        <v>2691.9</v>
      </c>
      <c r="V61" s="832">
        <f t="shared" si="54"/>
        <v>24227.100000000002</v>
      </c>
      <c r="W61" s="1490">
        <f>'[20]Oct midyear LA Virtual Admy'!E60</f>
        <v>1</v>
      </c>
      <c r="X61" s="832">
        <f t="shared" si="43"/>
        <v>2691.9</v>
      </c>
      <c r="Y61" s="1490">
        <f>'[20]Feb midyear LA Virtual Admy'!E60</f>
        <v>0</v>
      </c>
      <c r="Z61" s="832">
        <f t="shared" si="44"/>
        <v>0</v>
      </c>
      <c r="AA61" s="832">
        <f t="shared" si="45"/>
        <v>2691.9</v>
      </c>
      <c r="AB61" s="832">
        <f t="shared" si="46"/>
        <v>26919.000000000004</v>
      </c>
      <c r="AC61" s="832">
        <f t="shared" si="47"/>
        <v>-67</v>
      </c>
      <c r="AD61" s="832">
        <f t="shared" si="48"/>
        <v>26852.000000000004</v>
      </c>
      <c r="AE61" s="831">
        <f>'[23]Oct midyear adj_LA virtual'!$P62</f>
        <v>0</v>
      </c>
      <c r="AF61" s="851">
        <f t="shared" si="49"/>
        <v>26852.000000000004</v>
      </c>
      <c r="AG61" s="851">
        <f>2056+3052+2778+2778+2778+1995+1995+1995+1847+1847</f>
        <v>23121</v>
      </c>
      <c r="AH61" s="851">
        <f t="shared" si="50"/>
        <v>3731.0000000000036</v>
      </c>
      <c r="AI61" s="851">
        <f t="shared" si="51"/>
        <v>1866</v>
      </c>
      <c r="AJ61" s="833">
        <f t="shared" si="55"/>
        <v>73298.22738955915</v>
      </c>
      <c r="AK61" s="833">
        <f t="shared" si="56"/>
        <v>5323</v>
      </c>
      <c r="AM61" s="1543">
        <v>-62</v>
      </c>
      <c r="AN61" s="1543">
        <v>-5</v>
      </c>
      <c r="AP61" s="1543">
        <f t="shared" si="52"/>
        <v>0</v>
      </c>
    </row>
    <row r="62" spans="1:42" s="553" customFormat="1" ht="17.25" customHeight="1">
      <c r="A62" s="103">
        <v>58</v>
      </c>
      <c r="B62" s="805" t="s">
        <v>158</v>
      </c>
      <c r="C62" s="826">
        <f>'Table 8 2.1.12 MFP Funded'!U61</f>
        <v>43</v>
      </c>
      <c r="D62" s="827">
        <f>'Table 3 Levels 1&amp;2'!AL65*90%</f>
        <v>4807.3061399477938</v>
      </c>
      <c r="E62" s="827">
        <f t="shared" si="34"/>
        <v>206714.16401775513</v>
      </c>
      <c r="F62" s="828">
        <f>'Table 4 Level 3'!P63*90%</f>
        <v>627.33600000000001</v>
      </c>
      <c r="G62" s="828">
        <f t="shared" si="35"/>
        <v>26975.448</v>
      </c>
      <c r="H62" s="828">
        <f t="shared" si="36"/>
        <v>233689.61201775513</v>
      </c>
      <c r="I62" s="828">
        <f>(('Table 3 Levels 1&amp;2'!AL65-D62)*C62)</f>
        <v>22968.240446417221</v>
      </c>
      <c r="J62" s="828">
        <f>'[1]Oct midyear LA Virtual Admy'!K61</f>
        <v>-5434.642139947794</v>
      </c>
      <c r="K62" s="828">
        <f>'[1]Feb midyear LA Virtual Admy'!K61</f>
        <v>-32607.852839686762</v>
      </c>
      <c r="L62" s="828">
        <f t="shared" si="37"/>
        <v>-38042.494979634554</v>
      </c>
      <c r="M62" s="828">
        <f t="shared" si="38"/>
        <v>195647.11703812057</v>
      </c>
      <c r="N62" s="828">
        <f t="shared" si="39"/>
        <v>-489</v>
      </c>
      <c r="O62" s="829">
        <f t="shared" si="53"/>
        <v>195158.11703812057</v>
      </c>
      <c r="P62" s="829">
        <f>'[23]Oct midyear adj_LA virtual'!$M63</f>
        <v>0</v>
      </c>
      <c r="Q62" s="830">
        <f t="shared" si="40"/>
        <v>195158.11703812057</v>
      </c>
      <c r="R62" s="830">
        <f>19375+24782+23701+23701+23701+15977+15977+15977+7866+7866</f>
        <v>178923</v>
      </c>
      <c r="S62" s="830">
        <f t="shared" si="41"/>
        <v>16235.117038120574</v>
      </c>
      <c r="T62" s="830">
        <f t="shared" si="42"/>
        <v>8118</v>
      </c>
      <c r="U62" s="831">
        <f>'[14]FY2012-13 Final'!K65*90%</f>
        <v>1851.3</v>
      </c>
      <c r="V62" s="832">
        <f t="shared" si="54"/>
        <v>79605.899999999994</v>
      </c>
      <c r="W62" s="1490">
        <f>'[20]Oct midyear LA Virtual Admy'!E61</f>
        <v>-1</v>
      </c>
      <c r="X62" s="832">
        <f t="shared" si="43"/>
        <v>-1851.3</v>
      </c>
      <c r="Y62" s="1490">
        <f>'[20]Feb midyear LA Virtual Admy'!E61</f>
        <v>-12</v>
      </c>
      <c r="Z62" s="832">
        <f t="shared" si="44"/>
        <v>-11107.8</v>
      </c>
      <c r="AA62" s="832">
        <f t="shared" si="45"/>
        <v>-12959.099999999999</v>
      </c>
      <c r="AB62" s="832">
        <f t="shared" si="46"/>
        <v>66646.799999999988</v>
      </c>
      <c r="AC62" s="832">
        <f t="shared" si="47"/>
        <v>-167</v>
      </c>
      <c r="AD62" s="832">
        <f t="shared" si="48"/>
        <v>66479.799999999988</v>
      </c>
      <c r="AE62" s="831">
        <f>'[23]Oct midyear adj_LA virtual'!$P63</f>
        <v>0</v>
      </c>
      <c r="AF62" s="851">
        <f t="shared" si="49"/>
        <v>66479.799999999988</v>
      </c>
      <c r="AG62" s="851">
        <f>6167+7888+7544+7544+7544+5085+5085+5085+3619+3619</f>
        <v>59180</v>
      </c>
      <c r="AH62" s="851">
        <f t="shared" si="50"/>
        <v>7299.7999999999884</v>
      </c>
      <c r="AI62" s="851">
        <f t="shared" si="51"/>
        <v>3650</v>
      </c>
      <c r="AJ62" s="833">
        <f t="shared" si="55"/>
        <v>261637.91703812056</v>
      </c>
      <c r="AK62" s="833">
        <f t="shared" si="56"/>
        <v>11768</v>
      </c>
      <c r="AM62" s="1543">
        <v>-185</v>
      </c>
      <c r="AN62" s="1543">
        <v>19</v>
      </c>
      <c r="AP62" s="1543">
        <f t="shared" si="52"/>
        <v>-1</v>
      </c>
    </row>
    <row r="63" spans="1:42" s="553" customFormat="1" ht="17.25" customHeight="1">
      <c r="A63" s="103">
        <v>59</v>
      </c>
      <c r="B63" s="805" t="s">
        <v>159</v>
      </c>
      <c r="C63" s="826">
        <f>'Table 8 2.1.12 MFP Funded'!U62</f>
        <v>9</v>
      </c>
      <c r="D63" s="827">
        <f>'Table 3 Levels 1&amp;2'!AL66*90%</f>
        <v>5707.9525614877339</v>
      </c>
      <c r="E63" s="827">
        <f t="shared" si="34"/>
        <v>51371.573053389606</v>
      </c>
      <c r="F63" s="828">
        <f>'Table 4 Level 3'!P64*90%</f>
        <v>620.56799999999998</v>
      </c>
      <c r="G63" s="828">
        <f t="shared" si="35"/>
        <v>5585.1120000000001</v>
      </c>
      <c r="H63" s="828">
        <f t="shared" si="36"/>
        <v>56956.685053389607</v>
      </c>
      <c r="I63" s="828">
        <f>(('Table 3 Levels 1&amp;2'!AL66-D63)*C63)</f>
        <v>5707.9525614877339</v>
      </c>
      <c r="J63" s="828">
        <f>'[1]Oct midyear LA Virtual Admy'!K62</f>
        <v>56956.685053389607</v>
      </c>
      <c r="K63" s="828">
        <f>'[1]Feb midyear LA Virtual Admy'!K62</f>
        <v>-15821.301403719335</v>
      </c>
      <c r="L63" s="828">
        <f t="shared" si="37"/>
        <v>41135.383649670272</v>
      </c>
      <c r="M63" s="828">
        <f t="shared" si="38"/>
        <v>98092.068703059878</v>
      </c>
      <c r="N63" s="828">
        <f t="shared" si="39"/>
        <v>-245</v>
      </c>
      <c r="O63" s="829">
        <f t="shared" si="53"/>
        <v>97847.068703059878</v>
      </c>
      <c r="P63" s="829">
        <f>'[23]Oct midyear adj_LA virtual'!$M64</f>
        <v>0</v>
      </c>
      <c r="Q63" s="830">
        <f t="shared" si="40"/>
        <v>97847.068703059878</v>
      </c>
      <c r="R63" s="830">
        <f>4725+8735+9995+9995+9995+9995+9995+9995+6057+6057</f>
        <v>85544</v>
      </c>
      <c r="S63" s="830">
        <f t="shared" si="41"/>
        <v>12303.068703059878</v>
      </c>
      <c r="T63" s="830">
        <f t="shared" si="42"/>
        <v>6152</v>
      </c>
      <c r="U63" s="831">
        <f>'[14]FY2012-13 Final'!K66*90%</f>
        <v>1377</v>
      </c>
      <c r="V63" s="832">
        <f t="shared" si="54"/>
        <v>12393</v>
      </c>
      <c r="W63" s="1490">
        <f>'[20]Oct midyear LA Virtual Admy'!E62</f>
        <v>9</v>
      </c>
      <c r="X63" s="832">
        <f t="shared" si="43"/>
        <v>12393</v>
      </c>
      <c r="Y63" s="1490">
        <f>'[20]Feb midyear LA Virtual Admy'!E62</f>
        <v>-5</v>
      </c>
      <c r="Z63" s="832">
        <f t="shared" si="44"/>
        <v>-3442.5</v>
      </c>
      <c r="AA63" s="832">
        <f t="shared" si="45"/>
        <v>8950.5</v>
      </c>
      <c r="AB63" s="832">
        <f t="shared" si="46"/>
        <v>21343.5</v>
      </c>
      <c r="AC63" s="832">
        <f t="shared" si="47"/>
        <v>-53</v>
      </c>
      <c r="AD63" s="832">
        <f t="shared" si="48"/>
        <v>21290.5</v>
      </c>
      <c r="AE63" s="831">
        <f>'[23]Oct midyear adj_LA virtual'!$P64</f>
        <v>0</v>
      </c>
      <c r="AF63" s="851">
        <f t="shared" si="49"/>
        <v>21290.5</v>
      </c>
      <c r="AG63" s="851">
        <f>1046+1933+2212+2212+2212+2212+2212+2212+1253+1253</f>
        <v>18757</v>
      </c>
      <c r="AH63" s="851">
        <f t="shared" si="50"/>
        <v>2533.5</v>
      </c>
      <c r="AI63" s="851">
        <f t="shared" si="51"/>
        <v>1267</v>
      </c>
      <c r="AJ63" s="833">
        <f t="shared" si="55"/>
        <v>119137.56870305988</v>
      </c>
      <c r="AK63" s="833">
        <f t="shared" si="56"/>
        <v>7419</v>
      </c>
      <c r="AM63" s="1543">
        <v>-31</v>
      </c>
      <c r="AN63" s="1543">
        <v>-22</v>
      </c>
      <c r="AP63" s="1543">
        <f t="shared" si="52"/>
        <v>0</v>
      </c>
    </row>
    <row r="64" spans="1:42" s="553" customFormat="1" ht="17.25" customHeight="1">
      <c r="A64" s="104">
        <v>60</v>
      </c>
      <c r="B64" s="806" t="s">
        <v>160</v>
      </c>
      <c r="C64" s="834">
        <f>'Table 8 2.1.12 MFP Funded'!U63</f>
        <v>17</v>
      </c>
      <c r="D64" s="835">
        <f>'Table 3 Levels 1&amp;2'!AL67*90%</f>
        <v>4353.1047236135073</v>
      </c>
      <c r="E64" s="835">
        <f t="shared" si="34"/>
        <v>74002.780301429622</v>
      </c>
      <c r="F64" s="836">
        <f>'Table 4 Level 3'!P65*90%</f>
        <v>534.63599999999997</v>
      </c>
      <c r="G64" s="836">
        <f t="shared" si="35"/>
        <v>9088.8119999999999</v>
      </c>
      <c r="H64" s="836">
        <f t="shared" si="36"/>
        <v>83091.592301429628</v>
      </c>
      <c r="I64" s="836">
        <f>(('Table 3 Levels 1&amp;2'!AL67-D64)*C64)</f>
        <v>8222.5311446032847</v>
      </c>
      <c r="J64" s="836">
        <f>'[1]Oct midyear LA Virtual Admy'!K63</f>
        <v>48877.407236135077</v>
      </c>
      <c r="K64" s="836">
        <f>'[1]Feb midyear LA Virtual Admy'!K63</f>
        <v>-24438.703618067539</v>
      </c>
      <c r="L64" s="836">
        <f t="shared" si="37"/>
        <v>24438.703618067539</v>
      </c>
      <c r="M64" s="836">
        <f t="shared" si="38"/>
        <v>107530.29591949716</v>
      </c>
      <c r="N64" s="836">
        <f t="shared" si="39"/>
        <v>-269</v>
      </c>
      <c r="O64" s="837">
        <f t="shared" si="53"/>
        <v>107261.29591949716</v>
      </c>
      <c r="P64" s="837">
        <f>'[23]Oct midyear adj_LA virtual'!$M65</f>
        <v>0</v>
      </c>
      <c r="Q64" s="838">
        <f t="shared" si="40"/>
        <v>107261.29591949716</v>
      </c>
      <c r="R64" s="838">
        <f>6892+14853+12907+12907+12907+10127+10127+10127+4046+4046</f>
        <v>98939</v>
      </c>
      <c r="S64" s="838">
        <f t="shared" si="41"/>
        <v>8322.2959194971627</v>
      </c>
      <c r="T64" s="838">
        <f t="shared" si="42"/>
        <v>4161</v>
      </c>
      <c r="U64" s="839">
        <f>'[14]FY2012-13 Final'!K67*90%</f>
        <v>3532.5</v>
      </c>
      <c r="V64" s="840">
        <f t="shared" si="54"/>
        <v>60052.5</v>
      </c>
      <c r="W64" s="1491">
        <f>'[20]Oct midyear LA Virtual Admy'!E63</f>
        <v>10</v>
      </c>
      <c r="X64" s="840">
        <f t="shared" si="43"/>
        <v>35325</v>
      </c>
      <c r="Y64" s="1491">
        <f>'[20]Feb midyear LA Virtual Admy'!E63</f>
        <v>-10</v>
      </c>
      <c r="Z64" s="840">
        <f t="shared" si="44"/>
        <v>-17662.5</v>
      </c>
      <c r="AA64" s="840">
        <f t="shared" si="45"/>
        <v>17662.5</v>
      </c>
      <c r="AB64" s="840">
        <f t="shared" si="46"/>
        <v>77715</v>
      </c>
      <c r="AC64" s="840">
        <f t="shared" si="47"/>
        <v>-194</v>
      </c>
      <c r="AD64" s="840">
        <f t="shared" si="48"/>
        <v>77521</v>
      </c>
      <c r="AE64" s="839">
        <f>'[23]Oct midyear adj_LA virtual'!$P65</f>
        <v>0</v>
      </c>
      <c r="AF64" s="852">
        <f t="shared" si="49"/>
        <v>77521</v>
      </c>
      <c r="AG64" s="852">
        <f>4830+10410+9046+9046+9046+7097+7097+7097+3428+3428</f>
        <v>70525</v>
      </c>
      <c r="AH64" s="852">
        <f t="shared" si="50"/>
        <v>6996</v>
      </c>
      <c r="AI64" s="852">
        <f t="shared" si="51"/>
        <v>3498</v>
      </c>
      <c r="AJ64" s="841">
        <f t="shared" si="55"/>
        <v>184782.29591949715</v>
      </c>
      <c r="AK64" s="841">
        <f t="shared" si="56"/>
        <v>7659</v>
      </c>
      <c r="AM64" s="1543">
        <v>-145</v>
      </c>
      <c r="AN64" s="1543">
        <v>-49</v>
      </c>
      <c r="AP64" s="1543">
        <f t="shared" si="52"/>
        <v>0</v>
      </c>
    </row>
    <row r="65" spans="1:42" s="553" customFormat="1" ht="17.25" customHeight="1">
      <c r="A65" s="103">
        <v>61</v>
      </c>
      <c r="B65" s="805" t="s">
        <v>161</v>
      </c>
      <c r="C65" s="818">
        <f>'Table 8 2.1.12 MFP Funded'!U64</f>
        <v>16</v>
      </c>
      <c r="D65" s="819">
        <f>'Table 3 Levels 1&amp;2'!AL68*90%</f>
        <v>2761.672879240713</v>
      </c>
      <c r="E65" s="819">
        <f t="shared" si="34"/>
        <v>44186.766067851408</v>
      </c>
      <c r="F65" s="820">
        <f>'Table 4 Level 3'!P66*90%</f>
        <v>750.33899999999994</v>
      </c>
      <c r="G65" s="820">
        <f t="shared" si="35"/>
        <v>12005.423999999999</v>
      </c>
      <c r="H65" s="820">
        <f t="shared" si="36"/>
        <v>56192.190067851407</v>
      </c>
      <c r="I65" s="820">
        <f>(('Table 3 Levels 1&amp;2'!AL68-D65)*C65)</f>
        <v>4909.6406742057079</v>
      </c>
      <c r="J65" s="820">
        <f>'[1]Oct midyear LA Virtual Admy'!K64</f>
        <v>-35120.118792407127</v>
      </c>
      <c r="K65" s="820">
        <f>'[1]Feb midyear LA Virtual Admy'!K64</f>
        <v>0</v>
      </c>
      <c r="L65" s="820">
        <f t="shared" si="37"/>
        <v>-35120.118792407127</v>
      </c>
      <c r="M65" s="820">
        <f t="shared" si="38"/>
        <v>21072.071275444279</v>
      </c>
      <c r="N65" s="820">
        <f t="shared" si="39"/>
        <v>-53</v>
      </c>
      <c r="O65" s="821">
        <f t="shared" si="53"/>
        <v>21019.071275444279</v>
      </c>
      <c r="P65" s="821">
        <f>'[23]Oct midyear adj_LA virtual'!$M66</f>
        <v>-3381.8045293498144</v>
      </c>
      <c r="Q65" s="822">
        <f t="shared" si="40"/>
        <v>17637.266746094465</v>
      </c>
      <c r="R65" s="822">
        <f>4383+1839+1138+1138+1138+1139+1139+1139+1139+1139</f>
        <v>15331</v>
      </c>
      <c r="S65" s="822">
        <f t="shared" si="41"/>
        <v>2306.2667460944649</v>
      </c>
      <c r="T65" s="822">
        <f t="shared" si="42"/>
        <v>1153</v>
      </c>
      <c r="U65" s="823">
        <f>'[14]FY2012-13 Final'!K68*90%</f>
        <v>6028.2</v>
      </c>
      <c r="V65" s="824">
        <f t="shared" si="54"/>
        <v>96451.199999999997</v>
      </c>
      <c r="W65" s="1489">
        <f>'[20]Oct midyear LA Virtual Admy'!E64</f>
        <v>-10</v>
      </c>
      <c r="X65" s="824">
        <f t="shared" si="43"/>
        <v>-60282</v>
      </c>
      <c r="Y65" s="1489">
        <f>'[20]Feb midyear LA Virtual Admy'!E64</f>
        <v>0</v>
      </c>
      <c r="Z65" s="824">
        <f t="shared" si="44"/>
        <v>0</v>
      </c>
      <c r="AA65" s="824">
        <f t="shared" si="45"/>
        <v>-60282</v>
      </c>
      <c r="AB65" s="824">
        <f t="shared" si="46"/>
        <v>36169.199999999997</v>
      </c>
      <c r="AC65" s="824">
        <f t="shared" si="47"/>
        <v>-90</v>
      </c>
      <c r="AD65" s="824">
        <f t="shared" si="48"/>
        <v>36079.199999999997</v>
      </c>
      <c r="AE65" s="823">
        <f>'[23]Oct midyear adj_LA virtual'!$P66</f>
        <v>-5440.5</v>
      </c>
      <c r="AF65" s="850">
        <f t="shared" si="49"/>
        <v>30638.699999999997</v>
      </c>
      <c r="AG65" s="850">
        <f>7599+3207+1999+1999+1999+1999+1999+1999+1935+1935</f>
        <v>26670</v>
      </c>
      <c r="AH65" s="850">
        <f t="shared" si="50"/>
        <v>3968.6999999999971</v>
      </c>
      <c r="AI65" s="850">
        <f t="shared" si="51"/>
        <v>1984</v>
      </c>
      <c r="AJ65" s="825">
        <f t="shared" si="55"/>
        <v>48275.966746094462</v>
      </c>
      <c r="AK65" s="825">
        <f t="shared" si="56"/>
        <v>3137</v>
      </c>
      <c r="AM65" s="1543">
        <v>-242</v>
      </c>
      <c r="AN65" s="1543">
        <v>152</v>
      </c>
      <c r="AP65" s="1543">
        <f t="shared" si="52"/>
        <v>0</v>
      </c>
    </row>
    <row r="66" spans="1:42" s="553" customFormat="1" ht="17.25" customHeight="1">
      <c r="A66" s="103">
        <v>62</v>
      </c>
      <c r="B66" s="805" t="s">
        <v>162</v>
      </c>
      <c r="C66" s="826">
        <f>'Table 8 2.1.12 MFP Funded'!U65</f>
        <v>1</v>
      </c>
      <c r="D66" s="827">
        <f>'Table 3 Levels 1&amp;2'!AL69*90%</f>
        <v>5019.3253912491427</v>
      </c>
      <c r="E66" s="827">
        <f t="shared" si="34"/>
        <v>5019.3253912491427</v>
      </c>
      <c r="F66" s="828">
        <f>'Table 4 Level 3'!P67*90%</f>
        <v>464.47200000000004</v>
      </c>
      <c r="G66" s="828">
        <f t="shared" si="35"/>
        <v>464.47200000000004</v>
      </c>
      <c r="H66" s="828">
        <f t="shared" si="36"/>
        <v>5483.7973912491425</v>
      </c>
      <c r="I66" s="828">
        <f>(('Table 3 Levels 1&amp;2'!AL69-D66)*C66)</f>
        <v>557.70282124990445</v>
      </c>
      <c r="J66" s="828">
        <f>'[1]Oct midyear LA Virtual Admy'!K65</f>
        <v>16451.392173747427</v>
      </c>
      <c r="K66" s="828">
        <f>'[1]Feb midyear LA Virtual Admy'!K65</f>
        <v>-8225.6960868737133</v>
      </c>
      <c r="L66" s="828">
        <f t="shared" si="37"/>
        <v>8225.6960868737133</v>
      </c>
      <c r="M66" s="828">
        <f t="shared" si="38"/>
        <v>13709.493478122855</v>
      </c>
      <c r="N66" s="828">
        <f t="shared" si="39"/>
        <v>-34</v>
      </c>
      <c r="O66" s="829">
        <f t="shared" si="53"/>
        <v>13675.493478122855</v>
      </c>
      <c r="P66" s="829">
        <f>'[23]Oct midyear adj_LA virtual'!$M67</f>
        <v>0</v>
      </c>
      <c r="Q66" s="830">
        <f t="shared" si="40"/>
        <v>13675.493478122855</v>
      </c>
      <c r="R66" s="830">
        <f>455+1944+2490+2490+2490+1710+1710+1710-338-338</f>
        <v>14323</v>
      </c>
      <c r="S66" s="830">
        <f t="shared" si="41"/>
        <v>-647.50652187714513</v>
      </c>
      <c r="T66" s="830">
        <f t="shared" si="42"/>
        <v>-324</v>
      </c>
      <c r="U66" s="831">
        <f>'[14]FY2012-13 Final'!K69*90%</f>
        <v>1606.5</v>
      </c>
      <c r="V66" s="832">
        <f t="shared" si="54"/>
        <v>1606.5</v>
      </c>
      <c r="W66" s="1490">
        <f>'[20]Oct midyear LA Virtual Admy'!E65</f>
        <v>3</v>
      </c>
      <c r="X66" s="832">
        <f t="shared" si="43"/>
        <v>4819.5</v>
      </c>
      <c r="Y66" s="1490">
        <f>'[20]Feb midyear LA Virtual Admy'!E65</f>
        <v>-3</v>
      </c>
      <c r="Z66" s="832">
        <f t="shared" si="44"/>
        <v>-2409.75</v>
      </c>
      <c r="AA66" s="832">
        <f t="shared" si="45"/>
        <v>2409.75</v>
      </c>
      <c r="AB66" s="832">
        <f t="shared" si="46"/>
        <v>4016.25</v>
      </c>
      <c r="AC66" s="832">
        <f t="shared" si="47"/>
        <v>-10</v>
      </c>
      <c r="AD66" s="832">
        <f t="shared" si="48"/>
        <v>4006.25</v>
      </c>
      <c r="AE66" s="831">
        <f>'[23]Oct midyear adj_LA virtual'!$P67</f>
        <v>0</v>
      </c>
      <c r="AF66" s="851">
        <f t="shared" si="49"/>
        <v>4006.25</v>
      </c>
      <c r="AG66" s="851">
        <f>126+536+687+687+687+472+472+472-51-51</f>
        <v>4037</v>
      </c>
      <c r="AH66" s="851">
        <f t="shared" si="50"/>
        <v>-30.75</v>
      </c>
      <c r="AI66" s="851">
        <f t="shared" si="51"/>
        <v>-15</v>
      </c>
      <c r="AJ66" s="833">
        <f t="shared" si="55"/>
        <v>17681.743478122855</v>
      </c>
      <c r="AK66" s="833">
        <f t="shared" si="56"/>
        <v>-339</v>
      </c>
      <c r="AM66" s="1543">
        <v>-4</v>
      </c>
      <c r="AN66" s="1543">
        <v>-6</v>
      </c>
      <c r="AP66" s="1543">
        <f t="shared" si="52"/>
        <v>0</v>
      </c>
    </row>
    <row r="67" spans="1:42" s="553" customFormat="1" ht="17.25" customHeight="1">
      <c r="A67" s="103">
        <v>63</v>
      </c>
      <c r="B67" s="805" t="s">
        <v>163</v>
      </c>
      <c r="C67" s="826">
        <f>'Table 8 2.1.12 MFP Funded'!U66</f>
        <v>0</v>
      </c>
      <c r="D67" s="827">
        <f>'Table 3 Levels 1&amp;2'!AL70*90%</f>
        <v>3984.4869401858409</v>
      </c>
      <c r="E67" s="827">
        <f t="shared" si="34"/>
        <v>0</v>
      </c>
      <c r="F67" s="828">
        <f>'Table 4 Level 3'!P68*90%</f>
        <v>681.11099999999999</v>
      </c>
      <c r="G67" s="828">
        <f t="shared" si="35"/>
        <v>0</v>
      </c>
      <c r="H67" s="828">
        <f t="shared" si="36"/>
        <v>0</v>
      </c>
      <c r="I67" s="828">
        <f>(('Table 3 Levels 1&amp;2'!AL70-D67)*C67)</f>
        <v>0</v>
      </c>
      <c r="J67" s="828">
        <f>'[1]Oct midyear LA Virtual Admy'!K66</f>
        <v>0</v>
      </c>
      <c r="K67" s="828">
        <f>'[1]Feb midyear LA Virtual Admy'!K66</f>
        <v>0</v>
      </c>
      <c r="L67" s="828">
        <f t="shared" si="37"/>
        <v>0</v>
      </c>
      <c r="M67" s="828">
        <f t="shared" si="38"/>
        <v>0</v>
      </c>
      <c r="N67" s="828">
        <f t="shared" si="39"/>
        <v>0</v>
      </c>
      <c r="O67" s="829">
        <f t="shared" si="53"/>
        <v>0</v>
      </c>
      <c r="P67" s="829">
        <f>'[23]Oct midyear adj_LA virtual'!$M68</f>
        <v>0</v>
      </c>
      <c r="Q67" s="830">
        <f t="shared" si="40"/>
        <v>0</v>
      </c>
      <c r="R67" s="830">
        <v>0</v>
      </c>
      <c r="S67" s="830">
        <f t="shared" si="41"/>
        <v>0</v>
      </c>
      <c r="T67" s="830">
        <f t="shared" si="42"/>
        <v>0</v>
      </c>
      <c r="U67" s="831">
        <f>'[14]FY2012-13 Final'!K70*90%</f>
        <v>6471</v>
      </c>
      <c r="V67" s="832">
        <f t="shared" si="54"/>
        <v>0</v>
      </c>
      <c r="W67" s="1490">
        <f>'[20]Oct midyear LA Virtual Admy'!E66</f>
        <v>0</v>
      </c>
      <c r="X67" s="832">
        <f t="shared" si="43"/>
        <v>0</v>
      </c>
      <c r="Y67" s="1490">
        <f>'[20]Feb midyear LA Virtual Admy'!E66</f>
        <v>0</v>
      </c>
      <c r="Z67" s="832">
        <f t="shared" si="44"/>
        <v>0</v>
      </c>
      <c r="AA67" s="832">
        <f t="shared" si="45"/>
        <v>0</v>
      </c>
      <c r="AB67" s="832">
        <f t="shared" si="46"/>
        <v>0</v>
      </c>
      <c r="AC67" s="832">
        <f t="shared" si="47"/>
        <v>0</v>
      </c>
      <c r="AD67" s="832">
        <f t="shared" si="48"/>
        <v>0</v>
      </c>
      <c r="AE67" s="831">
        <f>'[23]Oct midyear adj_LA virtual'!$P68</f>
        <v>0</v>
      </c>
      <c r="AF67" s="851">
        <f t="shared" si="49"/>
        <v>0</v>
      </c>
      <c r="AG67" s="851">
        <v>0</v>
      </c>
      <c r="AH67" s="851">
        <f t="shared" si="50"/>
        <v>0</v>
      </c>
      <c r="AI67" s="851">
        <f t="shared" si="51"/>
        <v>0</v>
      </c>
      <c r="AJ67" s="833">
        <f t="shared" si="55"/>
        <v>0</v>
      </c>
      <c r="AK67" s="833">
        <f t="shared" si="56"/>
        <v>0</v>
      </c>
      <c r="AM67" s="1543">
        <v>0</v>
      </c>
      <c r="AN67" s="1543">
        <v>0</v>
      </c>
      <c r="AP67" s="1543">
        <f t="shared" si="52"/>
        <v>0</v>
      </c>
    </row>
    <row r="68" spans="1:42" s="553" customFormat="1" ht="17.25" customHeight="1">
      <c r="A68" s="103">
        <v>64</v>
      </c>
      <c r="B68" s="805" t="s">
        <v>164</v>
      </c>
      <c r="C68" s="826">
        <f>'Table 8 2.1.12 MFP Funded'!U67</f>
        <v>2</v>
      </c>
      <c r="D68" s="827">
        <f>'Table 3 Levels 1&amp;2'!AL71*90%</f>
        <v>5299.6253265163632</v>
      </c>
      <c r="E68" s="827">
        <f t="shared" si="34"/>
        <v>10599.250653032726</v>
      </c>
      <c r="F68" s="828">
        <f>'Table 4 Level 3'!P69*90%</f>
        <v>533.39400000000001</v>
      </c>
      <c r="G68" s="828">
        <f t="shared" si="35"/>
        <v>1066.788</v>
      </c>
      <c r="H68" s="828">
        <f t="shared" si="36"/>
        <v>11666.038653032727</v>
      </c>
      <c r="I68" s="828">
        <f>(('Table 3 Levels 1&amp;2'!AL71-D68)*C68)</f>
        <v>1177.6945170036361</v>
      </c>
      <c r="J68" s="828">
        <f>'[1]Oct midyear LA Virtual Admy'!K67</f>
        <v>-5833.0193265163634</v>
      </c>
      <c r="K68" s="828">
        <f>'[1]Feb midyear LA Virtual Admy'!K67</f>
        <v>0</v>
      </c>
      <c r="L68" s="828">
        <f t="shared" si="37"/>
        <v>-5833.0193265163634</v>
      </c>
      <c r="M68" s="828">
        <f t="shared" si="38"/>
        <v>5833.0193265163634</v>
      </c>
      <c r="N68" s="828">
        <f t="shared" si="39"/>
        <v>-15</v>
      </c>
      <c r="O68" s="829">
        <f t="shared" si="53"/>
        <v>5818.0193265163634</v>
      </c>
      <c r="P68" s="829">
        <f>'[23]Oct midyear adj_LA virtual'!$M69</f>
        <v>0</v>
      </c>
      <c r="Q68" s="830">
        <f t="shared" si="40"/>
        <v>5818.0193265163634</v>
      </c>
      <c r="R68" s="830">
        <f>967+2022+281+281+281+281+281+281+282+282</f>
        <v>5239</v>
      </c>
      <c r="S68" s="830">
        <f t="shared" si="41"/>
        <v>579.01932651636344</v>
      </c>
      <c r="T68" s="830">
        <f t="shared" si="42"/>
        <v>290</v>
      </c>
      <c r="U68" s="831">
        <f>'[14]FY2012-13 Final'!K71*90%</f>
        <v>2431.8000000000002</v>
      </c>
      <c r="V68" s="832">
        <f t="shared" si="54"/>
        <v>4863.6000000000004</v>
      </c>
      <c r="W68" s="1490">
        <f>'[20]Oct midyear LA Virtual Admy'!E67</f>
        <v>-1</v>
      </c>
      <c r="X68" s="832">
        <f t="shared" si="43"/>
        <v>-2431.8000000000002</v>
      </c>
      <c r="Y68" s="1490">
        <f>'[20]Feb midyear LA Virtual Admy'!E67</f>
        <v>0</v>
      </c>
      <c r="Z68" s="832">
        <f t="shared" si="44"/>
        <v>0</v>
      </c>
      <c r="AA68" s="832">
        <f t="shared" si="45"/>
        <v>-2431.8000000000002</v>
      </c>
      <c r="AB68" s="832">
        <f t="shared" si="46"/>
        <v>2431.8000000000002</v>
      </c>
      <c r="AC68" s="832">
        <f t="shared" si="47"/>
        <v>-6</v>
      </c>
      <c r="AD68" s="832">
        <f t="shared" si="48"/>
        <v>2425.8000000000002</v>
      </c>
      <c r="AE68" s="831">
        <f>'[23]Oct midyear adj_LA virtual'!$P69</f>
        <v>0</v>
      </c>
      <c r="AF68" s="851">
        <f t="shared" si="49"/>
        <v>2425.8000000000002</v>
      </c>
      <c r="AG68" s="851">
        <f>398+832+116+116+116+115+115+115+125+125</f>
        <v>2173</v>
      </c>
      <c r="AH68" s="851">
        <f t="shared" si="50"/>
        <v>252.80000000000018</v>
      </c>
      <c r="AI68" s="851">
        <f t="shared" si="51"/>
        <v>126</v>
      </c>
      <c r="AJ68" s="833">
        <f t="shared" si="55"/>
        <v>8243.8193265163645</v>
      </c>
      <c r="AK68" s="833">
        <f t="shared" si="56"/>
        <v>416</v>
      </c>
      <c r="AM68" s="1543">
        <v>-12</v>
      </c>
      <c r="AN68" s="1543">
        <v>6</v>
      </c>
      <c r="AP68" s="1543">
        <f t="shared" si="52"/>
        <v>0</v>
      </c>
    </row>
    <row r="69" spans="1:42" s="553" customFormat="1" ht="17.25" customHeight="1">
      <c r="A69" s="104">
        <v>65</v>
      </c>
      <c r="B69" s="806" t="s">
        <v>165</v>
      </c>
      <c r="C69" s="834">
        <f>'Table 8 2.1.12 MFP Funded'!U68</f>
        <v>5</v>
      </c>
      <c r="D69" s="835">
        <f>'Table 3 Levels 1&amp;2'!AL72*90%</f>
        <v>4125.5648109696658</v>
      </c>
      <c r="E69" s="835">
        <f t="shared" si="34"/>
        <v>20627.82405484833</v>
      </c>
      <c r="F69" s="836">
        <f>'Table 4 Level 3'!P70*90%</f>
        <v>746.20799999999997</v>
      </c>
      <c r="G69" s="836">
        <f t="shared" si="35"/>
        <v>3731.04</v>
      </c>
      <c r="H69" s="836">
        <f t="shared" si="36"/>
        <v>24358.864054848331</v>
      </c>
      <c r="I69" s="836">
        <f>(('Table 3 Levels 1&amp;2'!AL72-D69)*C69)</f>
        <v>2291.9804505387037</v>
      </c>
      <c r="J69" s="836">
        <f>'[1]Oct midyear LA Virtual Admy'!K68</f>
        <v>-24358.864054848327</v>
      </c>
      <c r="K69" s="836">
        <f>'[1]Feb midyear LA Virtual Admy'!K68</f>
        <v>0</v>
      </c>
      <c r="L69" s="836">
        <f t="shared" si="37"/>
        <v>-24358.864054848327</v>
      </c>
      <c r="M69" s="836">
        <f t="shared" si="38"/>
        <v>0</v>
      </c>
      <c r="N69" s="836">
        <f t="shared" si="39"/>
        <v>0</v>
      </c>
      <c r="O69" s="837">
        <f t="shared" ref="O69:O73" si="57">M69+N69</f>
        <v>0</v>
      </c>
      <c r="P69" s="837">
        <f>'[23]Oct midyear adj_LA virtual'!$M70</f>
        <v>0</v>
      </c>
      <c r="Q69" s="838">
        <f t="shared" si="40"/>
        <v>0</v>
      </c>
      <c r="R69" s="838">
        <f>2032+3805+3805+3805+3805-2465-2465-2465-2464-2464</f>
        <v>4929</v>
      </c>
      <c r="S69" s="838">
        <f t="shared" si="41"/>
        <v>-4929</v>
      </c>
      <c r="T69" s="838">
        <f t="shared" si="42"/>
        <v>-2465</v>
      </c>
      <c r="U69" s="839">
        <f>'[14]FY2012-13 Final'!K72*90%</f>
        <v>4442.4000000000005</v>
      </c>
      <c r="V69" s="840">
        <f t="shared" ref="V69:V73" si="58">U69*C69</f>
        <v>22212.000000000004</v>
      </c>
      <c r="W69" s="1491">
        <f>'[20]Oct midyear LA Virtual Admy'!E68</f>
        <v>-5</v>
      </c>
      <c r="X69" s="840">
        <f t="shared" si="43"/>
        <v>-22212.000000000004</v>
      </c>
      <c r="Y69" s="1491">
        <f>'[20]Feb midyear LA Virtual Admy'!E68</f>
        <v>0</v>
      </c>
      <c r="Z69" s="840">
        <f t="shared" si="44"/>
        <v>0</v>
      </c>
      <c r="AA69" s="840">
        <f t="shared" si="45"/>
        <v>-22212.000000000004</v>
      </c>
      <c r="AB69" s="840">
        <f t="shared" si="46"/>
        <v>0</v>
      </c>
      <c r="AC69" s="840">
        <f t="shared" si="47"/>
        <v>0</v>
      </c>
      <c r="AD69" s="840">
        <f t="shared" si="48"/>
        <v>0</v>
      </c>
      <c r="AE69" s="839">
        <f>'[23]Oct midyear adj_LA virtual'!$P70</f>
        <v>0</v>
      </c>
      <c r="AF69" s="852">
        <f t="shared" si="49"/>
        <v>0</v>
      </c>
      <c r="AG69" s="852">
        <f>1732+3244+3244+3244+3244-2101-2101-2101-2101-2101</f>
        <v>4203</v>
      </c>
      <c r="AH69" s="852">
        <f t="shared" si="50"/>
        <v>-4203</v>
      </c>
      <c r="AI69" s="852">
        <f t="shared" si="51"/>
        <v>-2102</v>
      </c>
      <c r="AJ69" s="841">
        <f t="shared" si="55"/>
        <v>0</v>
      </c>
      <c r="AK69" s="841">
        <f t="shared" si="56"/>
        <v>-4567</v>
      </c>
      <c r="AM69" s="1543">
        <v>-52</v>
      </c>
      <c r="AN69" s="1543">
        <v>52</v>
      </c>
      <c r="AP69" s="1543">
        <f t="shared" si="52"/>
        <v>0</v>
      </c>
    </row>
    <row r="70" spans="1:42" s="553" customFormat="1" ht="17.25" customHeight="1">
      <c r="A70" s="103">
        <v>66</v>
      </c>
      <c r="B70" s="805" t="s">
        <v>166</v>
      </c>
      <c r="C70" s="818">
        <f>'Table 8 2.1.12 MFP Funded'!U69</f>
        <v>4</v>
      </c>
      <c r="D70" s="819">
        <f>'Table 3 Levels 1&amp;2'!AL73*90%</f>
        <v>5636.2306373483716</v>
      </c>
      <c r="E70" s="819">
        <f t="shared" ref="E70:E73" si="59">C70*D70</f>
        <v>22544.922549393486</v>
      </c>
      <c r="F70" s="820">
        <f>'Table 4 Level 3'!P71*90%</f>
        <v>657.05399999999997</v>
      </c>
      <c r="G70" s="820">
        <f t="shared" ref="G70:G73" si="60">F70*C70</f>
        <v>2628.2159999999999</v>
      </c>
      <c r="H70" s="820">
        <f t="shared" ref="H70:H73" si="61">E70+G70</f>
        <v>25173.138549393487</v>
      </c>
      <c r="I70" s="820">
        <f>(('Table 3 Levels 1&amp;2'!AL73-D70)*C70)</f>
        <v>2504.9913943770516</v>
      </c>
      <c r="J70" s="820">
        <f>'[1]Oct midyear LA Virtual Admy'!K69</f>
        <v>-18879.853912045117</v>
      </c>
      <c r="K70" s="820">
        <f>'[1]Feb midyear LA Virtual Admy'!K69</f>
        <v>6293.2846373483717</v>
      </c>
      <c r="L70" s="820">
        <f t="shared" ref="L70:L73" si="62">J70+K70</f>
        <v>-12586.569274696745</v>
      </c>
      <c r="M70" s="820">
        <f t="shared" ref="M70:M73" si="63">H70+L70</f>
        <v>12586.569274696742</v>
      </c>
      <c r="N70" s="820">
        <f t="shared" ref="N70:N73" si="64">ROUND(-0.25%*M70,0)</f>
        <v>-31</v>
      </c>
      <c r="O70" s="821">
        <f t="shared" si="57"/>
        <v>12555.569274696742</v>
      </c>
      <c r="P70" s="821">
        <f>'[23]Oct midyear adj_LA virtual'!$M71</f>
        <v>0</v>
      </c>
      <c r="Q70" s="822">
        <f t="shared" ref="Q70:Q73" si="65">SUM(O70:P70)</f>
        <v>12555.569274696742</v>
      </c>
      <c r="R70" s="822">
        <f>2087+1518+2144+2144+2144-539-539-539+1026+1026</f>
        <v>10472</v>
      </c>
      <c r="S70" s="822">
        <f t="shared" ref="S70:S73" si="66">Q70-R70</f>
        <v>2083.5692746967416</v>
      </c>
      <c r="T70" s="822">
        <f t="shared" ref="T70:T73" si="67">ROUND(S70/2,0)</f>
        <v>1042</v>
      </c>
      <c r="U70" s="823">
        <f>'[14]FY2012-13 Final'!K73*90%</f>
        <v>3175.2000000000003</v>
      </c>
      <c r="V70" s="824">
        <f t="shared" si="58"/>
        <v>12700.800000000001</v>
      </c>
      <c r="W70" s="1489">
        <f>'[20]Oct midyear LA Virtual Admy'!E69</f>
        <v>-3</v>
      </c>
      <c r="X70" s="824">
        <f t="shared" ref="X70:X73" si="68">W70*U70</f>
        <v>-9525.6</v>
      </c>
      <c r="Y70" s="1489">
        <f>'[20]Feb midyear LA Virtual Admy'!E69</f>
        <v>2</v>
      </c>
      <c r="Z70" s="824">
        <f t="shared" ref="Z70:Z73" si="69">Y70*(U70*0.5)</f>
        <v>3175.2000000000003</v>
      </c>
      <c r="AA70" s="824">
        <f t="shared" ref="AA70:AA73" si="70">X70+Z70</f>
        <v>-6350.4</v>
      </c>
      <c r="AB70" s="824">
        <f t="shared" ref="AB70:AB73" si="71">V70+AA70</f>
        <v>6350.4000000000015</v>
      </c>
      <c r="AC70" s="824">
        <f t="shared" ref="AC70:AC73" si="72">ROUND(AB70*-0.25%,0)</f>
        <v>-16</v>
      </c>
      <c r="AD70" s="824">
        <f t="shared" ref="AD70:AD73" si="73">SUM(AB70:AC70)</f>
        <v>6334.4000000000015</v>
      </c>
      <c r="AE70" s="823">
        <f>'[23]Oct midyear adj_LA virtual'!$P71</f>
        <v>0</v>
      </c>
      <c r="AF70" s="850">
        <f t="shared" ref="AF70:AF73" si="74">SUM(AD70:AE70)</f>
        <v>6334.4000000000015</v>
      </c>
      <c r="AG70" s="850">
        <f>1030+749+1058+1058+1058-266-266-266+539+539</f>
        <v>5233</v>
      </c>
      <c r="AH70" s="850">
        <f t="shared" ref="AH70:AH73" si="75">AF70-AG70</f>
        <v>1101.4000000000015</v>
      </c>
      <c r="AI70" s="850">
        <f t="shared" ref="AI70:AI73" si="76">ROUND(AH70/2,0)</f>
        <v>551</v>
      </c>
      <c r="AJ70" s="825">
        <f t="shared" si="55"/>
        <v>18889.969274696741</v>
      </c>
      <c r="AK70" s="825">
        <f t="shared" si="56"/>
        <v>1593</v>
      </c>
      <c r="AM70" s="1543">
        <v>-31</v>
      </c>
      <c r="AN70" s="1543">
        <v>15</v>
      </c>
      <c r="AP70" s="1543">
        <f t="shared" ref="AP70:AP73" si="77">AC70-AM70-AN70</f>
        <v>0</v>
      </c>
    </row>
    <row r="71" spans="1:42" s="553" customFormat="1" ht="17.25" customHeight="1">
      <c r="A71" s="103">
        <v>67</v>
      </c>
      <c r="B71" s="805" t="s">
        <v>33</v>
      </c>
      <c r="C71" s="826">
        <f>'Table 8 2.1.12 MFP Funded'!U70</f>
        <v>2</v>
      </c>
      <c r="D71" s="827">
        <f>'Table 3 Levels 1&amp;2'!AL74*90%</f>
        <v>4553.4175826239371</v>
      </c>
      <c r="E71" s="827">
        <f t="shared" si="59"/>
        <v>9106.8351652478741</v>
      </c>
      <c r="F71" s="828">
        <f>'Table 4 Level 3'!P72*90%</f>
        <v>644.04899999999998</v>
      </c>
      <c r="G71" s="828">
        <f t="shared" si="60"/>
        <v>1288.098</v>
      </c>
      <c r="H71" s="828">
        <f t="shared" si="61"/>
        <v>10394.933165247874</v>
      </c>
      <c r="I71" s="828">
        <f>(('Table 3 Levels 1&amp;2'!AL74-D71)*C71)</f>
        <v>1011.8705739164307</v>
      </c>
      <c r="J71" s="828">
        <f>'[1]Oct midyear LA Virtual Admy'!K70</f>
        <v>0</v>
      </c>
      <c r="K71" s="828">
        <f>'[1]Feb midyear LA Virtual Admy'!K70</f>
        <v>-2598.7332913119685</v>
      </c>
      <c r="L71" s="828">
        <f t="shared" si="62"/>
        <v>-2598.7332913119685</v>
      </c>
      <c r="M71" s="828">
        <f t="shared" si="63"/>
        <v>7796.199873935906</v>
      </c>
      <c r="N71" s="828">
        <f t="shared" si="64"/>
        <v>-19</v>
      </c>
      <c r="O71" s="829">
        <f t="shared" si="57"/>
        <v>7777.199873935906</v>
      </c>
      <c r="P71" s="829">
        <f>'[23]Oct midyear adj_LA virtual'!$M72</f>
        <v>0</v>
      </c>
      <c r="Q71" s="830">
        <f t="shared" si="65"/>
        <v>7777.199873935906</v>
      </c>
      <c r="R71" s="830">
        <f>863+2274+721+721+721+722+722+722+75+75</f>
        <v>7616</v>
      </c>
      <c r="S71" s="830">
        <f t="shared" si="66"/>
        <v>161.199873935906</v>
      </c>
      <c r="T71" s="830">
        <f t="shared" si="67"/>
        <v>81</v>
      </c>
      <c r="U71" s="831">
        <f>'[14]FY2012-13 Final'!K74*90%</f>
        <v>4549.5</v>
      </c>
      <c r="V71" s="832">
        <f t="shared" si="58"/>
        <v>9099</v>
      </c>
      <c r="W71" s="1490">
        <f>'[20]Oct midyear LA Virtual Admy'!E70</f>
        <v>0</v>
      </c>
      <c r="X71" s="832">
        <f t="shared" si="68"/>
        <v>0</v>
      </c>
      <c r="Y71" s="1490">
        <f>'[20]Feb midyear LA Virtual Admy'!E70</f>
        <v>-1</v>
      </c>
      <c r="Z71" s="832">
        <f t="shared" si="69"/>
        <v>-2274.75</v>
      </c>
      <c r="AA71" s="832">
        <f t="shared" si="70"/>
        <v>-2274.75</v>
      </c>
      <c r="AB71" s="832">
        <f t="shared" si="71"/>
        <v>6824.25</v>
      </c>
      <c r="AC71" s="832">
        <f t="shared" si="72"/>
        <v>-17</v>
      </c>
      <c r="AD71" s="832">
        <f t="shared" si="73"/>
        <v>6807.25</v>
      </c>
      <c r="AE71" s="831">
        <f>'[23]Oct midyear adj_LA virtual'!$P72</f>
        <v>0</v>
      </c>
      <c r="AF71" s="851">
        <f t="shared" si="74"/>
        <v>6807.25</v>
      </c>
      <c r="AG71" s="851">
        <f>674+1776+563+563+563+564+564+564+243+243</f>
        <v>6317</v>
      </c>
      <c r="AH71" s="851">
        <f t="shared" si="75"/>
        <v>490.25</v>
      </c>
      <c r="AI71" s="851">
        <f t="shared" si="76"/>
        <v>245</v>
      </c>
      <c r="AJ71" s="833">
        <f t="shared" si="55"/>
        <v>14584.449873935906</v>
      </c>
      <c r="AK71" s="833">
        <f t="shared" si="56"/>
        <v>326</v>
      </c>
      <c r="AM71" s="1543">
        <v>-20</v>
      </c>
      <c r="AN71" s="1543">
        <v>3</v>
      </c>
      <c r="AP71" s="1543">
        <f t="shared" si="77"/>
        <v>0</v>
      </c>
    </row>
    <row r="72" spans="1:42" s="553" customFormat="1" ht="17.25" customHeight="1">
      <c r="A72" s="103">
        <v>68</v>
      </c>
      <c r="B72" s="805" t="s">
        <v>31</v>
      </c>
      <c r="C72" s="826">
        <f>'Table 8 2.1.12 MFP Funded'!U71</f>
        <v>4</v>
      </c>
      <c r="D72" s="827">
        <f>'Table 3 Levels 1&amp;2'!AL75*90%</f>
        <v>5276.9534302186757</v>
      </c>
      <c r="E72" s="827">
        <f t="shared" si="59"/>
        <v>21107.813720874703</v>
      </c>
      <c r="F72" s="828">
        <f>'Table 4 Level 3'!P73*90%</f>
        <v>718.83</v>
      </c>
      <c r="G72" s="828">
        <f t="shared" si="60"/>
        <v>2875.32</v>
      </c>
      <c r="H72" s="828">
        <f t="shared" si="61"/>
        <v>23983.133720874703</v>
      </c>
      <c r="I72" s="828">
        <f>(('Table 3 Levels 1&amp;2'!AL75-D72)*C72)</f>
        <v>2345.3126356527428</v>
      </c>
      <c r="J72" s="828">
        <f>'[1]Oct midyear LA Virtual Admy'!K71</f>
        <v>0</v>
      </c>
      <c r="K72" s="828">
        <f>'[1]Feb midyear LA Virtual Admy'!K71</f>
        <v>-2997.8917151093378</v>
      </c>
      <c r="L72" s="828">
        <f t="shared" si="62"/>
        <v>-2997.8917151093378</v>
      </c>
      <c r="M72" s="828">
        <f t="shared" si="63"/>
        <v>20985.242005765365</v>
      </c>
      <c r="N72" s="828">
        <f t="shared" si="64"/>
        <v>-52</v>
      </c>
      <c r="O72" s="829">
        <f t="shared" si="57"/>
        <v>20933.242005765365</v>
      </c>
      <c r="P72" s="829">
        <f>'[23]Oct midyear adj_LA virtual'!$M73</f>
        <v>0</v>
      </c>
      <c r="Q72" s="830">
        <f t="shared" si="65"/>
        <v>20933.242005765365</v>
      </c>
      <c r="R72" s="830">
        <f>1993+1450+852+852+852+2560+2560+2560+1812+1812</f>
        <v>17303</v>
      </c>
      <c r="S72" s="830">
        <f t="shared" si="66"/>
        <v>3630.2420057653653</v>
      </c>
      <c r="T72" s="830">
        <f t="shared" si="67"/>
        <v>1815</v>
      </c>
      <c r="U72" s="831">
        <f>'[14]FY2012-13 Final'!K75*90%</f>
        <v>2528.1</v>
      </c>
      <c r="V72" s="832">
        <f t="shared" si="58"/>
        <v>10112.4</v>
      </c>
      <c r="W72" s="1490">
        <f>'[20]Oct midyear LA Virtual Admy'!E71</f>
        <v>0</v>
      </c>
      <c r="X72" s="832">
        <f t="shared" si="68"/>
        <v>0</v>
      </c>
      <c r="Y72" s="1490">
        <f>'[20]Feb midyear LA Virtual Admy'!E71</f>
        <v>-1</v>
      </c>
      <c r="Z72" s="832">
        <f t="shared" si="69"/>
        <v>-1264.05</v>
      </c>
      <c r="AA72" s="832">
        <f t="shared" si="70"/>
        <v>-1264.05</v>
      </c>
      <c r="AB72" s="832">
        <f t="shared" si="71"/>
        <v>8848.35</v>
      </c>
      <c r="AC72" s="832">
        <f t="shared" si="72"/>
        <v>-22</v>
      </c>
      <c r="AD72" s="832">
        <f t="shared" si="73"/>
        <v>8826.35</v>
      </c>
      <c r="AE72" s="831">
        <f>'[23]Oct midyear adj_LA virtual'!$P73</f>
        <v>0</v>
      </c>
      <c r="AF72" s="851">
        <f t="shared" si="74"/>
        <v>8826.35</v>
      </c>
      <c r="AG72" s="851">
        <f>774+563+331+331+331+994+994+994+842+842</f>
        <v>6996</v>
      </c>
      <c r="AH72" s="851">
        <f t="shared" si="75"/>
        <v>1830.3500000000004</v>
      </c>
      <c r="AI72" s="851">
        <f t="shared" si="76"/>
        <v>915</v>
      </c>
      <c r="AJ72" s="833">
        <f t="shared" si="55"/>
        <v>29759.592005765364</v>
      </c>
      <c r="AK72" s="833">
        <f t="shared" si="56"/>
        <v>2730</v>
      </c>
      <c r="AM72" s="1543">
        <v>-23</v>
      </c>
      <c r="AN72" s="1543">
        <v>1</v>
      </c>
      <c r="AP72" s="1543">
        <f t="shared" si="77"/>
        <v>0</v>
      </c>
    </row>
    <row r="73" spans="1:42" s="553" customFormat="1" ht="17.25" customHeight="1">
      <c r="A73" s="103">
        <v>69</v>
      </c>
      <c r="B73" s="805" t="s">
        <v>229</v>
      </c>
      <c r="C73" s="826">
        <f>'Table 8 2.1.12 MFP Funded'!U72</f>
        <v>10</v>
      </c>
      <c r="D73" s="827">
        <f>'Table 3 Levels 1&amp;2'!AL76*90%</f>
        <v>4968.7146656811774</v>
      </c>
      <c r="E73" s="827">
        <f t="shared" si="59"/>
        <v>49687.146656811776</v>
      </c>
      <c r="F73" s="828">
        <f>'Table 4 Level 3'!P74*90%</f>
        <v>635.10299999999995</v>
      </c>
      <c r="G73" s="828">
        <f t="shared" si="60"/>
        <v>6351.03</v>
      </c>
      <c r="H73" s="828">
        <f t="shared" si="61"/>
        <v>56038.176656811775</v>
      </c>
      <c r="I73" s="828">
        <f>(('Table 3 Levels 1&amp;2'!AL76-D73)*C73)</f>
        <v>5520.794072979088</v>
      </c>
      <c r="J73" s="828">
        <f>'[1]Oct midyear LA Virtual Admy'!K72</f>
        <v>-22415.27066272471</v>
      </c>
      <c r="K73" s="828">
        <f>'[1]Feb midyear LA Virtual Admy'!K72</f>
        <v>2801.9088328405887</v>
      </c>
      <c r="L73" s="828">
        <f t="shared" si="62"/>
        <v>-19613.361829884121</v>
      </c>
      <c r="M73" s="828">
        <f t="shared" si="63"/>
        <v>36424.814826927657</v>
      </c>
      <c r="N73" s="828">
        <f t="shared" si="64"/>
        <v>-91</v>
      </c>
      <c r="O73" s="829">
        <f t="shared" si="57"/>
        <v>36333.814826927657</v>
      </c>
      <c r="P73" s="829">
        <f>'[23]Oct midyear adj_LA virtual'!$M74</f>
        <v>0</v>
      </c>
      <c r="Q73" s="830">
        <f t="shared" si="65"/>
        <v>36333.814826927657</v>
      </c>
      <c r="R73" s="830">
        <f>4649+2113+1555+1555+1555+3149+3149+3149+3847+3847</f>
        <v>28568</v>
      </c>
      <c r="S73" s="830">
        <f t="shared" si="66"/>
        <v>7765.8148269276571</v>
      </c>
      <c r="T73" s="830">
        <f t="shared" si="67"/>
        <v>3883</v>
      </c>
      <c r="U73" s="831">
        <f>'[14]FY2012-13 Final'!K76*90%</f>
        <v>2996.1</v>
      </c>
      <c r="V73" s="832">
        <f t="shared" si="58"/>
        <v>29961</v>
      </c>
      <c r="W73" s="1490">
        <f>'[20]Oct midyear LA Virtual Admy'!E72</f>
        <v>-4</v>
      </c>
      <c r="X73" s="832">
        <f t="shared" si="68"/>
        <v>-11984.4</v>
      </c>
      <c r="Y73" s="1490">
        <f>'[20]Feb midyear LA Virtual Admy'!E72</f>
        <v>1</v>
      </c>
      <c r="Z73" s="832">
        <f t="shared" si="69"/>
        <v>1498.05</v>
      </c>
      <c r="AA73" s="832">
        <f t="shared" si="70"/>
        <v>-10486.35</v>
      </c>
      <c r="AB73" s="832">
        <f t="shared" si="71"/>
        <v>19474.650000000001</v>
      </c>
      <c r="AC73" s="832">
        <f t="shared" si="72"/>
        <v>-49</v>
      </c>
      <c r="AD73" s="832">
        <f t="shared" si="73"/>
        <v>19425.650000000001</v>
      </c>
      <c r="AE73" s="831">
        <f>'[23]Oct midyear adj_LA virtual'!$P74</f>
        <v>0</v>
      </c>
      <c r="AF73" s="851">
        <f t="shared" si="74"/>
        <v>19425.650000000001</v>
      </c>
      <c r="AG73" s="851">
        <f>2419+1099+809+809+809+1638+1638+1638+2139+2139</f>
        <v>15137</v>
      </c>
      <c r="AH73" s="851">
        <f t="shared" si="75"/>
        <v>4288.6500000000015</v>
      </c>
      <c r="AI73" s="851">
        <f t="shared" si="76"/>
        <v>2144</v>
      </c>
      <c r="AJ73" s="833">
        <f t="shared" si="55"/>
        <v>55759.464826927659</v>
      </c>
      <c r="AK73" s="833">
        <f t="shared" si="56"/>
        <v>6027</v>
      </c>
      <c r="AM73" s="1543">
        <v>-73</v>
      </c>
      <c r="AN73" s="1543">
        <v>24</v>
      </c>
      <c r="AP73" s="1543">
        <f t="shared" si="77"/>
        <v>0</v>
      </c>
    </row>
    <row r="74" spans="1:42" s="848" customFormat="1" ht="24" customHeight="1">
      <c r="A74" s="842"/>
      <c r="B74" s="807" t="s">
        <v>662</v>
      </c>
      <c r="C74" s="843">
        <f>SUM(C5:C73)</f>
        <v>1242</v>
      </c>
      <c r="D74" s="844"/>
      <c r="E74" s="844">
        <f t="shared" ref="E74:T74" si="78">SUM(E5:E73)</f>
        <v>4857897.1728579067</v>
      </c>
      <c r="F74" s="845"/>
      <c r="G74" s="845">
        <f t="shared" si="78"/>
        <v>788076.91607298038</v>
      </c>
      <c r="H74" s="845">
        <f t="shared" si="78"/>
        <v>5645974.0889308834</v>
      </c>
      <c r="I74" s="845">
        <f t="shared" si="78"/>
        <v>539766.35253976705</v>
      </c>
      <c r="J74" s="845">
        <f t="shared" ref="J74:M74" si="79">SUM(J5:J73)</f>
        <v>607419.04684863891</v>
      </c>
      <c r="K74" s="845">
        <f t="shared" si="79"/>
        <v>-525236.44751479453</v>
      </c>
      <c r="L74" s="845">
        <f t="shared" si="79"/>
        <v>82182.599333844468</v>
      </c>
      <c r="M74" s="845">
        <f t="shared" si="79"/>
        <v>5728156.6882647313</v>
      </c>
      <c r="N74" s="845">
        <f t="shared" si="78"/>
        <v>-14317</v>
      </c>
      <c r="O74" s="846">
        <f t="shared" si="78"/>
        <v>5713839.6882647313</v>
      </c>
      <c r="P74" s="846">
        <f t="shared" si="78"/>
        <v>-40618.220291947844</v>
      </c>
      <c r="Q74" s="847">
        <f t="shared" si="78"/>
        <v>5673221.4679727843</v>
      </c>
      <c r="R74" s="847">
        <f t="shared" si="78"/>
        <v>4996761</v>
      </c>
      <c r="S74" s="847">
        <f t="shared" si="78"/>
        <v>676460.46797278221</v>
      </c>
      <c r="T74" s="847">
        <f t="shared" si="78"/>
        <v>338232</v>
      </c>
      <c r="U74" s="808"/>
      <c r="V74" s="809">
        <f>SUM(V5:V73)</f>
        <v>4786163.9999999991</v>
      </c>
      <c r="W74" s="1353">
        <f>SUM(W5:W73)</f>
        <v>120</v>
      </c>
      <c r="X74" s="809">
        <f t="shared" ref="X74:AB74" si="80">SUM(X5:X73)</f>
        <v>462427.2</v>
      </c>
      <c r="Y74" s="1492">
        <f>SUM(Y5:Y73)</f>
        <v>-232</v>
      </c>
      <c r="Z74" s="1487">
        <f>SUM(Z5:Z73)</f>
        <v>-475990.65</v>
      </c>
      <c r="AA74" s="1487">
        <f>SUM(AA5:AA73)</f>
        <v>-13563.449999999979</v>
      </c>
      <c r="AB74" s="809">
        <f t="shared" si="80"/>
        <v>4772600.5500000007</v>
      </c>
      <c r="AC74" s="809">
        <f t="shared" ref="AC74:AK74" si="81">SUM(AC5:AC73)</f>
        <v>-11924</v>
      </c>
      <c r="AD74" s="809">
        <f t="shared" si="81"/>
        <v>4760676.5500000007</v>
      </c>
      <c r="AE74" s="809">
        <f t="shared" si="81"/>
        <v>-32909.4</v>
      </c>
      <c r="AF74" s="853">
        <f t="shared" si="81"/>
        <v>4727767.1500000004</v>
      </c>
      <c r="AG74" s="853">
        <f t="shared" si="81"/>
        <v>4121620</v>
      </c>
      <c r="AH74" s="853">
        <f t="shared" si="81"/>
        <v>606147.15000000026</v>
      </c>
      <c r="AI74" s="853">
        <f t="shared" si="81"/>
        <v>303071</v>
      </c>
      <c r="AJ74" s="809">
        <f t="shared" si="81"/>
        <v>10400988.617972782</v>
      </c>
      <c r="AK74" s="809">
        <f t="shared" si="81"/>
        <v>641303</v>
      </c>
      <c r="AM74" s="1544">
        <f>SUM(AM5:AM73)</f>
        <v>-11734</v>
      </c>
      <c r="AN74" s="1544">
        <f>SUM(AN5:AN73)</f>
        <v>-70</v>
      </c>
      <c r="AP74" s="1544">
        <f>SUM(AP5:AP73)</f>
        <v>-120</v>
      </c>
    </row>
    <row r="75" spans="1:42" s="815" customFormat="1" ht="12.75" customHeight="1">
      <c r="A75" s="817"/>
      <c r="B75" s="816"/>
      <c r="C75" s="811"/>
      <c r="D75" s="812"/>
      <c r="E75" s="812"/>
      <c r="F75" s="812"/>
      <c r="G75" s="812"/>
      <c r="H75" s="812"/>
      <c r="I75" s="812"/>
      <c r="J75" s="812"/>
      <c r="K75" s="812"/>
      <c r="L75" s="812"/>
      <c r="M75" s="812"/>
      <c r="N75" s="812"/>
      <c r="O75" s="812"/>
      <c r="P75" s="812"/>
      <c r="Q75" s="812"/>
      <c r="R75" s="812"/>
      <c r="S75" s="812"/>
      <c r="T75" s="812"/>
      <c r="U75" s="813"/>
      <c r="V75" s="813"/>
      <c r="W75" s="813"/>
      <c r="X75" s="813"/>
      <c r="Y75" s="1493"/>
      <c r="Z75" s="1488"/>
      <c r="AA75" s="1488"/>
      <c r="AB75" s="813"/>
      <c r="AC75" s="814"/>
      <c r="AD75" s="814"/>
      <c r="AE75" s="814"/>
      <c r="AF75" s="813"/>
      <c r="AG75" s="813"/>
      <c r="AH75" s="813"/>
      <c r="AI75" s="813"/>
      <c r="AJ75" s="813"/>
      <c r="AK75" s="813"/>
      <c r="AN75" s="1702"/>
    </row>
    <row r="76" spans="1:42" ht="12.75" hidden="1">
      <c r="B76" s="554"/>
      <c r="C76" s="555"/>
      <c r="D76" s="556"/>
      <c r="E76" s="555"/>
      <c r="F76" s="555"/>
      <c r="G76" s="555"/>
      <c r="H76" s="557"/>
      <c r="I76" s="557"/>
      <c r="J76" s="557"/>
      <c r="K76" s="557"/>
      <c r="L76" s="557"/>
      <c r="M76" s="557"/>
      <c r="N76" s="557"/>
      <c r="O76" s="557"/>
      <c r="P76" s="557"/>
      <c r="Q76" s="557"/>
      <c r="R76" s="557"/>
      <c r="S76" s="557"/>
      <c r="T76" s="557"/>
    </row>
    <row r="77" spans="1:42" ht="15.75" hidden="1">
      <c r="C77" s="1550"/>
      <c r="D77" s="1550"/>
      <c r="E77" s="1550"/>
      <c r="F77" s="1550"/>
      <c r="G77" s="1550"/>
      <c r="H77" s="1550"/>
      <c r="I77" s="1550"/>
      <c r="J77" s="1550"/>
      <c r="K77" s="1550"/>
      <c r="L77" s="1550"/>
      <c r="M77" s="1550"/>
      <c r="N77" s="548" t="s">
        <v>1416</v>
      </c>
      <c r="O77" s="1553">
        <f>N74</f>
        <v>-14317</v>
      </c>
      <c r="P77" s="1550"/>
      <c r="Q77" s="1550"/>
      <c r="R77" s="1550"/>
      <c r="S77" s="1550"/>
      <c r="T77" s="1550"/>
    </row>
    <row r="78" spans="1:42" ht="15.75" hidden="1">
      <c r="C78" s="1550"/>
      <c r="D78" s="1550"/>
      <c r="E78" s="1550"/>
      <c r="F78" s="1550"/>
      <c r="G78" s="1550"/>
      <c r="H78" s="1550"/>
      <c r="I78" s="1550"/>
      <c r="J78" s="1550"/>
      <c r="K78" s="1550"/>
      <c r="L78" s="1550"/>
      <c r="M78" s="1550"/>
      <c r="N78" s="1553" t="s">
        <v>1274</v>
      </c>
      <c r="O78" s="1553">
        <f>-'[22]Table 5C2 - LA Virtual Admy'!$O$77</f>
        <v>14292</v>
      </c>
      <c r="P78" s="1550"/>
      <c r="Q78" s="1550"/>
      <c r="R78" s="1550"/>
      <c r="S78" s="1550"/>
      <c r="T78" s="1550"/>
    </row>
    <row r="79" spans="1:42" s="762" customFormat="1" ht="15.75" hidden="1">
      <c r="C79" s="760"/>
      <c r="D79" s="761"/>
      <c r="E79" s="761"/>
      <c r="F79" s="761"/>
      <c r="G79" s="761"/>
      <c r="H79" s="761"/>
      <c r="I79" s="761"/>
      <c r="J79" s="761"/>
      <c r="K79" s="761"/>
      <c r="L79" s="761"/>
      <c r="M79" s="761"/>
      <c r="N79" s="1556" t="s">
        <v>1275</v>
      </c>
      <c r="O79" s="1552">
        <f>-'[21]Table 5C2 - LA Virtual Admy'!$J$73</f>
        <v>14088</v>
      </c>
    </row>
    <row r="80" spans="1:42" s="762" customFormat="1" ht="20.25" hidden="1">
      <c r="C80" s="1551"/>
      <c r="D80" s="1551"/>
      <c r="E80" s="1551"/>
      <c r="F80" s="1551"/>
      <c r="G80" s="1551"/>
      <c r="H80" s="1551"/>
      <c r="I80" s="1551"/>
      <c r="J80" s="1551"/>
      <c r="K80" s="1551"/>
      <c r="L80" s="1551"/>
      <c r="M80" s="1551"/>
      <c r="N80" s="1554" t="s">
        <v>1276</v>
      </c>
      <c r="O80" s="1555">
        <f>SUM(O77:O78)</f>
        <v>-25</v>
      </c>
      <c r="P80" s="1551"/>
      <c r="Q80" s="1551"/>
      <c r="R80" s="1551"/>
      <c r="S80" s="1551"/>
      <c r="T80" s="1551"/>
    </row>
    <row r="81" spans="2:9" ht="18">
      <c r="C81" s="558"/>
      <c r="I81" s="1699"/>
    </row>
    <row r="82" spans="2:9" ht="12.75">
      <c r="B82" s="559"/>
    </row>
    <row r="83" spans="2:9" ht="12.75"/>
    <row r="84" spans="2:9" ht="12.75"/>
  </sheetData>
  <mergeCells count="42">
    <mergeCell ref="I2:I3"/>
    <mergeCell ref="J2:J3"/>
    <mergeCell ref="K2:K3"/>
    <mergeCell ref="L2:L3"/>
    <mergeCell ref="M2:M3"/>
    <mergeCell ref="X2:X3"/>
    <mergeCell ref="AB2:AB3"/>
    <mergeCell ref="R2:R3"/>
    <mergeCell ref="S2:S3"/>
    <mergeCell ref="W2:W3"/>
    <mergeCell ref="A2:A3"/>
    <mergeCell ref="D2:D3"/>
    <mergeCell ref="AI2:AI3"/>
    <mergeCell ref="AG2:AG3"/>
    <mergeCell ref="AH2:AH3"/>
    <mergeCell ref="B2:B3"/>
    <mergeCell ref="C2:C3"/>
    <mergeCell ref="E2:E3"/>
    <mergeCell ref="F2:F3"/>
    <mergeCell ref="G2:G3"/>
    <mergeCell ref="H2:H3"/>
    <mergeCell ref="N2:N3"/>
    <mergeCell ref="O2:O3"/>
    <mergeCell ref="U2:U3"/>
    <mergeCell ref="V2:V3"/>
    <mergeCell ref="P2:P3"/>
    <mergeCell ref="AN2:AN3"/>
    <mergeCell ref="AM2:AM3"/>
    <mergeCell ref="AP2:AP3"/>
    <mergeCell ref="J1:L1"/>
    <mergeCell ref="Y2:Y3"/>
    <mergeCell ref="Z2:Z3"/>
    <mergeCell ref="AA2:AA3"/>
    <mergeCell ref="W1:AA1"/>
    <mergeCell ref="AJ2:AJ3"/>
    <mergeCell ref="AK2:AK3"/>
    <mergeCell ref="AC2:AC3"/>
    <mergeCell ref="AD2:AD3"/>
    <mergeCell ref="AE2:AE3"/>
    <mergeCell ref="Q2:Q3"/>
    <mergeCell ref="T2:T3"/>
    <mergeCell ref="AF2:AF3"/>
  </mergeCells>
  <printOptions horizontalCentered="1"/>
  <pageMargins left="0.2" right="0.32" top="0.86" bottom="0.25" header="0.24" footer="0.25"/>
  <pageSetup paperSize="5" scale="56" firstPageNumber="66" orientation="portrait" useFirstPageNumber="1" r:id="rId1"/>
  <headerFooter alignWithMargins="0">
    <oddHeader>&amp;L&amp;"Arial,Bold"&amp;20Table 5C-2: FY2012-13 Budget Letter 
Type 2 Charter School Allocation (Louisiana Virtual Charter Academy) (May 2013)</oddHeader>
    <oddFooter>&amp;R&amp;P</oddFooter>
  </headerFooter>
  <colBreaks count="5" manualBreakCount="5">
    <brk id="9" max="74" man="1"/>
    <brk id="15" max="74" man="1"/>
    <brk id="20" max="74" man="1"/>
    <brk id="28" max="74" man="1"/>
    <brk id="35" max="7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6"/>
  <sheetViews>
    <sheetView view="pageBreakPreview" zoomScale="70" zoomScaleNormal="85" zoomScaleSheetLayoutView="70" workbookViewId="0">
      <pane xSplit="2" ySplit="4" topLeftCell="C5" activePane="bottomRight" state="frozen"/>
      <selection activeCell="A2" sqref="A2:B4"/>
      <selection pane="topRight" activeCell="A2" sqref="A2:B4"/>
      <selection pane="bottomLeft" activeCell="A2" sqref="A2:B4"/>
      <selection pane="bottomRight" activeCell="A74" sqref="A74:XFD74"/>
    </sheetView>
  </sheetViews>
  <sheetFormatPr defaultRowHeight="60.75" customHeight="1"/>
  <cols>
    <col min="1" max="1" width="3.42578125" style="548" bestFit="1" customWidth="1"/>
    <col min="2" max="2" width="33.28515625" style="548" customWidth="1"/>
    <col min="3" max="3" width="13.5703125" style="548" customWidth="1"/>
    <col min="4" max="4" width="13.42578125" style="548" customWidth="1"/>
    <col min="5" max="5" width="16.140625" style="557" customWidth="1"/>
    <col min="6" max="6" width="16.28515625" style="557" customWidth="1"/>
    <col min="7" max="7" width="15.5703125" style="557" customWidth="1"/>
    <col min="8" max="10" width="18.42578125" style="548" customWidth="1"/>
    <col min="11" max="11" width="17.7109375" style="548" bestFit="1" customWidth="1"/>
    <col min="12" max="12" width="15.5703125" style="548" bestFit="1" customWidth="1"/>
    <col min="13" max="13" width="27" style="548" bestFit="1" customWidth="1"/>
    <col min="14" max="14" width="13" style="548" bestFit="1" customWidth="1"/>
    <col min="15" max="15" width="16.28515625" style="548" bestFit="1" customWidth="1"/>
    <col min="16" max="16" width="14.42578125" style="548" bestFit="1" customWidth="1"/>
    <col min="17" max="17" width="17.5703125" style="548" bestFit="1" customWidth="1"/>
    <col min="18" max="19" width="17.5703125" style="548" customWidth="1"/>
    <col min="20" max="20" width="15.28515625" style="548" bestFit="1" customWidth="1"/>
    <col min="21" max="21" width="11.7109375" style="548" customWidth="1"/>
    <col min="22" max="28" width="17.85546875" style="548" customWidth="1"/>
    <col min="29" max="29" width="12.7109375" style="548" bestFit="1" customWidth="1"/>
    <col min="30" max="30" width="15.7109375" style="548" customWidth="1"/>
    <col min="31" max="31" width="14.28515625" style="548" customWidth="1"/>
    <col min="32" max="34" width="15.5703125" style="548" customWidth="1"/>
    <col min="35" max="35" width="13" style="548" customWidth="1"/>
    <col min="36" max="36" width="17.140625" style="548" bestFit="1" customWidth="1"/>
    <col min="37" max="37" width="15.5703125" style="548" bestFit="1" customWidth="1"/>
    <col min="38" max="38" width="3.85546875" style="548" customWidth="1"/>
    <col min="39" max="40" width="11" style="548" hidden="1" customWidth="1"/>
    <col min="41" max="41" width="3.5703125" style="548" hidden="1" customWidth="1"/>
    <col min="42" max="42" width="12.42578125" style="548" hidden="1" customWidth="1"/>
    <col min="43" max="16384" width="9.140625" style="548"/>
  </cols>
  <sheetData>
    <row r="1" spans="1:42" ht="46.5" customHeight="1">
      <c r="J1" s="2056" t="s">
        <v>1188</v>
      </c>
      <c r="K1" s="2057"/>
      <c r="L1" s="2058"/>
      <c r="W1" s="2059" t="s">
        <v>1188</v>
      </c>
      <c r="X1" s="2060"/>
      <c r="Y1" s="2060"/>
      <c r="Z1" s="2060"/>
      <c r="AA1" s="2061"/>
    </row>
    <row r="2" spans="1:42" ht="93.75" customHeight="1">
      <c r="A2" s="2072" t="s">
        <v>595</v>
      </c>
      <c r="B2" s="2072" t="s">
        <v>1006</v>
      </c>
      <c r="C2" s="2075" t="s">
        <v>987</v>
      </c>
      <c r="D2" s="1811" t="s">
        <v>660</v>
      </c>
      <c r="E2" s="2067" t="s">
        <v>1116</v>
      </c>
      <c r="F2" s="2076" t="s">
        <v>999</v>
      </c>
      <c r="G2" s="1988" t="s">
        <v>661</v>
      </c>
      <c r="H2" s="2067" t="s">
        <v>1129</v>
      </c>
      <c r="I2" s="2068" t="s">
        <v>1075</v>
      </c>
      <c r="J2" s="2027" t="s">
        <v>1190</v>
      </c>
      <c r="K2" s="2027" t="s">
        <v>1206</v>
      </c>
      <c r="L2" s="2027" t="s">
        <v>1207</v>
      </c>
      <c r="M2" s="1911" t="s">
        <v>1270</v>
      </c>
      <c r="N2" s="1860" t="s">
        <v>591</v>
      </c>
      <c r="O2" s="2067" t="s">
        <v>1130</v>
      </c>
      <c r="P2" s="2077" t="s">
        <v>990</v>
      </c>
      <c r="Q2" s="2067" t="s">
        <v>592</v>
      </c>
      <c r="R2" s="2079" t="s">
        <v>1329</v>
      </c>
      <c r="S2" s="2079" t="s">
        <v>1403</v>
      </c>
      <c r="T2" s="2068" t="s">
        <v>1134</v>
      </c>
      <c r="U2" s="1895" t="s">
        <v>1268</v>
      </c>
      <c r="V2" s="1895" t="s">
        <v>1113</v>
      </c>
      <c r="W2" s="2030" t="s">
        <v>1218</v>
      </c>
      <c r="X2" s="2030" t="s">
        <v>1196</v>
      </c>
      <c r="Y2" s="2030" t="s">
        <v>1219</v>
      </c>
      <c r="Z2" s="2030" t="s">
        <v>1220</v>
      </c>
      <c r="AA2" s="2030" t="s">
        <v>1194</v>
      </c>
      <c r="AB2" s="1917" t="s">
        <v>1269</v>
      </c>
      <c r="AC2" s="2062" t="s">
        <v>594</v>
      </c>
      <c r="AD2" s="2070" t="s">
        <v>1131</v>
      </c>
      <c r="AE2" s="2077" t="s">
        <v>990</v>
      </c>
      <c r="AF2" s="2063" t="s">
        <v>1109</v>
      </c>
      <c r="AG2" s="2063" t="s">
        <v>1330</v>
      </c>
      <c r="AH2" s="2063" t="s">
        <v>1403</v>
      </c>
      <c r="AI2" s="2074" t="s">
        <v>1128</v>
      </c>
      <c r="AJ2" s="1976" t="s">
        <v>1132</v>
      </c>
      <c r="AK2" s="1976" t="s">
        <v>1133</v>
      </c>
      <c r="AM2" s="2054" t="s">
        <v>1262</v>
      </c>
      <c r="AN2" s="2054" t="s">
        <v>1263</v>
      </c>
      <c r="AP2" s="2054" t="s">
        <v>1417</v>
      </c>
    </row>
    <row r="3" spans="1:42" ht="72.75" customHeight="1">
      <c r="A3" s="2073"/>
      <c r="B3" s="2073"/>
      <c r="C3" s="2075"/>
      <c r="D3" s="1797"/>
      <c r="E3" s="2067"/>
      <c r="F3" s="2076"/>
      <c r="G3" s="1945"/>
      <c r="H3" s="2067"/>
      <c r="I3" s="2069"/>
      <c r="J3" s="1827"/>
      <c r="K3" s="1827"/>
      <c r="L3" s="1827"/>
      <c r="M3" s="1912"/>
      <c r="N3" s="1797"/>
      <c r="O3" s="2067"/>
      <c r="P3" s="2078"/>
      <c r="Q3" s="2067"/>
      <c r="R3" s="2069"/>
      <c r="S3" s="2069"/>
      <c r="T3" s="2069"/>
      <c r="U3" s="1891"/>
      <c r="V3" s="1891"/>
      <c r="W3" s="2031"/>
      <c r="X3" s="2031"/>
      <c r="Y3" s="2031"/>
      <c r="Z3" s="2031"/>
      <c r="AA3" s="2031"/>
      <c r="AB3" s="1918"/>
      <c r="AC3" s="1891"/>
      <c r="AD3" s="2071"/>
      <c r="AE3" s="2078"/>
      <c r="AF3" s="2064"/>
      <c r="AG3" s="2064"/>
      <c r="AH3" s="2064"/>
      <c r="AI3" s="2071"/>
      <c r="AJ3" s="1977"/>
      <c r="AK3" s="1977"/>
      <c r="AM3" s="2054"/>
      <c r="AN3" s="2055"/>
      <c r="AP3" s="2055"/>
    </row>
    <row r="4" spans="1:42" s="552" customFormat="1" ht="16.5" customHeight="1">
      <c r="A4" s="549"/>
      <c r="B4" s="549"/>
      <c r="C4" s="550">
        <v>1</v>
      </c>
      <c r="D4" s="551">
        <f>C4+1</f>
        <v>2</v>
      </c>
      <c r="E4" s="551">
        <f>D4+1</f>
        <v>3</v>
      </c>
      <c r="F4" s="551">
        <f>E4+1</f>
        <v>4</v>
      </c>
      <c r="G4" s="551">
        <f>F4+1</f>
        <v>5</v>
      </c>
      <c r="H4" s="551">
        <f t="shared" ref="H4" si="0">G4+1</f>
        <v>6</v>
      </c>
      <c r="I4" s="551">
        <f t="shared" ref="I4" si="1">H4+1</f>
        <v>7</v>
      </c>
      <c r="J4" s="551">
        <f t="shared" ref="J4" si="2">I4+1</f>
        <v>8</v>
      </c>
      <c r="K4" s="551">
        <f t="shared" ref="K4" si="3">J4+1</f>
        <v>9</v>
      </c>
      <c r="L4" s="551">
        <f t="shared" ref="L4" si="4">K4+1</f>
        <v>10</v>
      </c>
      <c r="M4" s="551">
        <f t="shared" ref="M4" si="5">L4+1</f>
        <v>11</v>
      </c>
      <c r="N4" s="551">
        <f t="shared" ref="N4" si="6">M4+1</f>
        <v>12</v>
      </c>
      <c r="O4" s="551">
        <f t="shared" ref="O4" si="7">N4+1</f>
        <v>13</v>
      </c>
      <c r="P4" s="551">
        <f t="shared" ref="P4" si="8">O4+1</f>
        <v>14</v>
      </c>
      <c r="Q4" s="551">
        <f t="shared" ref="Q4" si="9">P4+1</f>
        <v>15</v>
      </c>
      <c r="R4" s="551">
        <f t="shared" ref="R4" si="10">Q4+1</f>
        <v>16</v>
      </c>
      <c r="S4" s="551">
        <f t="shared" ref="S4" si="11">R4+1</f>
        <v>17</v>
      </c>
      <c r="T4" s="551">
        <f t="shared" ref="T4" si="12">S4+1</f>
        <v>18</v>
      </c>
      <c r="U4" s="551">
        <f t="shared" ref="U4" si="13">T4+1</f>
        <v>19</v>
      </c>
      <c r="V4" s="551">
        <f t="shared" ref="V4" si="14">U4+1</f>
        <v>20</v>
      </c>
      <c r="W4" s="551">
        <f t="shared" ref="W4" si="15">V4+1</f>
        <v>21</v>
      </c>
      <c r="X4" s="551">
        <f t="shared" ref="X4" si="16">W4+1</f>
        <v>22</v>
      </c>
      <c r="Y4" s="551">
        <f t="shared" ref="Y4" si="17">X4+1</f>
        <v>23</v>
      </c>
      <c r="Z4" s="551">
        <f t="shared" ref="Z4" si="18">Y4+1</f>
        <v>24</v>
      </c>
      <c r="AA4" s="551">
        <f t="shared" ref="AA4" si="19">Z4+1</f>
        <v>25</v>
      </c>
      <c r="AB4" s="551">
        <f t="shared" ref="AB4" si="20">AA4+1</f>
        <v>26</v>
      </c>
      <c r="AC4" s="551">
        <f t="shared" ref="AC4" si="21">AB4+1</f>
        <v>27</v>
      </c>
      <c r="AD4" s="551">
        <f t="shared" ref="AD4" si="22">AC4+1</f>
        <v>28</v>
      </c>
      <c r="AE4" s="551">
        <f t="shared" ref="AE4" si="23">AD4+1</f>
        <v>29</v>
      </c>
      <c r="AF4" s="551">
        <f t="shared" ref="AF4" si="24">AE4+1</f>
        <v>30</v>
      </c>
      <c r="AG4" s="551">
        <f t="shared" ref="AG4" si="25">AF4+1</f>
        <v>31</v>
      </c>
      <c r="AH4" s="551">
        <f t="shared" ref="AH4" si="26">AG4+1</f>
        <v>32</v>
      </c>
      <c r="AI4" s="551">
        <f t="shared" ref="AI4" si="27">AH4+1</f>
        <v>33</v>
      </c>
      <c r="AJ4" s="551">
        <f t="shared" ref="AJ4" si="28">AI4+1</f>
        <v>34</v>
      </c>
      <c r="AK4" s="551">
        <f t="shared" ref="AK4" si="29">AJ4+1</f>
        <v>35</v>
      </c>
    </row>
    <row r="5" spans="1:42" s="553" customFormat="1" ht="16.5" customHeight="1">
      <c r="A5" s="103">
        <v>1</v>
      </c>
      <c r="B5" s="805" t="s">
        <v>102</v>
      </c>
      <c r="C5" s="818">
        <f>'Table 8 2.1.12 MFP Funded'!W4</f>
        <v>10</v>
      </c>
      <c r="D5" s="819">
        <f>'Table 3 Levels 1&amp;2'!AL8*90%</f>
        <v>4174.127736063685</v>
      </c>
      <c r="E5" s="819">
        <f>C5*D5</f>
        <v>41741.27736063685</v>
      </c>
      <c r="F5" s="820">
        <f>'Table 4 Level 3'!P6*90%</f>
        <v>699.73200000000008</v>
      </c>
      <c r="G5" s="820">
        <f>F5*C5</f>
        <v>6997.3200000000006</v>
      </c>
      <c r="H5" s="820">
        <f>E5+G5</f>
        <v>48738.59736063685</v>
      </c>
      <c r="I5" s="820">
        <f>(('Table 3 Levels 1&amp;2'!AL8-D5)*C5)</f>
        <v>4637.9197067374298</v>
      </c>
      <c r="J5" s="820">
        <f>'[1]Oct midyear LA Connections'!K4</f>
        <v>116972.63366552844</v>
      </c>
      <c r="K5" s="820">
        <f>'[1]Feb midyear LA Connections'!K4</f>
        <v>-38990.87788850948</v>
      </c>
      <c r="L5" s="820">
        <f>J5+K5</f>
        <v>77981.75577701896</v>
      </c>
      <c r="M5" s="820">
        <f t="shared" ref="M5:M36" si="30">H5+L5</f>
        <v>126720.35313765581</v>
      </c>
      <c r="N5" s="820">
        <f>ROUND(-0.25%*M5,0)</f>
        <v>-317</v>
      </c>
      <c r="O5" s="821">
        <f t="shared" ref="O5:O36" si="31">M5+N5</f>
        <v>126403.35313765581</v>
      </c>
      <c r="P5" s="821">
        <v>0</v>
      </c>
      <c r="Q5" s="822">
        <f>SUM(O5:P5)</f>
        <v>126403.35313765581</v>
      </c>
      <c r="R5" s="822">
        <f>4039*8+23429+23429</f>
        <v>79170</v>
      </c>
      <c r="S5" s="822">
        <f>Q5-R5</f>
        <v>47233.353137655809</v>
      </c>
      <c r="T5" s="822">
        <f>ROUND(S5/2,0)</f>
        <v>23617</v>
      </c>
      <c r="U5" s="824">
        <f>'[14]FY2012-13 Final'!K8*90%</f>
        <v>1903.5</v>
      </c>
      <c r="V5" s="824">
        <f t="shared" ref="V5:V36" si="32">U5*C5</f>
        <v>19035</v>
      </c>
      <c r="W5" s="1489">
        <f>'[20]Oct midyear LA Connections'!E4</f>
        <v>24</v>
      </c>
      <c r="X5" s="824">
        <f>W5*U5</f>
        <v>45684</v>
      </c>
      <c r="Y5" s="1489">
        <f>'[20]Feb midyear LA Connections'!E4</f>
        <v>-16</v>
      </c>
      <c r="Z5" s="824">
        <f>Y5*(U5*0.5)</f>
        <v>-15228</v>
      </c>
      <c r="AA5" s="824">
        <f>X5+Z5</f>
        <v>30456</v>
      </c>
      <c r="AB5" s="824">
        <f>V5+AA5</f>
        <v>49491</v>
      </c>
      <c r="AC5" s="824">
        <f>ROUND(AB5*-0.25%,0)</f>
        <v>-124</v>
      </c>
      <c r="AD5" s="824">
        <f>SUM(AB5:AC5)</f>
        <v>49367</v>
      </c>
      <c r="AE5" s="823">
        <v>0</v>
      </c>
      <c r="AF5" s="850">
        <f>SUM(AD5:AE5)</f>
        <v>49367</v>
      </c>
      <c r="AG5" s="850">
        <f>1567*8+9190+9190</f>
        <v>30916</v>
      </c>
      <c r="AH5" s="850">
        <f>AF5-AG5</f>
        <v>18451</v>
      </c>
      <c r="AI5" s="850">
        <f>ROUND(AH5/2,0)</f>
        <v>9226</v>
      </c>
      <c r="AJ5" s="825">
        <f>AF5+Q5</f>
        <v>175770.35313765582</v>
      </c>
      <c r="AK5" s="825">
        <f>T5+AI5</f>
        <v>32843</v>
      </c>
      <c r="AM5" s="1543">
        <v>-47</v>
      </c>
      <c r="AN5" s="1543">
        <v>-77</v>
      </c>
      <c r="AP5" s="1543">
        <f>AC5-AM5-AN5</f>
        <v>0</v>
      </c>
    </row>
    <row r="6" spans="1:42" s="553" customFormat="1" ht="16.5" customHeight="1">
      <c r="A6" s="103">
        <v>2</v>
      </c>
      <c r="B6" s="805" t="s">
        <v>103</v>
      </c>
      <c r="C6" s="826">
        <f>'Table 8 2.1.12 MFP Funded'!W5</f>
        <v>2</v>
      </c>
      <c r="D6" s="827">
        <f>'Table 3 Levels 1&amp;2'!AL9*90%</f>
        <v>5534.5913337839593</v>
      </c>
      <c r="E6" s="827">
        <f t="shared" ref="E6:E69" si="33">C6*D6</f>
        <v>11069.182667567919</v>
      </c>
      <c r="F6" s="828">
        <f>'Table 4 Level 3'!P7*90%</f>
        <v>758.08800000000008</v>
      </c>
      <c r="G6" s="828">
        <f t="shared" ref="G6:G69" si="34">F6*C6</f>
        <v>1516.1760000000002</v>
      </c>
      <c r="H6" s="828">
        <f t="shared" ref="H6:H69" si="35">E6+G6</f>
        <v>12585.358667567918</v>
      </c>
      <c r="I6" s="828">
        <f>(('Table 3 Levels 1&amp;2'!AL9-D6)*C6)</f>
        <v>1229.9091852853235</v>
      </c>
      <c r="J6" s="828">
        <f>'[1]Oct midyear LA Connections'!K5</f>
        <v>31463.396668919795</v>
      </c>
      <c r="K6" s="828">
        <f>'[1]Feb midyear LA Connections'!K5</f>
        <v>-15731.698334459898</v>
      </c>
      <c r="L6" s="828">
        <f t="shared" ref="L6:L69" si="36">J6+K6</f>
        <v>15731.698334459898</v>
      </c>
      <c r="M6" s="828">
        <f t="shared" si="30"/>
        <v>28317.057002027817</v>
      </c>
      <c r="N6" s="828">
        <f t="shared" ref="N6:N69" si="37">ROUND(-0.25%*M6,0)</f>
        <v>-71</v>
      </c>
      <c r="O6" s="829">
        <f t="shared" si="31"/>
        <v>28246.057002027817</v>
      </c>
      <c r="P6" s="829">
        <v>0</v>
      </c>
      <c r="Q6" s="830">
        <f t="shared" ref="Q6:Q69" si="38">SUM(O6:P6)</f>
        <v>28246.057002027817</v>
      </c>
      <c r="R6" s="830">
        <f>1044+1043+1044+1044+1044+1044+1044+1044+4956+4956</f>
        <v>18263</v>
      </c>
      <c r="S6" s="830">
        <f t="shared" ref="S6:S69" si="39">Q6-R6</f>
        <v>9983.0570020278174</v>
      </c>
      <c r="T6" s="830">
        <f t="shared" ref="T6:T69" si="40">ROUND(S6/2,0)</f>
        <v>4992</v>
      </c>
      <c r="U6" s="832">
        <f>'[14]FY2012-13 Final'!K9*90%</f>
        <v>2325.6</v>
      </c>
      <c r="V6" s="832">
        <f t="shared" si="32"/>
        <v>4651.2</v>
      </c>
      <c r="W6" s="1490">
        <f>'[20]Oct midyear LA Connections'!E5</f>
        <v>5</v>
      </c>
      <c r="X6" s="832">
        <f t="shared" ref="X6:X69" si="41">W6*U6</f>
        <v>11628</v>
      </c>
      <c r="Y6" s="1490">
        <f>'[20]Feb midyear LA Connections'!E5</f>
        <v>-5</v>
      </c>
      <c r="Z6" s="832">
        <f t="shared" ref="Z6:Z69" si="42">Y6*(U6*0.5)</f>
        <v>-5814</v>
      </c>
      <c r="AA6" s="832">
        <f t="shared" ref="AA6:AA69" si="43">X6+Z6</f>
        <v>5814</v>
      </c>
      <c r="AB6" s="832">
        <f t="shared" ref="AB6:AB69" si="44">V6+AA6</f>
        <v>10465.200000000001</v>
      </c>
      <c r="AC6" s="832">
        <f t="shared" ref="AC6:AC69" si="45">ROUND(AB6*-0.25%,0)</f>
        <v>-26</v>
      </c>
      <c r="AD6" s="832">
        <f t="shared" ref="AD6:AD69" si="46">SUM(AB6:AC6)</f>
        <v>10439.200000000001</v>
      </c>
      <c r="AE6" s="831">
        <v>0</v>
      </c>
      <c r="AF6" s="851">
        <f t="shared" ref="AF6:AF69" si="47">SUM(AD6:AE6)</f>
        <v>10439.200000000001</v>
      </c>
      <c r="AG6" s="851">
        <f>382*8+1846+1846</f>
        <v>6748</v>
      </c>
      <c r="AH6" s="851">
        <f t="shared" ref="AH6:AH69" si="48">AF6-AG6</f>
        <v>3691.2000000000007</v>
      </c>
      <c r="AI6" s="851">
        <f t="shared" ref="AI6:AI69" si="49">ROUND(AH6/2,0)</f>
        <v>1846</v>
      </c>
      <c r="AJ6" s="833">
        <f t="shared" ref="AJ6:AJ69" si="50">AF6+Q6</f>
        <v>38685.257002027822</v>
      </c>
      <c r="AK6" s="833">
        <f t="shared" ref="AK6:AK69" si="51">T6+AI6</f>
        <v>6838</v>
      </c>
      <c r="AM6" s="1543">
        <v>-11</v>
      </c>
      <c r="AN6" s="1543">
        <v>-15</v>
      </c>
      <c r="AP6" s="1543">
        <f t="shared" ref="AP6:AP69" si="52">AC6-AM6-AN6</f>
        <v>0</v>
      </c>
    </row>
    <row r="7" spans="1:42" s="553" customFormat="1" ht="16.5" customHeight="1">
      <c r="A7" s="103">
        <v>3</v>
      </c>
      <c r="B7" s="805" t="s">
        <v>104</v>
      </c>
      <c r="C7" s="826">
        <f>'Table 8 2.1.12 MFP Funded'!W6</f>
        <v>11</v>
      </c>
      <c r="D7" s="827">
        <f>'Table 3 Levels 1&amp;2'!AL10*90%</f>
        <v>3906.8460970882102</v>
      </c>
      <c r="E7" s="827">
        <f t="shared" si="33"/>
        <v>42975.307067970309</v>
      </c>
      <c r="F7" s="828">
        <f>'Table 4 Level 3'!P8*90%</f>
        <v>537.15600000000006</v>
      </c>
      <c r="G7" s="828">
        <f t="shared" si="34"/>
        <v>5908.7160000000003</v>
      </c>
      <c r="H7" s="828">
        <f t="shared" si="35"/>
        <v>48884.023067970309</v>
      </c>
      <c r="I7" s="828">
        <f>(('Table 3 Levels 1&amp;2'!AL10-D7)*C7)</f>
        <v>4775.0341186633686</v>
      </c>
      <c r="J7" s="828">
        <f>'[1]Oct midyear LA Connections'!K6</f>
        <v>66660.031456323166</v>
      </c>
      <c r="K7" s="828">
        <f>'[1]Feb midyear LA Connections'!K6</f>
        <v>2222.0010485441053</v>
      </c>
      <c r="L7" s="828">
        <f t="shared" si="36"/>
        <v>68882.032504867268</v>
      </c>
      <c r="M7" s="828">
        <f t="shared" si="30"/>
        <v>117766.05557283758</v>
      </c>
      <c r="N7" s="828">
        <f t="shared" si="37"/>
        <v>-294</v>
      </c>
      <c r="O7" s="829">
        <f t="shared" si="31"/>
        <v>117472.05557283758</v>
      </c>
      <c r="P7" s="829">
        <v>0</v>
      </c>
      <c r="Q7" s="830">
        <f t="shared" si="38"/>
        <v>117472.05557283758</v>
      </c>
      <c r="R7" s="830">
        <f>4052*8+21178+21178</f>
        <v>74772</v>
      </c>
      <c r="S7" s="830">
        <f t="shared" si="39"/>
        <v>42700.055572837577</v>
      </c>
      <c r="T7" s="830">
        <f t="shared" si="40"/>
        <v>21350</v>
      </c>
      <c r="U7" s="832">
        <f>'[14]FY2012-13 Final'!K10*90%</f>
        <v>4479.3</v>
      </c>
      <c r="V7" s="832">
        <f t="shared" si="32"/>
        <v>49272.3</v>
      </c>
      <c r="W7" s="1490">
        <f>'[20]Oct midyear LA Connections'!E6</f>
        <v>15</v>
      </c>
      <c r="X7" s="832">
        <f t="shared" si="41"/>
        <v>67189.5</v>
      </c>
      <c r="Y7" s="1490">
        <f>'[20]Feb midyear LA Connections'!E6</f>
        <v>1</v>
      </c>
      <c r="Z7" s="832">
        <f t="shared" si="42"/>
        <v>2239.65</v>
      </c>
      <c r="AA7" s="832">
        <f t="shared" si="43"/>
        <v>69429.149999999994</v>
      </c>
      <c r="AB7" s="832">
        <f t="shared" si="44"/>
        <v>118701.45</v>
      </c>
      <c r="AC7" s="832">
        <f t="shared" si="45"/>
        <v>-297</v>
      </c>
      <c r="AD7" s="832">
        <f t="shared" si="46"/>
        <v>118404.45</v>
      </c>
      <c r="AE7" s="831">
        <v>0</v>
      </c>
      <c r="AF7" s="851">
        <f t="shared" si="47"/>
        <v>118404.45</v>
      </c>
      <c r="AG7" s="851">
        <f>4111*8+21314+21314</f>
        <v>75516</v>
      </c>
      <c r="AH7" s="851">
        <f t="shared" si="48"/>
        <v>42888.45</v>
      </c>
      <c r="AI7" s="851">
        <f t="shared" si="49"/>
        <v>21444</v>
      </c>
      <c r="AJ7" s="833">
        <f t="shared" si="50"/>
        <v>235876.50557283757</v>
      </c>
      <c r="AK7" s="833">
        <f t="shared" si="51"/>
        <v>42794</v>
      </c>
      <c r="AM7" s="1543">
        <v>-124</v>
      </c>
      <c r="AN7" s="1543">
        <v>-172</v>
      </c>
      <c r="AP7" s="1543">
        <f t="shared" si="52"/>
        <v>-1</v>
      </c>
    </row>
    <row r="8" spans="1:42" s="553" customFormat="1" ht="16.5" customHeight="1">
      <c r="A8" s="103">
        <v>4</v>
      </c>
      <c r="B8" s="805" t="s">
        <v>105</v>
      </c>
      <c r="C8" s="826">
        <f>'Table 8 2.1.12 MFP Funded'!W7</f>
        <v>5</v>
      </c>
      <c r="D8" s="827">
        <f>'Table 3 Levels 1&amp;2'!AL11*90%</f>
        <v>5469.6337648363824</v>
      </c>
      <c r="E8" s="827">
        <f t="shared" si="33"/>
        <v>27348.168824181914</v>
      </c>
      <c r="F8" s="828">
        <f>'Table 4 Level 3'!P9*90%</f>
        <v>527.18399999999997</v>
      </c>
      <c r="G8" s="828">
        <f t="shared" si="34"/>
        <v>2635.92</v>
      </c>
      <c r="H8" s="828">
        <f t="shared" si="35"/>
        <v>29984.088824181912</v>
      </c>
      <c r="I8" s="828">
        <f>(('Table 3 Levels 1&amp;2'!AL11-D8)*C8)</f>
        <v>3038.6854249090993</v>
      </c>
      <c r="J8" s="828">
        <f>'[1]Oct midyear LA Connections'!K7</f>
        <v>29984.088824181912</v>
      </c>
      <c r="K8" s="828">
        <f>'[1]Feb midyear LA Connections'!K7</f>
        <v>-20988.862176927338</v>
      </c>
      <c r="L8" s="828">
        <f t="shared" si="36"/>
        <v>8995.2266472545743</v>
      </c>
      <c r="M8" s="828">
        <f t="shared" si="30"/>
        <v>38979.315471436486</v>
      </c>
      <c r="N8" s="828">
        <f t="shared" si="37"/>
        <v>-97</v>
      </c>
      <c r="O8" s="829">
        <f t="shared" si="31"/>
        <v>38882.315471436486</v>
      </c>
      <c r="P8" s="829">
        <v>0</v>
      </c>
      <c r="Q8" s="830">
        <f t="shared" si="38"/>
        <v>38882.315471436486</v>
      </c>
      <c r="R8" s="830">
        <f>2488*8+4728+4728</f>
        <v>29360</v>
      </c>
      <c r="S8" s="830">
        <f t="shared" si="39"/>
        <v>9522.3154714364864</v>
      </c>
      <c r="T8" s="830">
        <f t="shared" si="40"/>
        <v>4761</v>
      </c>
      <c r="U8" s="832">
        <f>'[14]FY2012-13 Final'!K11*90%</f>
        <v>3109.5</v>
      </c>
      <c r="V8" s="832">
        <f t="shared" si="32"/>
        <v>15547.5</v>
      </c>
      <c r="W8" s="1490">
        <f>'[20]Oct midyear LA Connections'!E7</f>
        <v>5</v>
      </c>
      <c r="X8" s="832">
        <f t="shared" si="41"/>
        <v>15547.5</v>
      </c>
      <c r="Y8" s="1490">
        <f>'[20]Feb midyear LA Connections'!E7</f>
        <v>-7</v>
      </c>
      <c r="Z8" s="832">
        <f t="shared" si="42"/>
        <v>-10883.25</v>
      </c>
      <c r="AA8" s="832">
        <f t="shared" si="43"/>
        <v>4664.25</v>
      </c>
      <c r="AB8" s="832">
        <f t="shared" si="44"/>
        <v>20211.75</v>
      </c>
      <c r="AC8" s="832">
        <f t="shared" si="45"/>
        <v>-51</v>
      </c>
      <c r="AD8" s="832">
        <f t="shared" si="46"/>
        <v>20160.75</v>
      </c>
      <c r="AE8" s="831">
        <v>0</v>
      </c>
      <c r="AF8" s="851">
        <f t="shared" si="47"/>
        <v>20160.75</v>
      </c>
      <c r="AG8" s="851">
        <f>1257*8+2512+2512</f>
        <v>15080</v>
      </c>
      <c r="AH8" s="851">
        <f t="shared" si="48"/>
        <v>5080.75</v>
      </c>
      <c r="AI8" s="851">
        <f t="shared" si="49"/>
        <v>2540</v>
      </c>
      <c r="AJ8" s="833">
        <f t="shared" si="50"/>
        <v>59043.065471436486</v>
      </c>
      <c r="AK8" s="833">
        <f t="shared" si="51"/>
        <v>7301</v>
      </c>
      <c r="AM8" s="1543">
        <v>-38</v>
      </c>
      <c r="AN8" s="1543">
        <v>-12</v>
      </c>
      <c r="AP8" s="1543">
        <f t="shared" si="52"/>
        <v>-1</v>
      </c>
    </row>
    <row r="9" spans="1:42" s="553" customFormat="1" ht="16.5" customHeight="1">
      <c r="A9" s="104">
        <v>5</v>
      </c>
      <c r="B9" s="806" t="s">
        <v>106</v>
      </c>
      <c r="C9" s="834">
        <f>'Table 8 2.1.12 MFP Funded'!W8</f>
        <v>4</v>
      </c>
      <c r="D9" s="835">
        <f>'Table 3 Levels 1&amp;2'!AL12*90%</f>
        <v>4390.2985530323031</v>
      </c>
      <c r="E9" s="835">
        <f t="shared" si="33"/>
        <v>17561.194212129212</v>
      </c>
      <c r="F9" s="836">
        <f>'Table 4 Level 3'!P10*90%</f>
        <v>500.31899999999996</v>
      </c>
      <c r="G9" s="836">
        <f t="shared" si="34"/>
        <v>2001.2759999999998</v>
      </c>
      <c r="H9" s="836">
        <f t="shared" si="35"/>
        <v>19562.470212129214</v>
      </c>
      <c r="I9" s="836">
        <f>(('Table 3 Levels 1&amp;2'!AL12-D9)*C9)</f>
        <v>1951.2438013476894</v>
      </c>
      <c r="J9" s="836">
        <f>'[1]Oct midyear LA Connections'!K8</f>
        <v>97812.351060646062</v>
      </c>
      <c r="K9" s="836">
        <f>'[1]Feb midyear LA Connections'!K8</f>
        <v>-24453.087765161516</v>
      </c>
      <c r="L9" s="836">
        <f t="shared" si="36"/>
        <v>73359.263295484547</v>
      </c>
      <c r="M9" s="836">
        <f t="shared" si="30"/>
        <v>92921.733507613768</v>
      </c>
      <c r="N9" s="836">
        <f t="shared" si="37"/>
        <v>-232</v>
      </c>
      <c r="O9" s="837">
        <f t="shared" si="31"/>
        <v>92689.733507613768</v>
      </c>
      <c r="P9" s="837">
        <v>0</v>
      </c>
      <c r="Q9" s="838">
        <f t="shared" si="38"/>
        <v>92689.733507613768</v>
      </c>
      <c r="R9" s="838">
        <f>1605*8+19656+19656</f>
        <v>52152</v>
      </c>
      <c r="S9" s="838">
        <f t="shared" si="39"/>
        <v>40537.733507613768</v>
      </c>
      <c r="T9" s="838">
        <f t="shared" si="40"/>
        <v>20269</v>
      </c>
      <c r="U9" s="840">
        <f>'[14]FY2012-13 Final'!K12*90%</f>
        <v>1363.5</v>
      </c>
      <c r="V9" s="840">
        <f t="shared" si="32"/>
        <v>5454</v>
      </c>
      <c r="W9" s="1491">
        <f>'[20]Oct midyear LA Connections'!E8</f>
        <v>20</v>
      </c>
      <c r="X9" s="840">
        <f t="shared" si="41"/>
        <v>27270</v>
      </c>
      <c r="Y9" s="1491">
        <f>'[20]Feb midyear LA Connections'!E8</f>
        <v>-10</v>
      </c>
      <c r="Z9" s="840">
        <f t="shared" si="42"/>
        <v>-6817.5</v>
      </c>
      <c r="AA9" s="840">
        <f t="shared" si="43"/>
        <v>20452.5</v>
      </c>
      <c r="AB9" s="840">
        <f t="shared" si="44"/>
        <v>25906.5</v>
      </c>
      <c r="AC9" s="840">
        <f t="shared" si="45"/>
        <v>-65</v>
      </c>
      <c r="AD9" s="840">
        <f t="shared" si="46"/>
        <v>25841.5</v>
      </c>
      <c r="AE9" s="839">
        <v>0</v>
      </c>
      <c r="AF9" s="852">
        <f t="shared" si="47"/>
        <v>25841.5</v>
      </c>
      <c r="AG9" s="852">
        <f>343*8+5084+5084</f>
        <v>12912</v>
      </c>
      <c r="AH9" s="852">
        <f t="shared" si="48"/>
        <v>12929.5</v>
      </c>
      <c r="AI9" s="852">
        <f t="shared" si="49"/>
        <v>6465</v>
      </c>
      <c r="AJ9" s="841">
        <f t="shared" si="50"/>
        <v>118531.23350761377</v>
      </c>
      <c r="AK9" s="841">
        <f t="shared" si="51"/>
        <v>26734</v>
      </c>
      <c r="AM9" s="1543">
        <v>-10</v>
      </c>
      <c r="AN9" s="1543">
        <v>-48</v>
      </c>
      <c r="AP9" s="1543">
        <f t="shared" si="52"/>
        <v>-7</v>
      </c>
    </row>
    <row r="10" spans="1:42" s="553" customFormat="1" ht="16.5" customHeight="1">
      <c r="A10" s="103">
        <v>6</v>
      </c>
      <c r="B10" s="805" t="s">
        <v>107</v>
      </c>
      <c r="C10" s="818">
        <f>'Table 8 2.1.12 MFP Funded'!W9</f>
        <v>4</v>
      </c>
      <c r="D10" s="819">
        <f>'Table 3 Levels 1&amp;2'!AL13*90%</f>
        <v>4995.1711115445605</v>
      </c>
      <c r="E10" s="819">
        <f t="shared" si="33"/>
        <v>19980.684446178242</v>
      </c>
      <c r="F10" s="820">
        <f>'Table 4 Level 3'!P11*90%</f>
        <v>490.9319999999999</v>
      </c>
      <c r="G10" s="820">
        <f t="shared" si="34"/>
        <v>1963.7279999999996</v>
      </c>
      <c r="H10" s="820">
        <f t="shared" si="35"/>
        <v>21944.412446178241</v>
      </c>
      <c r="I10" s="820">
        <f>(('Table 3 Levels 1&amp;2'!AL13-D10)*C10)</f>
        <v>2220.0760495753602</v>
      </c>
      <c r="J10" s="820">
        <f>'[1]Oct midyear LA Connections'!K9</f>
        <v>21944.412446178241</v>
      </c>
      <c r="K10" s="820">
        <f>'[1]Feb midyear LA Connections'!K9</f>
        <v>38402.721780811924</v>
      </c>
      <c r="L10" s="820">
        <f t="shared" si="36"/>
        <v>60347.134226990165</v>
      </c>
      <c r="M10" s="820">
        <f t="shared" si="30"/>
        <v>82291.546673168399</v>
      </c>
      <c r="N10" s="820">
        <f t="shared" si="37"/>
        <v>-206</v>
      </c>
      <c r="O10" s="821">
        <f t="shared" si="31"/>
        <v>82085.546673168399</v>
      </c>
      <c r="P10" s="821">
        <v>0</v>
      </c>
      <c r="Q10" s="822">
        <f t="shared" si="38"/>
        <v>82085.546673168399</v>
      </c>
      <c r="R10" s="822">
        <f>1820+1821+1820+1820+1820+1820+1820+1820+16841+16841</f>
        <v>48243</v>
      </c>
      <c r="S10" s="822">
        <f t="shared" si="39"/>
        <v>33842.546673168399</v>
      </c>
      <c r="T10" s="822">
        <f t="shared" si="40"/>
        <v>16921</v>
      </c>
      <c r="U10" s="824">
        <f>'[14]FY2012-13 Final'!K13*90%</f>
        <v>3221.1</v>
      </c>
      <c r="V10" s="824">
        <f t="shared" si="32"/>
        <v>12884.4</v>
      </c>
      <c r="W10" s="1489">
        <f>'[20]Oct midyear LA Connections'!E9</f>
        <v>4</v>
      </c>
      <c r="X10" s="824">
        <f t="shared" si="41"/>
        <v>12884.4</v>
      </c>
      <c r="Y10" s="1489">
        <f>'[20]Feb midyear LA Connections'!E9</f>
        <v>14</v>
      </c>
      <c r="Z10" s="824">
        <f t="shared" si="42"/>
        <v>22547.7</v>
      </c>
      <c r="AA10" s="824">
        <f t="shared" si="43"/>
        <v>35432.1</v>
      </c>
      <c r="AB10" s="824">
        <f t="shared" si="44"/>
        <v>48316.5</v>
      </c>
      <c r="AC10" s="824">
        <f t="shared" si="45"/>
        <v>-121</v>
      </c>
      <c r="AD10" s="824">
        <f t="shared" si="46"/>
        <v>48195.5</v>
      </c>
      <c r="AE10" s="823">
        <v>0</v>
      </c>
      <c r="AF10" s="850">
        <f t="shared" si="47"/>
        <v>48195.5</v>
      </c>
      <c r="AG10" s="850">
        <f>1027*8+9985+9985</f>
        <v>28186</v>
      </c>
      <c r="AH10" s="850">
        <f t="shared" si="48"/>
        <v>20009.5</v>
      </c>
      <c r="AI10" s="850">
        <f t="shared" si="49"/>
        <v>10005</v>
      </c>
      <c r="AJ10" s="825">
        <f t="shared" si="50"/>
        <v>130281.0466731684</v>
      </c>
      <c r="AK10" s="825">
        <f t="shared" si="51"/>
        <v>26926</v>
      </c>
      <c r="AM10" s="1543">
        <v>-31</v>
      </c>
      <c r="AN10" s="1543">
        <v>-90</v>
      </c>
      <c r="AP10" s="1543">
        <f t="shared" si="52"/>
        <v>0</v>
      </c>
    </row>
    <row r="11" spans="1:42" s="553" customFormat="1" ht="16.5" customHeight="1">
      <c r="A11" s="103">
        <v>7</v>
      </c>
      <c r="B11" s="805" t="s">
        <v>108</v>
      </c>
      <c r="C11" s="826">
        <f>'Table 8 2.1.12 MFP Funded'!W10</f>
        <v>6</v>
      </c>
      <c r="D11" s="827">
        <f>'Table 3 Levels 1&amp;2'!AL14*90%</f>
        <v>1395.481244364292</v>
      </c>
      <c r="E11" s="827">
        <f t="shared" si="33"/>
        <v>8372.8874661857517</v>
      </c>
      <c r="F11" s="828">
        <f>'Table 4 Level 3'!P12*90%</f>
        <v>681.22799999999984</v>
      </c>
      <c r="G11" s="828">
        <f t="shared" si="34"/>
        <v>4087.367999999999</v>
      </c>
      <c r="H11" s="828">
        <f t="shared" si="35"/>
        <v>12460.25546618575</v>
      </c>
      <c r="I11" s="828">
        <f>(('Table 3 Levels 1&amp;2'!AL14-D11)*C11)</f>
        <v>930.32082957619514</v>
      </c>
      <c r="J11" s="828">
        <f>'[1]Oct midyear LA Connections'!K10</f>
        <v>29073.929421100085</v>
      </c>
      <c r="K11" s="828">
        <f>'[1]Feb midyear LA Connections'!K10</f>
        <v>-12460.25546618575</v>
      </c>
      <c r="L11" s="828">
        <f t="shared" si="36"/>
        <v>16613.673954914335</v>
      </c>
      <c r="M11" s="828">
        <f t="shared" si="30"/>
        <v>29073.929421100085</v>
      </c>
      <c r="N11" s="828">
        <f t="shared" si="37"/>
        <v>-73</v>
      </c>
      <c r="O11" s="829">
        <f t="shared" si="31"/>
        <v>29000.929421100085</v>
      </c>
      <c r="P11" s="829">
        <v>0</v>
      </c>
      <c r="Q11" s="830">
        <f t="shared" si="38"/>
        <v>29000.929421100085</v>
      </c>
      <c r="R11" s="830">
        <f>1033*8+5163+5163</f>
        <v>18590</v>
      </c>
      <c r="S11" s="830">
        <f t="shared" si="39"/>
        <v>10410.929421100085</v>
      </c>
      <c r="T11" s="830">
        <f t="shared" si="40"/>
        <v>5205</v>
      </c>
      <c r="U11" s="832">
        <f>'[14]FY2012-13 Final'!K14*90%</f>
        <v>11234.7</v>
      </c>
      <c r="V11" s="832">
        <f t="shared" si="32"/>
        <v>67408.200000000012</v>
      </c>
      <c r="W11" s="1490">
        <f>'[20]Oct midyear LA Connections'!E10</f>
        <v>14</v>
      </c>
      <c r="X11" s="832">
        <f t="shared" si="41"/>
        <v>157285.80000000002</v>
      </c>
      <c r="Y11" s="1490">
        <f>'[20]Feb midyear LA Connections'!E10</f>
        <v>-12</v>
      </c>
      <c r="Z11" s="832">
        <f t="shared" si="42"/>
        <v>-67408.200000000012</v>
      </c>
      <c r="AA11" s="832">
        <f t="shared" si="43"/>
        <v>89877.6</v>
      </c>
      <c r="AB11" s="832">
        <f t="shared" si="44"/>
        <v>157285.80000000002</v>
      </c>
      <c r="AC11" s="832">
        <f t="shared" si="45"/>
        <v>-393</v>
      </c>
      <c r="AD11" s="832">
        <f t="shared" si="46"/>
        <v>156892.80000000002</v>
      </c>
      <c r="AE11" s="831">
        <v>0</v>
      </c>
      <c r="AF11" s="851">
        <f t="shared" si="47"/>
        <v>156892.80000000002</v>
      </c>
      <c r="AG11" s="851">
        <f>5824*8+27519+27519</f>
        <v>101630</v>
      </c>
      <c r="AH11" s="851">
        <f t="shared" si="48"/>
        <v>55262.800000000017</v>
      </c>
      <c r="AI11" s="851">
        <f t="shared" si="49"/>
        <v>27631</v>
      </c>
      <c r="AJ11" s="833">
        <f t="shared" si="50"/>
        <v>185893.72942110011</v>
      </c>
      <c r="AK11" s="833">
        <f t="shared" si="51"/>
        <v>32836</v>
      </c>
      <c r="AM11" s="1543">
        <v>-175</v>
      </c>
      <c r="AN11" s="1543">
        <v>-218</v>
      </c>
      <c r="AP11" s="1543">
        <f t="shared" si="52"/>
        <v>0</v>
      </c>
    </row>
    <row r="12" spans="1:42" s="553" customFormat="1" ht="16.5" customHeight="1">
      <c r="A12" s="103">
        <v>8</v>
      </c>
      <c r="B12" s="805" t="s">
        <v>109</v>
      </c>
      <c r="C12" s="826">
        <f>'Table 8 2.1.12 MFP Funded'!W11</f>
        <v>22</v>
      </c>
      <c r="D12" s="827">
        <f>'Table 3 Levels 1&amp;2'!AL15*90%</f>
        <v>3649.271352782549</v>
      </c>
      <c r="E12" s="827">
        <f t="shared" si="33"/>
        <v>80283.969761216082</v>
      </c>
      <c r="F12" s="828">
        <f>'Table 4 Level 3'!P13*90%</f>
        <v>653.18399999999997</v>
      </c>
      <c r="G12" s="828">
        <f t="shared" si="34"/>
        <v>14370.047999999999</v>
      </c>
      <c r="H12" s="828">
        <f t="shared" si="35"/>
        <v>94654.017761216077</v>
      </c>
      <c r="I12" s="828">
        <f>(('Table 3 Levels 1&amp;2'!AL15-D12)*C12)</f>
        <v>8920.4410845795664</v>
      </c>
      <c r="J12" s="828">
        <f>'[1]Oct midyear LA Connections'!K11</f>
        <v>210820.31228634491</v>
      </c>
      <c r="K12" s="828">
        <f>'[1]Feb midyear LA Connections'!K11</f>
        <v>-55931.919586173142</v>
      </c>
      <c r="L12" s="828">
        <f t="shared" si="36"/>
        <v>154888.39270017177</v>
      </c>
      <c r="M12" s="828">
        <f t="shared" si="30"/>
        <v>249542.41046138783</v>
      </c>
      <c r="N12" s="828">
        <f t="shared" si="37"/>
        <v>-624</v>
      </c>
      <c r="O12" s="829">
        <f t="shared" si="31"/>
        <v>248918.41046138783</v>
      </c>
      <c r="P12" s="829">
        <v>0</v>
      </c>
      <c r="Q12" s="830">
        <f t="shared" si="38"/>
        <v>248918.41046138783</v>
      </c>
      <c r="R12" s="830">
        <f>7833*8+46287+46287</f>
        <v>155238</v>
      </c>
      <c r="S12" s="830">
        <f t="shared" si="39"/>
        <v>93680.41046138783</v>
      </c>
      <c r="T12" s="830">
        <f t="shared" si="40"/>
        <v>46840</v>
      </c>
      <c r="U12" s="832">
        <f>'[14]FY2012-13 Final'!K15*90%</f>
        <v>3768.3</v>
      </c>
      <c r="V12" s="832">
        <f t="shared" si="32"/>
        <v>82902.600000000006</v>
      </c>
      <c r="W12" s="1490">
        <f>'[20]Oct midyear LA Connections'!E11</f>
        <v>49</v>
      </c>
      <c r="X12" s="832">
        <f t="shared" si="41"/>
        <v>184646.7</v>
      </c>
      <c r="Y12" s="1490">
        <f>'[20]Feb midyear LA Connections'!E11</f>
        <v>-26</v>
      </c>
      <c r="Z12" s="832">
        <f t="shared" si="42"/>
        <v>-48987.9</v>
      </c>
      <c r="AA12" s="832">
        <f t="shared" si="43"/>
        <v>135658.80000000002</v>
      </c>
      <c r="AB12" s="832">
        <f t="shared" si="44"/>
        <v>218561.40000000002</v>
      </c>
      <c r="AC12" s="832">
        <f t="shared" si="45"/>
        <v>-546</v>
      </c>
      <c r="AD12" s="832">
        <f t="shared" si="46"/>
        <v>218015.40000000002</v>
      </c>
      <c r="AE12" s="831">
        <v>0</v>
      </c>
      <c r="AF12" s="851">
        <f t="shared" si="47"/>
        <v>218015.40000000002</v>
      </c>
      <c r="AG12" s="851">
        <f>6969*8+40527+40527</f>
        <v>136806</v>
      </c>
      <c r="AH12" s="851">
        <f t="shared" si="48"/>
        <v>81209.400000000023</v>
      </c>
      <c r="AI12" s="851">
        <f t="shared" si="49"/>
        <v>40605</v>
      </c>
      <c r="AJ12" s="833">
        <f t="shared" si="50"/>
        <v>466933.81046138785</v>
      </c>
      <c r="AK12" s="833">
        <f t="shared" si="51"/>
        <v>87445</v>
      </c>
      <c r="AM12" s="1543">
        <v>-210</v>
      </c>
      <c r="AN12" s="1543">
        <v>-336</v>
      </c>
      <c r="AP12" s="1543">
        <f t="shared" si="52"/>
        <v>0</v>
      </c>
    </row>
    <row r="13" spans="1:42" s="553" customFormat="1" ht="16.5" customHeight="1">
      <c r="A13" s="103">
        <v>9</v>
      </c>
      <c r="B13" s="805" t="s">
        <v>110</v>
      </c>
      <c r="C13" s="826">
        <f>'Table 8 2.1.12 MFP Funded'!W12</f>
        <v>38</v>
      </c>
      <c r="D13" s="827">
        <f>'Table 3 Levels 1&amp;2'!AL16*90%</f>
        <v>3858.4089252133217</v>
      </c>
      <c r="E13" s="827">
        <f t="shared" si="33"/>
        <v>146619.53915810623</v>
      </c>
      <c r="F13" s="828">
        <f>'Table 4 Level 3'!P14*90%</f>
        <v>670.28399999999999</v>
      </c>
      <c r="G13" s="828">
        <f t="shared" si="34"/>
        <v>25470.792000000001</v>
      </c>
      <c r="H13" s="828">
        <f t="shared" si="35"/>
        <v>172090.33115810622</v>
      </c>
      <c r="I13" s="828">
        <f>(('Table 3 Levels 1&amp;2'!AL16-D13)*C13)</f>
        <v>16291.059906456236</v>
      </c>
      <c r="J13" s="828">
        <f>'[1]Oct midyear LA Connections'!K12</f>
        <v>63401.700952986503</v>
      </c>
      <c r="K13" s="828">
        <f>'[1]Feb midyear LA Connections'!K12</f>
        <v>29436.504013886588</v>
      </c>
      <c r="L13" s="828">
        <f t="shared" si="36"/>
        <v>92838.204966873091</v>
      </c>
      <c r="M13" s="828">
        <f t="shared" si="30"/>
        <v>264928.53612497932</v>
      </c>
      <c r="N13" s="828">
        <f t="shared" si="37"/>
        <v>-662</v>
      </c>
      <c r="O13" s="829">
        <f t="shared" si="31"/>
        <v>264266.53612497932</v>
      </c>
      <c r="P13" s="829">
        <v>0</v>
      </c>
      <c r="Q13" s="830">
        <f t="shared" si="38"/>
        <v>264266.53612497932</v>
      </c>
      <c r="R13" s="830">
        <f>14252+14251+14252+14252+14252+14252+14252+14252+37316+37316</f>
        <v>188647</v>
      </c>
      <c r="S13" s="830">
        <f t="shared" si="39"/>
        <v>75619.53612497932</v>
      </c>
      <c r="T13" s="830">
        <f t="shared" si="40"/>
        <v>37810</v>
      </c>
      <c r="U13" s="832">
        <f>'[14]FY2012-13 Final'!K16*90%</f>
        <v>4184.1000000000004</v>
      </c>
      <c r="V13" s="832">
        <f t="shared" si="32"/>
        <v>158995.80000000002</v>
      </c>
      <c r="W13" s="1490">
        <f>'[20]Oct midyear LA Connections'!E12</f>
        <v>14</v>
      </c>
      <c r="X13" s="832">
        <f t="shared" si="41"/>
        <v>58577.400000000009</v>
      </c>
      <c r="Y13" s="1490">
        <f>'[20]Feb midyear LA Connections'!E12</f>
        <v>13</v>
      </c>
      <c r="Z13" s="832">
        <f t="shared" si="42"/>
        <v>27196.65</v>
      </c>
      <c r="AA13" s="832">
        <f t="shared" si="43"/>
        <v>85774.050000000017</v>
      </c>
      <c r="AB13" s="832">
        <f t="shared" si="44"/>
        <v>244769.85000000003</v>
      </c>
      <c r="AC13" s="832">
        <f t="shared" si="45"/>
        <v>-612</v>
      </c>
      <c r="AD13" s="832">
        <f t="shared" si="46"/>
        <v>244157.85000000003</v>
      </c>
      <c r="AE13" s="831">
        <v>0</v>
      </c>
      <c r="AF13" s="851">
        <f t="shared" si="47"/>
        <v>244157.85000000003</v>
      </c>
      <c r="AG13" s="851">
        <f>12904*8+35113+35113</f>
        <v>173458</v>
      </c>
      <c r="AH13" s="851">
        <f t="shared" si="48"/>
        <v>70699.850000000035</v>
      </c>
      <c r="AI13" s="851">
        <f t="shared" si="49"/>
        <v>35350</v>
      </c>
      <c r="AJ13" s="833">
        <f t="shared" si="50"/>
        <v>508424.38612497936</v>
      </c>
      <c r="AK13" s="833">
        <f t="shared" si="51"/>
        <v>73160</v>
      </c>
      <c r="AM13" s="1543">
        <v>-388</v>
      </c>
      <c r="AN13" s="1543">
        <v>-223</v>
      </c>
      <c r="AP13" s="1543">
        <f t="shared" si="52"/>
        <v>-1</v>
      </c>
    </row>
    <row r="14" spans="1:42" s="553" customFormat="1" ht="16.5" customHeight="1">
      <c r="A14" s="104">
        <v>10</v>
      </c>
      <c r="B14" s="806" t="s">
        <v>111</v>
      </c>
      <c r="C14" s="834">
        <f>'Table 8 2.1.12 MFP Funded'!W13</f>
        <v>24</v>
      </c>
      <c r="D14" s="835">
        <f>'Table 3 Levels 1&amp;2'!AL17*90%</f>
        <v>3888.1604468632572</v>
      </c>
      <c r="E14" s="835">
        <f t="shared" si="33"/>
        <v>93315.85072471817</v>
      </c>
      <c r="F14" s="836">
        <f>'Table 4 Level 3'!P15*90%</f>
        <v>547.2360000000001</v>
      </c>
      <c r="G14" s="836">
        <f t="shared" si="34"/>
        <v>13133.664000000002</v>
      </c>
      <c r="H14" s="836">
        <f t="shared" si="35"/>
        <v>106449.51472471817</v>
      </c>
      <c r="I14" s="836">
        <f>(('Table 3 Levels 1&amp;2'!AL17-D14)*C14)</f>
        <v>10368.427858302017</v>
      </c>
      <c r="J14" s="836">
        <f>'[1]Oct midyear LA Connections'!K13</f>
        <v>128626.49695903447</v>
      </c>
      <c r="K14" s="836">
        <f>'[1]Feb midyear LA Connections'!K13</f>
        <v>0</v>
      </c>
      <c r="L14" s="836">
        <f t="shared" si="36"/>
        <v>128626.49695903447</v>
      </c>
      <c r="M14" s="836">
        <f t="shared" si="30"/>
        <v>235076.01168375264</v>
      </c>
      <c r="N14" s="836">
        <f t="shared" si="37"/>
        <v>-588</v>
      </c>
      <c r="O14" s="837">
        <f t="shared" si="31"/>
        <v>234488.01168375264</v>
      </c>
      <c r="P14" s="837">
        <v>0</v>
      </c>
      <c r="Q14" s="838">
        <f t="shared" si="38"/>
        <v>234488.01168375264</v>
      </c>
      <c r="R14" s="838">
        <f>8813+8812+8813+8813+8813+8813+8813+8813+40757+40757</f>
        <v>152017</v>
      </c>
      <c r="S14" s="838">
        <f t="shared" si="39"/>
        <v>82471.011683752644</v>
      </c>
      <c r="T14" s="838">
        <f t="shared" si="40"/>
        <v>41236</v>
      </c>
      <c r="U14" s="840">
        <f>'[14]FY2012-13 Final'!K17*90%</f>
        <v>3955.5</v>
      </c>
      <c r="V14" s="840">
        <f t="shared" si="32"/>
        <v>94932</v>
      </c>
      <c r="W14" s="1491">
        <f>'[20]Oct midyear LA Connections'!E13</f>
        <v>29</v>
      </c>
      <c r="X14" s="840">
        <f t="shared" si="41"/>
        <v>114709.5</v>
      </c>
      <c r="Y14" s="1491">
        <f>'[20]Feb midyear LA Connections'!E13</f>
        <v>0</v>
      </c>
      <c r="Z14" s="840">
        <f t="shared" si="42"/>
        <v>0</v>
      </c>
      <c r="AA14" s="840">
        <f t="shared" si="43"/>
        <v>114709.5</v>
      </c>
      <c r="AB14" s="840">
        <f t="shared" si="44"/>
        <v>209641.5</v>
      </c>
      <c r="AC14" s="840">
        <f t="shared" si="45"/>
        <v>-524</v>
      </c>
      <c r="AD14" s="840">
        <f t="shared" si="46"/>
        <v>209117.5</v>
      </c>
      <c r="AE14" s="839">
        <v>0</v>
      </c>
      <c r="AF14" s="852">
        <f t="shared" si="47"/>
        <v>209117.5</v>
      </c>
      <c r="AG14" s="852">
        <f>7742*8+36748+36748</f>
        <v>135432</v>
      </c>
      <c r="AH14" s="852">
        <f t="shared" si="48"/>
        <v>73685.5</v>
      </c>
      <c r="AI14" s="852">
        <f t="shared" si="49"/>
        <v>36843</v>
      </c>
      <c r="AJ14" s="841">
        <f t="shared" si="50"/>
        <v>443605.51168375264</v>
      </c>
      <c r="AK14" s="841">
        <f t="shared" si="51"/>
        <v>78079</v>
      </c>
      <c r="AM14" s="1543">
        <v>-233</v>
      </c>
      <c r="AN14" s="1543">
        <v>-291</v>
      </c>
      <c r="AP14" s="1543">
        <f t="shared" si="52"/>
        <v>0</v>
      </c>
    </row>
    <row r="15" spans="1:42" s="553" customFormat="1" ht="16.5" customHeight="1">
      <c r="A15" s="103">
        <v>11</v>
      </c>
      <c r="B15" s="805" t="s">
        <v>112</v>
      </c>
      <c r="C15" s="818">
        <f>'Table 8 2.1.12 MFP Funded'!W14</f>
        <v>0</v>
      </c>
      <c r="D15" s="819">
        <f>'Table 3 Levels 1&amp;2'!AL18*90%</f>
        <v>6079.4053058377149</v>
      </c>
      <c r="E15" s="819">
        <f t="shared" si="33"/>
        <v>0</v>
      </c>
      <c r="F15" s="820">
        <f>'Table 4 Level 3'!P16*90%</f>
        <v>635.89499999999998</v>
      </c>
      <c r="G15" s="820">
        <f t="shared" si="34"/>
        <v>0</v>
      </c>
      <c r="H15" s="820">
        <f t="shared" si="35"/>
        <v>0</v>
      </c>
      <c r="I15" s="820">
        <f>(('Table 3 Levels 1&amp;2'!AL18-D15)*C15)</f>
        <v>0</v>
      </c>
      <c r="J15" s="820">
        <f>'[1]Oct midyear LA Connections'!K14</f>
        <v>6715.3003058377144</v>
      </c>
      <c r="K15" s="820">
        <f>'[1]Feb midyear LA Connections'!K14</f>
        <v>3357.6501529188572</v>
      </c>
      <c r="L15" s="820">
        <f t="shared" si="36"/>
        <v>10072.950458756572</v>
      </c>
      <c r="M15" s="820">
        <f t="shared" si="30"/>
        <v>10072.950458756572</v>
      </c>
      <c r="N15" s="820">
        <f t="shared" si="37"/>
        <v>-25</v>
      </c>
      <c r="O15" s="821">
        <f t="shared" si="31"/>
        <v>10047.950458756572</v>
      </c>
      <c r="P15" s="821">
        <v>0</v>
      </c>
      <c r="Q15" s="822">
        <f t="shared" si="38"/>
        <v>10047.950458756572</v>
      </c>
      <c r="R15" s="822">
        <f>2507*2</f>
        <v>5014</v>
      </c>
      <c r="S15" s="822">
        <f t="shared" si="39"/>
        <v>5033.9504587565716</v>
      </c>
      <c r="T15" s="822">
        <f t="shared" si="40"/>
        <v>2517</v>
      </c>
      <c r="U15" s="824">
        <f>'[14]FY2012-13 Final'!K18*90%</f>
        <v>3105</v>
      </c>
      <c r="V15" s="824">
        <f t="shared" si="32"/>
        <v>0</v>
      </c>
      <c r="W15" s="1489">
        <f>'[20]Oct midyear LA Connections'!E14</f>
        <v>1</v>
      </c>
      <c r="X15" s="824">
        <f t="shared" si="41"/>
        <v>3105</v>
      </c>
      <c r="Y15" s="1489">
        <f>'[20]Feb midyear LA Connections'!E14</f>
        <v>1</v>
      </c>
      <c r="Z15" s="824">
        <f t="shared" si="42"/>
        <v>1552.5</v>
      </c>
      <c r="AA15" s="824">
        <f t="shared" si="43"/>
        <v>4657.5</v>
      </c>
      <c r="AB15" s="824">
        <f t="shared" si="44"/>
        <v>4657.5</v>
      </c>
      <c r="AC15" s="824">
        <f t="shared" si="45"/>
        <v>-12</v>
      </c>
      <c r="AD15" s="824">
        <f t="shared" si="46"/>
        <v>4645.5</v>
      </c>
      <c r="AE15" s="823">
        <v>0</v>
      </c>
      <c r="AF15" s="850">
        <f t="shared" si="47"/>
        <v>4645.5</v>
      </c>
      <c r="AG15" s="850">
        <f>1155+1155</f>
        <v>2310</v>
      </c>
      <c r="AH15" s="850">
        <f t="shared" si="48"/>
        <v>2335.5</v>
      </c>
      <c r="AI15" s="850">
        <f t="shared" si="49"/>
        <v>1168</v>
      </c>
      <c r="AJ15" s="825">
        <f t="shared" si="50"/>
        <v>14693.450458756572</v>
      </c>
      <c r="AK15" s="825">
        <f t="shared" si="51"/>
        <v>3685</v>
      </c>
      <c r="AM15" s="1543">
        <v>0</v>
      </c>
      <c r="AN15" s="1543">
        <v>-12</v>
      </c>
      <c r="AP15" s="1543">
        <f t="shared" si="52"/>
        <v>0</v>
      </c>
    </row>
    <row r="16" spans="1:42" s="553" customFormat="1" ht="16.5" customHeight="1">
      <c r="A16" s="103">
        <v>12</v>
      </c>
      <c r="B16" s="805" t="s">
        <v>113</v>
      </c>
      <c r="C16" s="826">
        <f>'Table 8 2.1.12 MFP Funded'!W15</f>
        <v>2</v>
      </c>
      <c r="D16" s="827">
        <f>'Table 3 Levels 1&amp;2'!AL19*90%</f>
        <v>1627.188612244898</v>
      </c>
      <c r="E16" s="827">
        <f t="shared" si="33"/>
        <v>3254.3772244897959</v>
      </c>
      <c r="F16" s="828">
        <f>'Table 4 Level 3'!P17*90%</f>
        <v>956.97899999999993</v>
      </c>
      <c r="G16" s="828">
        <f t="shared" si="34"/>
        <v>1913.9579999999999</v>
      </c>
      <c r="H16" s="828">
        <f t="shared" si="35"/>
        <v>5168.335224489796</v>
      </c>
      <c r="I16" s="828">
        <f>(('Table 3 Levels 1&amp;2'!AL19-D16)*C16)</f>
        <v>361.59746938775515</v>
      </c>
      <c r="J16" s="828">
        <f>'[1]Oct midyear LA Connections'!K15</f>
        <v>-5168.335224489796</v>
      </c>
      <c r="K16" s="828">
        <f>'[1]Feb midyear LA Connections'!K15</f>
        <v>1292.083806122449</v>
      </c>
      <c r="L16" s="828">
        <f t="shared" si="36"/>
        <v>-3876.251418367347</v>
      </c>
      <c r="M16" s="828">
        <f t="shared" si="30"/>
        <v>1292.083806122449</v>
      </c>
      <c r="N16" s="828">
        <f t="shared" si="37"/>
        <v>-3</v>
      </c>
      <c r="O16" s="829">
        <f t="shared" si="31"/>
        <v>1289.083806122449</v>
      </c>
      <c r="P16" s="829">
        <v>0</v>
      </c>
      <c r="Q16" s="830">
        <f t="shared" si="38"/>
        <v>1289.083806122449</v>
      </c>
      <c r="R16" s="830">
        <f>426*8-533-533</f>
        <v>2342</v>
      </c>
      <c r="S16" s="830">
        <f t="shared" si="39"/>
        <v>-1052.916193877551</v>
      </c>
      <c r="T16" s="830">
        <f t="shared" si="40"/>
        <v>-526</v>
      </c>
      <c r="U16" s="832">
        <f>'[14]FY2012-13 Final'!K19*90%</f>
        <v>11304.9</v>
      </c>
      <c r="V16" s="832">
        <f t="shared" si="32"/>
        <v>22609.8</v>
      </c>
      <c r="W16" s="1490">
        <f>'[20]Oct midyear LA Connections'!E15</f>
        <v>-2</v>
      </c>
      <c r="X16" s="832">
        <f t="shared" si="41"/>
        <v>-22609.8</v>
      </c>
      <c r="Y16" s="1490">
        <f>'[20]Feb midyear LA Connections'!E15</f>
        <v>1</v>
      </c>
      <c r="Z16" s="832">
        <f t="shared" si="42"/>
        <v>5652.45</v>
      </c>
      <c r="AA16" s="832">
        <f t="shared" si="43"/>
        <v>-16957.349999999999</v>
      </c>
      <c r="AB16" s="832">
        <f t="shared" si="44"/>
        <v>5652.4500000000007</v>
      </c>
      <c r="AC16" s="832">
        <f t="shared" si="45"/>
        <v>-14</v>
      </c>
      <c r="AD16" s="832">
        <f t="shared" si="46"/>
        <v>5638.4500000000007</v>
      </c>
      <c r="AE16" s="831">
        <v>0</v>
      </c>
      <c r="AF16" s="851">
        <f t="shared" si="47"/>
        <v>5638.4500000000007</v>
      </c>
      <c r="AG16" s="851">
        <f>1861*8-2313-2313</f>
        <v>10262</v>
      </c>
      <c r="AH16" s="851">
        <f t="shared" si="48"/>
        <v>-4623.5499999999993</v>
      </c>
      <c r="AI16" s="851">
        <f t="shared" si="49"/>
        <v>-2312</v>
      </c>
      <c r="AJ16" s="833">
        <f t="shared" si="50"/>
        <v>6927.5338061224502</v>
      </c>
      <c r="AK16" s="833">
        <f t="shared" si="51"/>
        <v>-2838</v>
      </c>
      <c r="AM16" s="1543">
        <v>-56</v>
      </c>
      <c r="AN16" s="1543">
        <v>42</v>
      </c>
      <c r="AP16" s="1543">
        <f t="shared" si="52"/>
        <v>0</v>
      </c>
    </row>
    <row r="17" spans="1:42" s="553" customFormat="1" ht="16.5" customHeight="1">
      <c r="A17" s="103">
        <v>13</v>
      </c>
      <c r="B17" s="805" t="s">
        <v>114</v>
      </c>
      <c r="C17" s="826">
        <f>'Table 8 2.1.12 MFP Funded'!W16</f>
        <v>5</v>
      </c>
      <c r="D17" s="827">
        <f>'Table 3 Levels 1&amp;2'!AL20*90%</f>
        <v>5529.1600185701118</v>
      </c>
      <c r="E17" s="827">
        <f t="shared" si="33"/>
        <v>27645.800092850557</v>
      </c>
      <c r="F17" s="828">
        <f>'Table 4 Level 3'!P18*90%</f>
        <v>674.48700000000008</v>
      </c>
      <c r="G17" s="828">
        <f t="shared" si="34"/>
        <v>3372.4350000000004</v>
      </c>
      <c r="H17" s="828">
        <f t="shared" si="35"/>
        <v>31018.235092850558</v>
      </c>
      <c r="I17" s="828">
        <f>(('Table 3 Levels 1&amp;2'!AL20-D17)*C17)</f>
        <v>3071.7555658722858</v>
      </c>
      <c r="J17" s="828">
        <f>'[1]Oct midyear LA Connections'!K16</f>
        <v>-6203.6470185701119</v>
      </c>
      <c r="K17" s="828">
        <f>'[1]Feb midyear LA Connections'!K16</f>
        <v>-3101.8235092850559</v>
      </c>
      <c r="L17" s="828">
        <f t="shared" si="36"/>
        <v>-9305.4705278551683</v>
      </c>
      <c r="M17" s="828">
        <f t="shared" si="30"/>
        <v>21712.764564995392</v>
      </c>
      <c r="N17" s="828">
        <f t="shared" si="37"/>
        <v>-54</v>
      </c>
      <c r="O17" s="829">
        <f t="shared" si="31"/>
        <v>21658.764564995392</v>
      </c>
      <c r="P17" s="829">
        <v>0</v>
      </c>
      <c r="Q17" s="830">
        <f t="shared" si="38"/>
        <v>21658.764564995392</v>
      </c>
      <c r="R17" s="830">
        <f>2572*8+257+257</f>
        <v>21090</v>
      </c>
      <c r="S17" s="830">
        <f t="shared" si="39"/>
        <v>568.76456499539199</v>
      </c>
      <c r="T17" s="830">
        <f t="shared" si="40"/>
        <v>284</v>
      </c>
      <c r="U17" s="832">
        <f>'[14]FY2012-13 Final'!K20*90%</f>
        <v>2284.2000000000003</v>
      </c>
      <c r="V17" s="832">
        <f t="shared" si="32"/>
        <v>11421.000000000002</v>
      </c>
      <c r="W17" s="1490">
        <f>'[20]Oct midyear LA Connections'!E16</f>
        <v>-1</v>
      </c>
      <c r="X17" s="832">
        <f t="shared" si="41"/>
        <v>-2284.2000000000003</v>
      </c>
      <c r="Y17" s="1490">
        <f>'[20]Feb midyear LA Connections'!E16</f>
        <v>-1</v>
      </c>
      <c r="Z17" s="832">
        <f t="shared" si="42"/>
        <v>-1142.1000000000001</v>
      </c>
      <c r="AA17" s="832">
        <f t="shared" si="43"/>
        <v>-3426.3</v>
      </c>
      <c r="AB17" s="832">
        <f t="shared" si="44"/>
        <v>7994.7000000000016</v>
      </c>
      <c r="AC17" s="832">
        <f t="shared" si="45"/>
        <v>-20</v>
      </c>
      <c r="AD17" s="832">
        <f t="shared" si="46"/>
        <v>7974.7000000000016</v>
      </c>
      <c r="AE17" s="831">
        <v>0</v>
      </c>
      <c r="AF17" s="851">
        <f t="shared" si="47"/>
        <v>7974.7000000000016</v>
      </c>
      <c r="AG17" s="851">
        <f>942*8+108+108</f>
        <v>7752</v>
      </c>
      <c r="AH17" s="851">
        <f t="shared" si="48"/>
        <v>222.70000000000164</v>
      </c>
      <c r="AI17" s="851">
        <f t="shared" si="49"/>
        <v>111</v>
      </c>
      <c r="AJ17" s="833">
        <f t="shared" si="50"/>
        <v>29633.464564995393</v>
      </c>
      <c r="AK17" s="833">
        <f t="shared" si="51"/>
        <v>395</v>
      </c>
      <c r="AM17" s="1543">
        <v>-28</v>
      </c>
      <c r="AN17" s="1543">
        <v>8</v>
      </c>
      <c r="AP17" s="1543">
        <f t="shared" si="52"/>
        <v>0</v>
      </c>
    </row>
    <row r="18" spans="1:42" s="553" customFormat="1" ht="16.5" customHeight="1">
      <c r="A18" s="103">
        <v>14</v>
      </c>
      <c r="B18" s="805" t="s">
        <v>115</v>
      </c>
      <c r="C18" s="826">
        <f>'Table 8 2.1.12 MFP Funded'!W17</f>
        <v>7</v>
      </c>
      <c r="D18" s="827">
        <f>'Table 3 Levels 1&amp;2'!AL21*90%</f>
        <v>4774.1048259775289</v>
      </c>
      <c r="E18" s="827">
        <f t="shared" si="33"/>
        <v>33418.733781842704</v>
      </c>
      <c r="F18" s="828">
        <f>'Table 4 Level 3'!P19*90%</f>
        <v>728.98199999999997</v>
      </c>
      <c r="G18" s="828">
        <f t="shared" si="34"/>
        <v>5102.8739999999998</v>
      </c>
      <c r="H18" s="828">
        <f t="shared" si="35"/>
        <v>38521.6077818427</v>
      </c>
      <c r="I18" s="828">
        <f>(('Table 3 Levels 1&amp;2'!AL21-D18)*C18)</f>
        <v>3713.1926424269641</v>
      </c>
      <c r="J18" s="828">
        <f>'[1]Oct midyear LA Connections'!K17</f>
        <v>33018.52095586517</v>
      </c>
      <c r="K18" s="828">
        <f>'[1]Feb midyear LA Connections'!K17</f>
        <v>-5503.0868259775289</v>
      </c>
      <c r="L18" s="828">
        <f t="shared" si="36"/>
        <v>27515.434129887639</v>
      </c>
      <c r="M18" s="828">
        <f t="shared" si="30"/>
        <v>66037.041911730339</v>
      </c>
      <c r="N18" s="828">
        <f t="shared" si="37"/>
        <v>-165</v>
      </c>
      <c r="O18" s="829">
        <f t="shared" si="31"/>
        <v>65872.041911730339</v>
      </c>
      <c r="P18" s="829">
        <v>0</v>
      </c>
      <c r="Q18" s="830">
        <f t="shared" si="38"/>
        <v>65872.041911730339</v>
      </c>
      <c r="R18" s="830">
        <f>3188*8+10021+10021</f>
        <v>45546</v>
      </c>
      <c r="S18" s="830">
        <f t="shared" si="39"/>
        <v>20326.041911730339</v>
      </c>
      <c r="T18" s="830">
        <f t="shared" si="40"/>
        <v>10163</v>
      </c>
      <c r="U18" s="832">
        <f>'[14]FY2012-13 Final'!K21*90%</f>
        <v>3501</v>
      </c>
      <c r="V18" s="832">
        <f t="shared" si="32"/>
        <v>24507</v>
      </c>
      <c r="W18" s="1490">
        <f>'[20]Oct midyear LA Connections'!E17</f>
        <v>6</v>
      </c>
      <c r="X18" s="832">
        <f t="shared" si="41"/>
        <v>21006</v>
      </c>
      <c r="Y18" s="1490">
        <f>'[20]Feb midyear LA Connections'!E17</f>
        <v>-2</v>
      </c>
      <c r="Z18" s="832">
        <f t="shared" si="42"/>
        <v>-3501</v>
      </c>
      <c r="AA18" s="832">
        <f t="shared" si="43"/>
        <v>17505</v>
      </c>
      <c r="AB18" s="832">
        <f t="shared" si="44"/>
        <v>42012</v>
      </c>
      <c r="AC18" s="832">
        <f t="shared" si="45"/>
        <v>-105</v>
      </c>
      <c r="AD18" s="832">
        <f t="shared" si="46"/>
        <v>41907</v>
      </c>
      <c r="AE18" s="831">
        <v>0</v>
      </c>
      <c r="AF18" s="851">
        <f t="shared" si="47"/>
        <v>41907</v>
      </c>
      <c r="AG18" s="851">
        <f>1888*8+6695+6695</f>
        <v>28494</v>
      </c>
      <c r="AH18" s="851">
        <f t="shared" si="48"/>
        <v>13413</v>
      </c>
      <c r="AI18" s="851">
        <f t="shared" si="49"/>
        <v>6707</v>
      </c>
      <c r="AJ18" s="833">
        <f t="shared" si="50"/>
        <v>107779.04191173034</v>
      </c>
      <c r="AK18" s="833">
        <f t="shared" si="51"/>
        <v>16870</v>
      </c>
      <c r="AM18" s="1543">
        <v>-57</v>
      </c>
      <c r="AN18" s="1543">
        <v>-48</v>
      </c>
      <c r="AP18" s="1543">
        <f t="shared" si="52"/>
        <v>0</v>
      </c>
    </row>
    <row r="19" spans="1:42" s="553" customFormat="1" ht="16.5" customHeight="1">
      <c r="A19" s="104">
        <v>15</v>
      </c>
      <c r="B19" s="806" t="s">
        <v>116</v>
      </c>
      <c r="C19" s="834">
        <f>'Table 8 2.1.12 MFP Funded'!W18</f>
        <v>2</v>
      </c>
      <c r="D19" s="835">
        <f>'Table 3 Levels 1&amp;2'!AL22*90%</f>
        <v>4896.5930033627801</v>
      </c>
      <c r="E19" s="835">
        <f t="shared" si="33"/>
        <v>9793.1860067255602</v>
      </c>
      <c r="F19" s="836">
        <f>'Table 4 Level 3'!P20*90%</f>
        <v>498.41999999999996</v>
      </c>
      <c r="G19" s="836">
        <f t="shared" si="34"/>
        <v>996.83999999999992</v>
      </c>
      <c r="H19" s="836">
        <f t="shared" si="35"/>
        <v>10790.02600672556</v>
      </c>
      <c r="I19" s="836">
        <f>(('Table 3 Levels 1&amp;2'!AL22-D19)*C19)</f>
        <v>1088.1317785250612</v>
      </c>
      <c r="J19" s="836">
        <f>'[1]Oct midyear LA Connections'!K18</f>
        <v>-5395.0130033627802</v>
      </c>
      <c r="K19" s="836">
        <f>'[1]Feb midyear LA Connections'!K18</f>
        <v>5395.0130033627802</v>
      </c>
      <c r="L19" s="836">
        <f t="shared" si="36"/>
        <v>0</v>
      </c>
      <c r="M19" s="836">
        <f t="shared" si="30"/>
        <v>10790.02600672556</v>
      </c>
      <c r="N19" s="836">
        <f t="shared" si="37"/>
        <v>-27</v>
      </c>
      <c r="O19" s="837">
        <f t="shared" si="31"/>
        <v>10763.02600672556</v>
      </c>
      <c r="P19" s="837">
        <v>0</v>
      </c>
      <c r="Q19" s="838">
        <f t="shared" si="38"/>
        <v>10763.02600672556</v>
      </c>
      <c r="R19" s="838">
        <f>895*8+896+896</f>
        <v>8952</v>
      </c>
      <c r="S19" s="838">
        <f t="shared" si="39"/>
        <v>1811.0260067255604</v>
      </c>
      <c r="T19" s="838">
        <f t="shared" si="40"/>
        <v>906</v>
      </c>
      <c r="U19" s="840">
        <f>'[14]FY2012-13 Final'!K22*90%</f>
        <v>2476.8000000000002</v>
      </c>
      <c r="V19" s="840">
        <f t="shared" si="32"/>
        <v>4953.6000000000004</v>
      </c>
      <c r="W19" s="1491">
        <f>'[20]Oct midyear LA Connections'!E18</f>
        <v>-1</v>
      </c>
      <c r="X19" s="840">
        <f t="shared" si="41"/>
        <v>-2476.8000000000002</v>
      </c>
      <c r="Y19" s="1491">
        <f>'[20]Feb midyear LA Connections'!E18</f>
        <v>2</v>
      </c>
      <c r="Z19" s="840">
        <f t="shared" si="42"/>
        <v>2476.8000000000002</v>
      </c>
      <c r="AA19" s="840">
        <f t="shared" si="43"/>
        <v>0</v>
      </c>
      <c r="AB19" s="840">
        <f t="shared" si="44"/>
        <v>4953.6000000000004</v>
      </c>
      <c r="AC19" s="840">
        <f t="shared" si="45"/>
        <v>-12</v>
      </c>
      <c r="AD19" s="840">
        <f t="shared" si="46"/>
        <v>4941.6000000000004</v>
      </c>
      <c r="AE19" s="839">
        <v>0</v>
      </c>
      <c r="AF19" s="852">
        <f t="shared" si="47"/>
        <v>4941.6000000000004</v>
      </c>
      <c r="AG19" s="852">
        <f>391*8+453+453</f>
        <v>4034</v>
      </c>
      <c r="AH19" s="852">
        <f t="shared" si="48"/>
        <v>907.60000000000036</v>
      </c>
      <c r="AI19" s="852">
        <f t="shared" si="49"/>
        <v>454</v>
      </c>
      <c r="AJ19" s="841">
        <f t="shared" si="50"/>
        <v>15704.626006725561</v>
      </c>
      <c r="AK19" s="841">
        <f t="shared" si="51"/>
        <v>1360</v>
      </c>
      <c r="AM19" s="1543">
        <v>-12</v>
      </c>
      <c r="AN19" s="1543">
        <v>0</v>
      </c>
      <c r="AP19" s="1543">
        <f t="shared" si="52"/>
        <v>0</v>
      </c>
    </row>
    <row r="20" spans="1:42" s="553" customFormat="1" ht="16.5" customHeight="1">
      <c r="A20" s="103">
        <v>16</v>
      </c>
      <c r="B20" s="805" t="s">
        <v>117</v>
      </c>
      <c r="C20" s="818">
        <f>'Table 8 2.1.12 MFP Funded'!W19</f>
        <v>1</v>
      </c>
      <c r="D20" s="819">
        <f>'Table 3 Levels 1&amp;2'!AL23*90%</f>
        <v>1357.3892782536036</v>
      </c>
      <c r="E20" s="819">
        <f t="shared" si="33"/>
        <v>1357.3892782536036</v>
      </c>
      <c r="F20" s="820">
        <f>'Table 4 Level 3'!P21*90%</f>
        <v>618.05700000000002</v>
      </c>
      <c r="G20" s="820">
        <f t="shared" si="34"/>
        <v>618.05700000000002</v>
      </c>
      <c r="H20" s="820">
        <f t="shared" si="35"/>
        <v>1975.4462782536036</v>
      </c>
      <c r="I20" s="820">
        <f>(('Table 3 Levels 1&amp;2'!AL23-D20)*C20)</f>
        <v>150.82103091706699</v>
      </c>
      <c r="J20" s="820">
        <f>'[1]Oct midyear LA Connections'!K19</f>
        <v>9877.2313912680183</v>
      </c>
      <c r="K20" s="820">
        <f>'[1]Feb midyear LA Connections'!K19</f>
        <v>0</v>
      </c>
      <c r="L20" s="820">
        <f t="shared" si="36"/>
        <v>9877.2313912680183</v>
      </c>
      <c r="M20" s="820">
        <f t="shared" si="30"/>
        <v>11852.677669521621</v>
      </c>
      <c r="N20" s="820">
        <f t="shared" si="37"/>
        <v>-30</v>
      </c>
      <c r="O20" s="821">
        <f t="shared" si="31"/>
        <v>11822.677669521621</v>
      </c>
      <c r="P20" s="821">
        <v>0</v>
      </c>
      <c r="Q20" s="822">
        <f t="shared" si="38"/>
        <v>11822.677669521621</v>
      </c>
      <c r="R20" s="822">
        <f>164*8+2618+2618</f>
        <v>6548</v>
      </c>
      <c r="S20" s="822">
        <f t="shared" si="39"/>
        <v>5274.6776695216213</v>
      </c>
      <c r="T20" s="822">
        <f t="shared" si="40"/>
        <v>2637</v>
      </c>
      <c r="U20" s="824">
        <f>'[14]FY2012-13 Final'!K23*90%</f>
        <v>13587.300000000001</v>
      </c>
      <c r="V20" s="824">
        <f t="shared" si="32"/>
        <v>13587.300000000001</v>
      </c>
      <c r="W20" s="1489">
        <f>'[20]Oct midyear LA Connections'!E19</f>
        <v>5</v>
      </c>
      <c r="X20" s="824">
        <f t="shared" si="41"/>
        <v>67936.5</v>
      </c>
      <c r="Y20" s="1489">
        <f>'[20]Feb midyear LA Connections'!E19</f>
        <v>0</v>
      </c>
      <c r="Z20" s="824">
        <f t="shared" si="42"/>
        <v>0</v>
      </c>
      <c r="AA20" s="824">
        <f t="shared" si="43"/>
        <v>67936.5</v>
      </c>
      <c r="AB20" s="824">
        <f t="shared" si="44"/>
        <v>81523.8</v>
      </c>
      <c r="AC20" s="824">
        <f t="shared" si="45"/>
        <v>-204</v>
      </c>
      <c r="AD20" s="824">
        <f t="shared" si="46"/>
        <v>81319.8</v>
      </c>
      <c r="AE20" s="823">
        <v>0</v>
      </c>
      <c r="AF20" s="850">
        <f t="shared" si="47"/>
        <v>81319.8</v>
      </c>
      <c r="AG20" s="850">
        <f>1197*2+1198+1198+1198+1198+1198+1198+17928+17928</f>
        <v>45438</v>
      </c>
      <c r="AH20" s="850">
        <f t="shared" si="48"/>
        <v>35881.800000000003</v>
      </c>
      <c r="AI20" s="850">
        <f t="shared" si="49"/>
        <v>17941</v>
      </c>
      <c r="AJ20" s="825">
        <f t="shared" si="50"/>
        <v>93142.477669521628</v>
      </c>
      <c r="AK20" s="825">
        <f t="shared" si="51"/>
        <v>20578</v>
      </c>
      <c r="AM20" s="1543">
        <v>-36</v>
      </c>
      <c r="AN20" s="1543">
        <v>-168</v>
      </c>
      <c r="AP20" s="1543">
        <f t="shared" si="52"/>
        <v>0</v>
      </c>
    </row>
    <row r="21" spans="1:42" s="553" customFormat="1" ht="16.5" customHeight="1">
      <c r="A21" s="103">
        <v>17</v>
      </c>
      <c r="B21" s="805" t="s">
        <v>118</v>
      </c>
      <c r="C21" s="826">
        <f>'Table 8 2.1.12 MFP Funded'!W20</f>
        <v>40</v>
      </c>
      <c r="D21" s="827">
        <f>'Table 3 Levels 1&amp;2'!AL24*90%</f>
        <v>3056.1520356966321</v>
      </c>
      <c r="E21" s="827">
        <f t="shared" si="33"/>
        <v>122246.08142786528</v>
      </c>
      <c r="F21" s="828">
        <f>'Table 5B2_RSD_LA'!F7*90%</f>
        <v>721.32986175126121</v>
      </c>
      <c r="G21" s="828">
        <f t="shared" si="34"/>
        <v>28853.194470050446</v>
      </c>
      <c r="H21" s="828">
        <f t="shared" si="35"/>
        <v>151099.27589791574</v>
      </c>
      <c r="I21" s="828">
        <f>(('Table 3 Levels 1&amp;2'!AL24-D21)*C21)</f>
        <v>13582.897936429472</v>
      </c>
      <c r="J21" s="828">
        <f>'[1]Oct midyear LA Connections'!K20</f>
        <v>241758.84143666516</v>
      </c>
      <c r="K21" s="828">
        <f>'[1]Feb midyear LA Connections'!K20</f>
        <v>-52884.746564270506</v>
      </c>
      <c r="L21" s="828">
        <f t="shared" si="36"/>
        <v>188874.09487239463</v>
      </c>
      <c r="M21" s="828">
        <f t="shared" si="30"/>
        <v>339973.3707703104</v>
      </c>
      <c r="N21" s="828">
        <f t="shared" si="37"/>
        <v>-850</v>
      </c>
      <c r="O21" s="829">
        <f t="shared" si="31"/>
        <v>339123.3707703104</v>
      </c>
      <c r="P21" s="829">
        <v>0</v>
      </c>
      <c r="Q21" s="830">
        <f t="shared" si="38"/>
        <v>339123.3707703104</v>
      </c>
      <c r="R21" s="830">
        <f>12533*8+59530+59530</f>
        <v>219324</v>
      </c>
      <c r="S21" s="830">
        <f t="shared" si="39"/>
        <v>119799.3707703104</v>
      </c>
      <c r="T21" s="830">
        <f t="shared" si="40"/>
        <v>59900</v>
      </c>
      <c r="U21" s="832">
        <f>'[14]FY2012-13 Final'!K24*90%</f>
        <v>5940.9000000000005</v>
      </c>
      <c r="V21" s="832">
        <f t="shared" si="32"/>
        <v>237636.00000000003</v>
      </c>
      <c r="W21" s="1490">
        <f>'[20]Oct midyear LA Connections'!E20</f>
        <v>64</v>
      </c>
      <c r="X21" s="832">
        <f t="shared" si="41"/>
        <v>380217.60000000003</v>
      </c>
      <c r="Y21" s="1490">
        <f>'[20]Feb midyear LA Connections'!E20</f>
        <v>-28</v>
      </c>
      <c r="Z21" s="832">
        <f t="shared" si="42"/>
        <v>-83172.600000000006</v>
      </c>
      <c r="AA21" s="832">
        <f t="shared" si="43"/>
        <v>297045</v>
      </c>
      <c r="AB21" s="832">
        <f t="shared" si="44"/>
        <v>534681</v>
      </c>
      <c r="AC21" s="832">
        <f t="shared" si="45"/>
        <v>-1337</v>
      </c>
      <c r="AD21" s="832">
        <f t="shared" si="46"/>
        <v>533344</v>
      </c>
      <c r="AE21" s="831">
        <v>0</v>
      </c>
      <c r="AF21" s="851">
        <f t="shared" si="47"/>
        <v>533344</v>
      </c>
      <c r="AG21" s="851">
        <f>19430*8+93466+93466</f>
        <v>342372</v>
      </c>
      <c r="AH21" s="851">
        <f t="shared" si="48"/>
        <v>190972</v>
      </c>
      <c r="AI21" s="851">
        <f t="shared" si="49"/>
        <v>95486</v>
      </c>
      <c r="AJ21" s="833">
        <f t="shared" si="50"/>
        <v>872467.3707703104</v>
      </c>
      <c r="AK21" s="833">
        <f t="shared" si="51"/>
        <v>155386</v>
      </c>
      <c r="AM21" s="1543">
        <v>-584</v>
      </c>
      <c r="AN21" s="1543">
        <v>-743</v>
      </c>
      <c r="AP21" s="1543">
        <f t="shared" si="52"/>
        <v>-10</v>
      </c>
    </row>
    <row r="22" spans="1:42" s="553" customFormat="1" ht="16.5" customHeight="1">
      <c r="A22" s="103">
        <v>18</v>
      </c>
      <c r="B22" s="805" t="s">
        <v>119</v>
      </c>
      <c r="C22" s="826">
        <f>'Table 8 2.1.12 MFP Funded'!W21</f>
        <v>0</v>
      </c>
      <c r="D22" s="827">
        <f>'Table 3 Levels 1&amp;2'!AL25*90%</f>
        <v>5230.7258932102213</v>
      </c>
      <c r="E22" s="827">
        <f t="shared" si="33"/>
        <v>0</v>
      </c>
      <c r="F22" s="828">
        <f>'Table 4 Level 3'!P23*90%</f>
        <v>761.3549999999999</v>
      </c>
      <c r="G22" s="828">
        <f t="shared" si="34"/>
        <v>0</v>
      </c>
      <c r="H22" s="828">
        <f t="shared" si="35"/>
        <v>0</v>
      </c>
      <c r="I22" s="828">
        <f>(('Table 3 Levels 1&amp;2'!AL25-D22)*C22)</f>
        <v>0</v>
      </c>
      <c r="J22" s="828">
        <f>'[1]Oct midyear LA Connections'!K21</f>
        <v>0</v>
      </c>
      <c r="K22" s="828">
        <f>'[1]Feb midyear LA Connections'!K21</f>
        <v>0</v>
      </c>
      <c r="L22" s="828">
        <f t="shared" si="36"/>
        <v>0</v>
      </c>
      <c r="M22" s="828">
        <f t="shared" si="30"/>
        <v>0</v>
      </c>
      <c r="N22" s="828">
        <f t="shared" si="37"/>
        <v>0</v>
      </c>
      <c r="O22" s="829">
        <f t="shared" si="31"/>
        <v>0</v>
      </c>
      <c r="P22" s="829">
        <v>0</v>
      </c>
      <c r="Q22" s="830">
        <f t="shared" si="38"/>
        <v>0</v>
      </c>
      <c r="R22" s="830">
        <v>0</v>
      </c>
      <c r="S22" s="830">
        <f t="shared" si="39"/>
        <v>0</v>
      </c>
      <c r="T22" s="830">
        <f t="shared" si="40"/>
        <v>0</v>
      </c>
      <c r="U22" s="832">
        <f>'[14]FY2012-13 Final'!K25*90%</f>
        <v>1961.1000000000001</v>
      </c>
      <c r="V22" s="832">
        <f t="shared" si="32"/>
        <v>0</v>
      </c>
      <c r="W22" s="1490">
        <f>'[20]Oct midyear LA Connections'!E21</f>
        <v>0</v>
      </c>
      <c r="X22" s="832">
        <f t="shared" si="41"/>
        <v>0</v>
      </c>
      <c r="Y22" s="1490">
        <f>'[20]Feb midyear LA Connections'!E21</f>
        <v>0</v>
      </c>
      <c r="Z22" s="832">
        <f t="shared" si="42"/>
        <v>0</v>
      </c>
      <c r="AA22" s="832">
        <f t="shared" si="43"/>
        <v>0</v>
      </c>
      <c r="AB22" s="832">
        <f t="shared" si="44"/>
        <v>0</v>
      </c>
      <c r="AC22" s="832">
        <f t="shared" si="45"/>
        <v>0</v>
      </c>
      <c r="AD22" s="832">
        <f t="shared" si="46"/>
        <v>0</v>
      </c>
      <c r="AE22" s="831">
        <v>0</v>
      </c>
      <c r="AF22" s="851">
        <f t="shared" si="47"/>
        <v>0</v>
      </c>
      <c r="AG22" s="851">
        <v>0</v>
      </c>
      <c r="AH22" s="851">
        <f t="shared" si="48"/>
        <v>0</v>
      </c>
      <c r="AI22" s="851">
        <f t="shared" si="49"/>
        <v>0</v>
      </c>
      <c r="AJ22" s="833">
        <f t="shared" si="50"/>
        <v>0</v>
      </c>
      <c r="AK22" s="833">
        <f t="shared" si="51"/>
        <v>0</v>
      </c>
      <c r="AM22" s="1543">
        <v>0</v>
      </c>
      <c r="AN22" s="1543">
        <v>0</v>
      </c>
      <c r="AP22" s="1543">
        <f t="shared" si="52"/>
        <v>0</v>
      </c>
    </row>
    <row r="23" spans="1:42" s="553" customFormat="1" ht="16.5" customHeight="1">
      <c r="A23" s="103">
        <v>19</v>
      </c>
      <c r="B23" s="805" t="s">
        <v>120</v>
      </c>
      <c r="C23" s="826">
        <f>'Table 8 2.1.12 MFP Funded'!W22</f>
        <v>1</v>
      </c>
      <c r="D23" s="827">
        <f>'Table 3 Levels 1&amp;2'!AL26*90%</f>
        <v>4681.59188879257</v>
      </c>
      <c r="E23" s="827">
        <f t="shared" si="33"/>
        <v>4681.59188879257</v>
      </c>
      <c r="F23" s="828">
        <f>'Table 4 Level 3'!P24*90%</f>
        <v>814.88699999999994</v>
      </c>
      <c r="G23" s="828">
        <f t="shared" si="34"/>
        <v>814.88699999999994</v>
      </c>
      <c r="H23" s="828">
        <f t="shared" si="35"/>
        <v>5496.4788887925697</v>
      </c>
      <c r="I23" s="828">
        <f>(('Table 3 Levels 1&amp;2'!AL26-D23)*C23)</f>
        <v>520.17687653250778</v>
      </c>
      <c r="J23" s="828">
        <f>'[1]Oct midyear LA Connections'!K22</f>
        <v>0</v>
      </c>
      <c r="K23" s="828">
        <f>'[1]Feb midyear LA Connections'!K22</f>
        <v>13741.197221981423</v>
      </c>
      <c r="L23" s="828">
        <f t="shared" si="36"/>
        <v>13741.197221981423</v>
      </c>
      <c r="M23" s="828">
        <f t="shared" si="30"/>
        <v>19237.676110773995</v>
      </c>
      <c r="N23" s="828">
        <f t="shared" si="37"/>
        <v>-48</v>
      </c>
      <c r="O23" s="829">
        <f t="shared" si="31"/>
        <v>19189.676110773995</v>
      </c>
      <c r="P23" s="829">
        <v>0</v>
      </c>
      <c r="Q23" s="830">
        <f t="shared" si="38"/>
        <v>19189.676110773995</v>
      </c>
      <c r="R23" s="830">
        <f>458*8+3895+3895</f>
        <v>11454</v>
      </c>
      <c r="S23" s="830">
        <f t="shared" si="39"/>
        <v>7735.6761107739949</v>
      </c>
      <c r="T23" s="830">
        <f t="shared" si="40"/>
        <v>3868</v>
      </c>
      <c r="U23" s="832">
        <f>'[14]FY2012-13 Final'!K26*90%</f>
        <v>2462.4</v>
      </c>
      <c r="V23" s="832">
        <f t="shared" si="32"/>
        <v>2462.4</v>
      </c>
      <c r="W23" s="1490">
        <f>'[20]Oct midyear LA Connections'!E22</f>
        <v>0</v>
      </c>
      <c r="X23" s="832">
        <f t="shared" si="41"/>
        <v>0</v>
      </c>
      <c r="Y23" s="1490">
        <f>'[20]Feb midyear LA Connections'!E22</f>
        <v>5</v>
      </c>
      <c r="Z23" s="832">
        <f t="shared" si="42"/>
        <v>6156</v>
      </c>
      <c r="AA23" s="832">
        <f t="shared" si="43"/>
        <v>6156</v>
      </c>
      <c r="AB23" s="832">
        <f t="shared" si="44"/>
        <v>8618.4</v>
      </c>
      <c r="AC23" s="832">
        <f t="shared" si="45"/>
        <v>-22</v>
      </c>
      <c r="AD23" s="832">
        <f t="shared" si="46"/>
        <v>8596.4</v>
      </c>
      <c r="AE23" s="831">
        <v>0</v>
      </c>
      <c r="AF23" s="851">
        <f t="shared" si="47"/>
        <v>8596.4</v>
      </c>
      <c r="AG23" s="851">
        <f>170*8+1804+1804</f>
        <v>4968</v>
      </c>
      <c r="AH23" s="851">
        <f t="shared" si="48"/>
        <v>3628.3999999999996</v>
      </c>
      <c r="AI23" s="851">
        <f t="shared" si="49"/>
        <v>1814</v>
      </c>
      <c r="AJ23" s="833">
        <f t="shared" si="50"/>
        <v>27786.076110773996</v>
      </c>
      <c r="AK23" s="833">
        <f t="shared" si="51"/>
        <v>5682</v>
      </c>
      <c r="AM23" s="1543">
        <v>-5</v>
      </c>
      <c r="AN23" s="1543">
        <v>-16</v>
      </c>
      <c r="AP23" s="1543">
        <f t="shared" si="52"/>
        <v>-1</v>
      </c>
    </row>
    <row r="24" spans="1:42" s="553" customFormat="1" ht="16.5" customHeight="1">
      <c r="A24" s="104">
        <v>20</v>
      </c>
      <c r="B24" s="806" t="s">
        <v>121</v>
      </c>
      <c r="C24" s="834">
        <f>'Table 8 2.1.12 MFP Funded'!W23</f>
        <v>1</v>
      </c>
      <c r="D24" s="835">
        <f>'Table 3 Levels 1&amp;2'!AL27*90%</f>
        <v>4901.9459468598861</v>
      </c>
      <c r="E24" s="835">
        <f t="shared" si="33"/>
        <v>4901.9459468598861</v>
      </c>
      <c r="F24" s="836">
        <f>'Table 4 Level 3'!P25*90%</f>
        <v>527.553</v>
      </c>
      <c r="G24" s="836">
        <f t="shared" si="34"/>
        <v>527.553</v>
      </c>
      <c r="H24" s="836">
        <f t="shared" si="35"/>
        <v>5429.498946859886</v>
      </c>
      <c r="I24" s="836">
        <f>(('Table 3 Levels 1&amp;2'!AL27-D24)*C24)</f>
        <v>544.66066076220977</v>
      </c>
      <c r="J24" s="836">
        <f>'[1]Oct midyear LA Connections'!K23</f>
        <v>48865.490521738975</v>
      </c>
      <c r="K24" s="836">
        <f>'[1]Feb midyear LA Connections'!K23</f>
        <v>-16288.496840579657</v>
      </c>
      <c r="L24" s="836">
        <f t="shared" si="36"/>
        <v>32576.993681159318</v>
      </c>
      <c r="M24" s="836">
        <f t="shared" si="30"/>
        <v>38006.492628019201</v>
      </c>
      <c r="N24" s="836">
        <f t="shared" si="37"/>
        <v>-95</v>
      </c>
      <c r="O24" s="837">
        <f t="shared" si="31"/>
        <v>37911.492628019201</v>
      </c>
      <c r="P24" s="837">
        <v>0</v>
      </c>
      <c r="Q24" s="838">
        <f t="shared" si="38"/>
        <v>37911.492628019201</v>
      </c>
      <c r="R24" s="838">
        <f>451*8+8568+8568</f>
        <v>20744</v>
      </c>
      <c r="S24" s="838">
        <f t="shared" si="39"/>
        <v>17167.492628019201</v>
      </c>
      <c r="T24" s="838">
        <f t="shared" si="40"/>
        <v>8584</v>
      </c>
      <c r="U24" s="840">
        <f>'[14]FY2012-13 Final'!K27*90%</f>
        <v>2103.3000000000002</v>
      </c>
      <c r="V24" s="840">
        <f t="shared" si="32"/>
        <v>2103.3000000000002</v>
      </c>
      <c r="W24" s="1491">
        <f>'[20]Oct midyear LA Connections'!E23</f>
        <v>9</v>
      </c>
      <c r="X24" s="840">
        <f t="shared" si="41"/>
        <v>18929.7</v>
      </c>
      <c r="Y24" s="1491">
        <f>'[20]Feb midyear LA Connections'!E23</f>
        <v>-6</v>
      </c>
      <c r="Z24" s="840">
        <f t="shared" si="42"/>
        <v>-6309.9000000000005</v>
      </c>
      <c r="AA24" s="840">
        <f t="shared" si="43"/>
        <v>12619.8</v>
      </c>
      <c r="AB24" s="840">
        <f t="shared" si="44"/>
        <v>14723.099999999999</v>
      </c>
      <c r="AC24" s="840">
        <f t="shared" si="45"/>
        <v>-37</v>
      </c>
      <c r="AD24" s="840">
        <f t="shared" si="46"/>
        <v>14686.099999999999</v>
      </c>
      <c r="AE24" s="839">
        <v>0</v>
      </c>
      <c r="AF24" s="852">
        <f t="shared" si="47"/>
        <v>14686.099999999999</v>
      </c>
      <c r="AG24" s="852">
        <f>173*8+3321+3321</f>
        <v>8026</v>
      </c>
      <c r="AH24" s="852">
        <f t="shared" si="48"/>
        <v>6660.0999999999985</v>
      </c>
      <c r="AI24" s="852">
        <f t="shared" si="49"/>
        <v>3330</v>
      </c>
      <c r="AJ24" s="841">
        <f t="shared" si="50"/>
        <v>52597.5926280192</v>
      </c>
      <c r="AK24" s="841">
        <f t="shared" si="51"/>
        <v>11914</v>
      </c>
      <c r="AM24" s="1543">
        <v>-5</v>
      </c>
      <c r="AN24" s="1543">
        <v>-32</v>
      </c>
      <c r="AP24" s="1543">
        <f t="shared" si="52"/>
        <v>0</v>
      </c>
    </row>
    <row r="25" spans="1:42" s="553" customFormat="1" ht="16.5" customHeight="1">
      <c r="A25" s="103">
        <v>21</v>
      </c>
      <c r="B25" s="805" t="s">
        <v>122</v>
      </c>
      <c r="C25" s="818">
        <f>'Table 8 2.1.12 MFP Funded'!W24</f>
        <v>9</v>
      </c>
      <c r="D25" s="819">
        <f>'Table 3 Levels 1&amp;2'!AL28*90%</f>
        <v>5185.7818678665762</v>
      </c>
      <c r="E25" s="819">
        <f t="shared" si="33"/>
        <v>46672.036810799189</v>
      </c>
      <c r="F25" s="820">
        <f>'Table 4 Level 3'!P26*90%</f>
        <v>549.31500000000005</v>
      </c>
      <c r="G25" s="820">
        <f t="shared" si="34"/>
        <v>4943.8350000000009</v>
      </c>
      <c r="H25" s="820">
        <f t="shared" si="35"/>
        <v>51615.871810799188</v>
      </c>
      <c r="I25" s="820">
        <f>(('Table 3 Levels 1&amp;2'!AL28-D25)*C25)</f>
        <v>5185.7818678665762</v>
      </c>
      <c r="J25" s="820">
        <f>'[1]Oct midyear LA Connections'!K24</f>
        <v>5735.0968678665758</v>
      </c>
      <c r="K25" s="820">
        <f>'[1]Feb midyear LA Connections'!K24</f>
        <v>0</v>
      </c>
      <c r="L25" s="820">
        <f t="shared" si="36"/>
        <v>5735.0968678665758</v>
      </c>
      <c r="M25" s="820">
        <f t="shared" si="30"/>
        <v>57350.968678665762</v>
      </c>
      <c r="N25" s="820">
        <f t="shared" si="37"/>
        <v>-143</v>
      </c>
      <c r="O25" s="821">
        <f t="shared" si="31"/>
        <v>57207.968678665762</v>
      </c>
      <c r="P25" s="821">
        <v>0</v>
      </c>
      <c r="Q25" s="822">
        <f t="shared" si="38"/>
        <v>57207.968678665762</v>
      </c>
      <c r="R25" s="822">
        <f>4261+4262+4261+4261+4261+4261+4261+4261+5683+5683</f>
        <v>45455</v>
      </c>
      <c r="S25" s="822">
        <f t="shared" si="39"/>
        <v>11752.968678665762</v>
      </c>
      <c r="T25" s="822">
        <f t="shared" si="40"/>
        <v>5876</v>
      </c>
      <c r="U25" s="824">
        <f>'[14]FY2012-13 Final'!K28*90%</f>
        <v>2063.7000000000003</v>
      </c>
      <c r="V25" s="824">
        <f t="shared" si="32"/>
        <v>18573.300000000003</v>
      </c>
      <c r="W25" s="1489">
        <f>'[20]Oct midyear LA Connections'!E24</f>
        <v>1</v>
      </c>
      <c r="X25" s="824">
        <f t="shared" si="41"/>
        <v>2063.7000000000003</v>
      </c>
      <c r="Y25" s="1489">
        <f>'[20]Feb midyear LA Connections'!E24</f>
        <v>0</v>
      </c>
      <c r="Z25" s="824">
        <f t="shared" si="42"/>
        <v>0</v>
      </c>
      <c r="AA25" s="824">
        <f t="shared" si="43"/>
        <v>2063.7000000000003</v>
      </c>
      <c r="AB25" s="824">
        <f t="shared" si="44"/>
        <v>20637.000000000004</v>
      </c>
      <c r="AC25" s="824">
        <f t="shared" si="45"/>
        <v>-52</v>
      </c>
      <c r="AD25" s="824">
        <f t="shared" si="46"/>
        <v>20585.000000000004</v>
      </c>
      <c r="AE25" s="823">
        <v>0</v>
      </c>
      <c r="AF25" s="850">
        <f t="shared" si="47"/>
        <v>20585.000000000004</v>
      </c>
      <c r="AG25" s="850">
        <f>1512*8+1988+1988</f>
        <v>16072</v>
      </c>
      <c r="AH25" s="850">
        <f t="shared" si="48"/>
        <v>4513.0000000000036</v>
      </c>
      <c r="AI25" s="850">
        <f t="shared" si="49"/>
        <v>2257</v>
      </c>
      <c r="AJ25" s="825">
        <f t="shared" si="50"/>
        <v>77792.968678665769</v>
      </c>
      <c r="AK25" s="825">
        <f t="shared" si="51"/>
        <v>8133</v>
      </c>
      <c r="AM25" s="1543">
        <v>-45</v>
      </c>
      <c r="AN25" s="1543">
        <v>-5</v>
      </c>
      <c r="AP25" s="1543">
        <f t="shared" si="52"/>
        <v>-2</v>
      </c>
    </row>
    <row r="26" spans="1:42" s="553" customFormat="1" ht="16.5" customHeight="1">
      <c r="A26" s="103">
        <v>22</v>
      </c>
      <c r="B26" s="805" t="s">
        <v>123</v>
      </c>
      <c r="C26" s="826">
        <f>'Table 8 2.1.12 MFP Funded'!W25</f>
        <v>8</v>
      </c>
      <c r="D26" s="827">
        <f>'Table 3 Levels 1&amp;2'!AL29*90%</f>
        <v>5591.3339263484895</v>
      </c>
      <c r="E26" s="827">
        <f t="shared" si="33"/>
        <v>44730.671410787916</v>
      </c>
      <c r="F26" s="828">
        <f>'Table 4 Level 3'!P27*90%</f>
        <v>446.72400000000005</v>
      </c>
      <c r="G26" s="828">
        <f t="shared" si="34"/>
        <v>3573.7920000000004</v>
      </c>
      <c r="H26" s="828">
        <f t="shared" si="35"/>
        <v>48304.463410787917</v>
      </c>
      <c r="I26" s="828">
        <f>(('Table 3 Levels 1&amp;2'!AL29-D26)*C26)</f>
        <v>4970.0746011986557</v>
      </c>
      <c r="J26" s="828">
        <f>'[1]Oct midyear LA Connections'!K25</f>
        <v>6038.0579263484897</v>
      </c>
      <c r="K26" s="828">
        <f>'[1]Feb midyear LA Connections'!K25</f>
        <v>-12076.115852696979</v>
      </c>
      <c r="L26" s="828">
        <f t="shared" si="36"/>
        <v>-6038.0579263484897</v>
      </c>
      <c r="M26" s="828">
        <f t="shared" si="30"/>
        <v>42266.405484439427</v>
      </c>
      <c r="N26" s="828">
        <f t="shared" si="37"/>
        <v>-106</v>
      </c>
      <c r="O26" s="829">
        <f t="shared" si="31"/>
        <v>42160.405484439427</v>
      </c>
      <c r="P26" s="829">
        <v>0</v>
      </c>
      <c r="Q26" s="830">
        <f t="shared" si="38"/>
        <v>42160.405484439427</v>
      </c>
      <c r="R26" s="830">
        <f>4007*8+2505+2505</f>
        <v>37066</v>
      </c>
      <c r="S26" s="830">
        <f t="shared" si="39"/>
        <v>5094.4054844394268</v>
      </c>
      <c r="T26" s="830">
        <f t="shared" si="40"/>
        <v>2547</v>
      </c>
      <c r="U26" s="832">
        <f>'[14]FY2012-13 Final'!K29*90%</f>
        <v>1270.8</v>
      </c>
      <c r="V26" s="832">
        <f t="shared" si="32"/>
        <v>10166.4</v>
      </c>
      <c r="W26" s="1490">
        <f>'[20]Oct midyear LA Connections'!E25</f>
        <v>1</v>
      </c>
      <c r="X26" s="832">
        <f t="shared" si="41"/>
        <v>1270.8</v>
      </c>
      <c r="Y26" s="1490">
        <f>'[20]Feb midyear LA Connections'!E25</f>
        <v>-4</v>
      </c>
      <c r="Z26" s="832">
        <f t="shared" si="42"/>
        <v>-2541.6</v>
      </c>
      <c r="AA26" s="832">
        <f t="shared" si="43"/>
        <v>-1270.8</v>
      </c>
      <c r="AB26" s="832">
        <f t="shared" si="44"/>
        <v>8895.6</v>
      </c>
      <c r="AC26" s="832">
        <f t="shared" si="45"/>
        <v>-22</v>
      </c>
      <c r="AD26" s="832">
        <f t="shared" si="46"/>
        <v>8873.6</v>
      </c>
      <c r="AE26" s="831">
        <v>0</v>
      </c>
      <c r="AF26" s="851">
        <f t="shared" si="47"/>
        <v>8873.6</v>
      </c>
      <c r="AG26" s="851">
        <f>865*8+485+485</f>
        <v>7890</v>
      </c>
      <c r="AH26" s="851">
        <f t="shared" si="48"/>
        <v>983.60000000000036</v>
      </c>
      <c r="AI26" s="851">
        <f t="shared" si="49"/>
        <v>492</v>
      </c>
      <c r="AJ26" s="833">
        <f t="shared" si="50"/>
        <v>51034.005484439425</v>
      </c>
      <c r="AK26" s="833">
        <f t="shared" si="51"/>
        <v>3039</v>
      </c>
      <c r="AM26" s="1543">
        <v>-26</v>
      </c>
      <c r="AN26" s="1543">
        <v>4</v>
      </c>
      <c r="AP26" s="1543">
        <f t="shared" si="52"/>
        <v>0</v>
      </c>
    </row>
    <row r="27" spans="1:42" s="553" customFormat="1" ht="16.5" customHeight="1">
      <c r="A27" s="103">
        <v>23</v>
      </c>
      <c r="B27" s="805" t="s">
        <v>124</v>
      </c>
      <c r="C27" s="826">
        <f>'Table 8 2.1.12 MFP Funded'!W26</f>
        <v>11</v>
      </c>
      <c r="D27" s="827">
        <f>'Table 3 Levels 1&amp;2'!AL30*90%</f>
        <v>4342.0567352432536</v>
      </c>
      <c r="E27" s="827">
        <f t="shared" si="33"/>
        <v>47762.624087675787</v>
      </c>
      <c r="F27" s="828">
        <f>'Table 4 Level 3'!P28*90%</f>
        <v>619.72200000000009</v>
      </c>
      <c r="G27" s="828">
        <f t="shared" si="34"/>
        <v>6816.9420000000009</v>
      </c>
      <c r="H27" s="828">
        <f t="shared" si="35"/>
        <v>54579.56608767579</v>
      </c>
      <c r="I27" s="828">
        <f>(('Table 3 Levels 1&amp;2'!AL30-D27)*C27)</f>
        <v>5306.9582319639721</v>
      </c>
      <c r="J27" s="828">
        <f>'[1]Oct midyear LA Connections'!K26</f>
        <v>99235.574704865066</v>
      </c>
      <c r="K27" s="828">
        <f>'[1]Feb midyear LA Connections'!K26</f>
        <v>-32251.561779081145</v>
      </c>
      <c r="L27" s="828">
        <f t="shared" si="36"/>
        <v>66984.012925783929</v>
      </c>
      <c r="M27" s="828">
        <f t="shared" si="30"/>
        <v>121563.57901345972</v>
      </c>
      <c r="N27" s="828">
        <f t="shared" si="37"/>
        <v>-304</v>
      </c>
      <c r="O27" s="829">
        <f t="shared" si="31"/>
        <v>121259.57901345972</v>
      </c>
      <c r="P27" s="829">
        <v>0</v>
      </c>
      <c r="Q27" s="830">
        <f t="shared" si="38"/>
        <v>121259.57901345972</v>
      </c>
      <c r="R27" s="830">
        <f>4524*8+21182+21182</f>
        <v>78556</v>
      </c>
      <c r="S27" s="830">
        <f t="shared" si="39"/>
        <v>42703.579013459719</v>
      </c>
      <c r="T27" s="830">
        <f t="shared" si="40"/>
        <v>21352</v>
      </c>
      <c r="U27" s="832">
        <f>'[14]FY2012-13 Final'!K30*90%</f>
        <v>2950.2000000000003</v>
      </c>
      <c r="V27" s="832">
        <f t="shared" si="32"/>
        <v>32452.200000000004</v>
      </c>
      <c r="W27" s="1490">
        <f>'[20]Oct midyear LA Connections'!E26</f>
        <v>20</v>
      </c>
      <c r="X27" s="832">
        <f t="shared" si="41"/>
        <v>59004.000000000007</v>
      </c>
      <c r="Y27" s="1490">
        <f>'[20]Feb midyear LA Connections'!E26</f>
        <v>-13</v>
      </c>
      <c r="Z27" s="832">
        <f t="shared" si="42"/>
        <v>-19176.300000000003</v>
      </c>
      <c r="AA27" s="832">
        <f t="shared" si="43"/>
        <v>39827.700000000004</v>
      </c>
      <c r="AB27" s="832">
        <f t="shared" si="44"/>
        <v>72279.900000000009</v>
      </c>
      <c r="AC27" s="832">
        <f t="shared" si="45"/>
        <v>-181</v>
      </c>
      <c r="AD27" s="832">
        <f t="shared" si="46"/>
        <v>72098.900000000009</v>
      </c>
      <c r="AE27" s="831">
        <v>0</v>
      </c>
      <c r="AF27" s="851">
        <f t="shared" si="47"/>
        <v>72098.900000000009</v>
      </c>
      <c r="AG27" s="851">
        <f>2712*2+2711+2711+2711+2711+2711+2711+12492+12492</f>
        <v>46674</v>
      </c>
      <c r="AH27" s="851">
        <f t="shared" si="48"/>
        <v>25424.900000000009</v>
      </c>
      <c r="AI27" s="851">
        <f t="shared" si="49"/>
        <v>12712</v>
      </c>
      <c r="AJ27" s="833">
        <f t="shared" si="50"/>
        <v>193358.47901345973</v>
      </c>
      <c r="AK27" s="833">
        <f t="shared" si="51"/>
        <v>34064</v>
      </c>
      <c r="AM27" s="1543">
        <v>-82</v>
      </c>
      <c r="AN27" s="1543">
        <v>-98</v>
      </c>
      <c r="AP27" s="1543">
        <f t="shared" si="52"/>
        <v>-1</v>
      </c>
    </row>
    <row r="28" spans="1:42" s="553" customFormat="1" ht="16.5" customHeight="1">
      <c r="A28" s="103">
        <v>24</v>
      </c>
      <c r="B28" s="805" t="s">
        <v>125</v>
      </c>
      <c r="C28" s="826">
        <f>'Table 8 2.1.12 MFP Funded'!W27</f>
        <v>1</v>
      </c>
      <c r="D28" s="827">
        <f>'Table 3 Levels 1&amp;2'!AL31*90%</f>
        <v>2389.0593603220755</v>
      </c>
      <c r="E28" s="827">
        <f t="shared" si="33"/>
        <v>2389.0593603220755</v>
      </c>
      <c r="F28" s="828">
        <f>'Table 4 Level 3'!P29*90%</f>
        <v>768.82499999999993</v>
      </c>
      <c r="G28" s="828">
        <f t="shared" si="34"/>
        <v>768.82499999999993</v>
      </c>
      <c r="H28" s="828">
        <f t="shared" si="35"/>
        <v>3157.8843603220753</v>
      </c>
      <c r="I28" s="828">
        <f>(('Table 3 Levels 1&amp;2'!AL31-D28)*C28)</f>
        <v>265.45104003578626</v>
      </c>
      <c r="J28" s="828">
        <f>'[1]Oct midyear LA Connections'!K27</f>
        <v>9473.6530809662254</v>
      </c>
      <c r="K28" s="828">
        <f>'[1]Feb midyear LA Connections'!K27</f>
        <v>-4736.8265404831127</v>
      </c>
      <c r="L28" s="828">
        <f t="shared" si="36"/>
        <v>4736.8265404831127</v>
      </c>
      <c r="M28" s="828">
        <f t="shared" si="30"/>
        <v>7894.7109008051884</v>
      </c>
      <c r="N28" s="828">
        <f t="shared" si="37"/>
        <v>-20</v>
      </c>
      <c r="O28" s="829">
        <f t="shared" si="31"/>
        <v>7874.7109008051884</v>
      </c>
      <c r="P28" s="829">
        <v>0</v>
      </c>
      <c r="Q28" s="830">
        <f t="shared" si="38"/>
        <v>7874.7109008051884</v>
      </c>
      <c r="R28" s="830">
        <f>262*8+1442+1442</f>
        <v>4980</v>
      </c>
      <c r="S28" s="830">
        <f t="shared" si="39"/>
        <v>2894.7109008051884</v>
      </c>
      <c r="T28" s="830">
        <f t="shared" si="40"/>
        <v>1447</v>
      </c>
      <c r="U28" s="832">
        <f>'[14]FY2012-13 Final'!K31*90%</f>
        <v>8379.9</v>
      </c>
      <c r="V28" s="832">
        <f t="shared" si="32"/>
        <v>8379.9</v>
      </c>
      <c r="W28" s="1490">
        <f>'[20]Oct midyear LA Connections'!E27</f>
        <v>3</v>
      </c>
      <c r="X28" s="832">
        <f t="shared" si="41"/>
        <v>25139.699999999997</v>
      </c>
      <c r="Y28" s="1490">
        <f>'[20]Feb midyear LA Connections'!E27</f>
        <v>-3</v>
      </c>
      <c r="Z28" s="832">
        <f t="shared" si="42"/>
        <v>-12569.849999999999</v>
      </c>
      <c r="AA28" s="832">
        <f t="shared" si="43"/>
        <v>12569.849999999999</v>
      </c>
      <c r="AB28" s="832">
        <f t="shared" si="44"/>
        <v>20949.75</v>
      </c>
      <c r="AC28" s="832">
        <f t="shared" si="45"/>
        <v>-52</v>
      </c>
      <c r="AD28" s="832">
        <f t="shared" si="46"/>
        <v>20897.75</v>
      </c>
      <c r="AE28" s="831">
        <v>0</v>
      </c>
      <c r="AF28" s="851">
        <f t="shared" si="47"/>
        <v>20897.75</v>
      </c>
      <c r="AG28" s="851">
        <f>656*8+3895+3895</f>
        <v>13038</v>
      </c>
      <c r="AH28" s="851">
        <f t="shared" si="48"/>
        <v>7859.75</v>
      </c>
      <c r="AI28" s="851">
        <f t="shared" si="49"/>
        <v>3930</v>
      </c>
      <c r="AJ28" s="833">
        <f t="shared" si="50"/>
        <v>28772.460900805188</v>
      </c>
      <c r="AK28" s="833">
        <f t="shared" si="51"/>
        <v>5377</v>
      </c>
      <c r="AM28" s="1543">
        <v>-20</v>
      </c>
      <c r="AN28" s="1543">
        <v>-32</v>
      </c>
      <c r="AP28" s="1543">
        <f t="shared" si="52"/>
        <v>0</v>
      </c>
    </row>
    <row r="29" spans="1:42" s="553" customFormat="1" ht="16.5" customHeight="1">
      <c r="A29" s="104">
        <v>25</v>
      </c>
      <c r="B29" s="806" t="s">
        <v>126</v>
      </c>
      <c r="C29" s="834">
        <f>'Table 8 2.1.12 MFP Funded'!W28</f>
        <v>0</v>
      </c>
      <c r="D29" s="835">
        <f>'Table 3 Levels 1&amp;2'!AL32*90%</f>
        <v>3488.9946391541243</v>
      </c>
      <c r="E29" s="835">
        <f t="shared" si="33"/>
        <v>0</v>
      </c>
      <c r="F29" s="836">
        <f>'Table 4 Level 3'!P30*90%</f>
        <v>588.35700000000008</v>
      </c>
      <c r="G29" s="836">
        <f t="shared" si="34"/>
        <v>0</v>
      </c>
      <c r="H29" s="836">
        <f t="shared" si="35"/>
        <v>0</v>
      </c>
      <c r="I29" s="836">
        <f>(('Table 3 Levels 1&amp;2'!AL32-D29)*C29)</f>
        <v>0</v>
      </c>
      <c r="J29" s="836">
        <f>'[1]Oct midyear LA Connections'!K28</f>
        <v>28541.461474078871</v>
      </c>
      <c r="K29" s="836">
        <f>'[1]Feb midyear LA Connections'!K28</f>
        <v>-12232.054917462374</v>
      </c>
      <c r="L29" s="836">
        <f t="shared" si="36"/>
        <v>16309.406556616497</v>
      </c>
      <c r="M29" s="836">
        <f t="shared" si="30"/>
        <v>16309.406556616497</v>
      </c>
      <c r="N29" s="836">
        <f t="shared" si="37"/>
        <v>-41</v>
      </c>
      <c r="O29" s="837">
        <f t="shared" si="31"/>
        <v>16268.406556616497</v>
      </c>
      <c r="P29" s="837">
        <v>0</v>
      </c>
      <c r="Q29" s="838">
        <f t="shared" si="38"/>
        <v>16268.406556616497</v>
      </c>
      <c r="R29" s="838">
        <f>4042*2</f>
        <v>8084</v>
      </c>
      <c r="S29" s="838">
        <f t="shared" si="39"/>
        <v>8184.4065566164973</v>
      </c>
      <c r="T29" s="838">
        <f t="shared" si="40"/>
        <v>4092</v>
      </c>
      <c r="U29" s="840">
        <f>'[14]FY2012-13 Final'!K32*90%</f>
        <v>4824.9000000000005</v>
      </c>
      <c r="V29" s="840">
        <f t="shared" si="32"/>
        <v>0</v>
      </c>
      <c r="W29" s="1491">
        <f>'[20]Oct midyear LA Connections'!E28</f>
        <v>7</v>
      </c>
      <c r="X29" s="840">
        <f t="shared" si="41"/>
        <v>33774.300000000003</v>
      </c>
      <c r="Y29" s="1491">
        <f>'[20]Feb midyear LA Connections'!E28</f>
        <v>-6</v>
      </c>
      <c r="Z29" s="840">
        <f t="shared" si="42"/>
        <v>-14474.7</v>
      </c>
      <c r="AA29" s="840">
        <f t="shared" si="43"/>
        <v>19299.600000000002</v>
      </c>
      <c r="AB29" s="840">
        <f t="shared" si="44"/>
        <v>19299.600000000002</v>
      </c>
      <c r="AC29" s="840">
        <f t="shared" si="45"/>
        <v>-48</v>
      </c>
      <c r="AD29" s="840">
        <f t="shared" si="46"/>
        <v>19251.600000000002</v>
      </c>
      <c r="AE29" s="839">
        <v>0</v>
      </c>
      <c r="AF29" s="852">
        <f t="shared" si="47"/>
        <v>19251.600000000002</v>
      </c>
      <c r="AG29" s="852">
        <f>4804+4804</f>
        <v>9608</v>
      </c>
      <c r="AH29" s="852">
        <f t="shared" si="48"/>
        <v>9643.6000000000022</v>
      </c>
      <c r="AI29" s="852">
        <f t="shared" si="49"/>
        <v>4822</v>
      </c>
      <c r="AJ29" s="841">
        <f t="shared" si="50"/>
        <v>35520.006556616499</v>
      </c>
      <c r="AK29" s="841">
        <f t="shared" si="51"/>
        <v>8914</v>
      </c>
      <c r="AM29" s="1543">
        <v>0</v>
      </c>
      <c r="AN29" s="1543">
        <v>-48</v>
      </c>
      <c r="AP29" s="1543">
        <f t="shared" si="52"/>
        <v>0</v>
      </c>
    </row>
    <row r="30" spans="1:42" s="553" customFormat="1" ht="16.5" customHeight="1">
      <c r="A30" s="103">
        <v>26</v>
      </c>
      <c r="B30" s="805" t="s">
        <v>127</v>
      </c>
      <c r="C30" s="818">
        <f>'Table 8 2.1.12 MFP Funded'!W29</f>
        <v>39</v>
      </c>
      <c r="D30" s="819">
        <f>'Table 3 Levels 1&amp;2'!AL33*90%</f>
        <v>2817.8178319924173</v>
      </c>
      <c r="E30" s="819">
        <f t="shared" si="33"/>
        <v>109894.89544770427</v>
      </c>
      <c r="F30" s="820">
        <f>'Table 4 Level 3'!P31*90%</f>
        <v>753.14700000000005</v>
      </c>
      <c r="G30" s="820">
        <f t="shared" si="34"/>
        <v>29372.733</v>
      </c>
      <c r="H30" s="820">
        <f t="shared" si="35"/>
        <v>139267.62844770428</v>
      </c>
      <c r="I30" s="820">
        <f>(('Table 3 Levels 1&amp;2'!AL33-D30)*C30)</f>
        <v>12210.543938633806</v>
      </c>
      <c r="J30" s="820">
        <f>'[1]Oct midyear LA Connections'!K29</f>
        <v>239254.64374349196</v>
      </c>
      <c r="K30" s="820">
        <f>'[1]Feb midyear LA Connections'!K29</f>
        <v>-14283.859327969669</v>
      </c>
      <c r="L30" s="820">
        <f t="shared" si="36"/>
        <v>224970.7844155223</v>
      </c>
      <c r="M30" s="820">
        <f t="shared" si="30"/>
        <v>364238.41286322661</v>
      </c>
      <c r="N30" s="820">
        <f t="shared" si="37"/>
        <v>-911</v>
      </c>
      <c r="O30" s="821">
        <f t="shared" si="31"/>
        <v>363327.41286322661</v>
      </c>
      <c r="P30" s="821">
        <v>0</v>
      </c>
      <c r="Q30" s="822">
        <f t="shared" si="38"/>
        <v>363327.41286322661</v>
      </c>
      <c r="R30" s="822">
        <f>11620*2+11621+11621+11621+11621+11621+11621+67934+67934</f>
        <v>228834</v>
      </c>
      <c r="S30" s="822">
        <f t="shared" si="39"/>
        <v>134493.41286322661</v>
      </c>
      <c r="T30" s="822">
        <f t="shared" si="40"/>
        <v>67247</v>
      </c>
      <c r="U30" s="824">
        <f>'[14]FY2012-13 Final'!K33*90%</f>
        <v>4681.8</v>
      </c>
      <c r="V30" s="824">
        <f t="shared" si="32"/>
        <v>182590.2</v>
      </c>
      <c r="W30" s="1489">
        <f>'[20]Oct midyear LA Connections'!E29</f>
        <v>67</v>
      </c>
      <c r="X30" s="824">
        <f t="shared" si="41"/>
        <v>313680.60000000003</v>
      </c>
      <c r="Y30" s="1489">
        <f>'[20]Feb midyear LA Connections'!E29</f>
        <v>-8</v>
      </c>
      <c r="Z30" s="824">
        <f t="shared" si="42"/>
        <v>-18727.2</v>
      </c>
      <c r="AA30" s="824">
        <f t="shared" si="43"/>
        <v>294953.40000000002</v>
      </c>
      <c r="AB30" s="824">
        <f t="shared" si="44"/>
        <v>477543.60000000003</v>
      </c>
      <c r="AC30" s="824">
        <f t="shared" si="45"/>
        <v>-1194</v>
      </c>
      <c r="AD30" s="824">
        <f t="shared" si="46"/>
        <v>476349.60000000003</v>
      </c>
      <c r="AE30" s="823">
        <v>0</v>
      </c>
      <c r="AF30" s="850">
        <f t="shared" si="47"/>
        <v>476349.60000000003</v>
      </c>
      <c r="AG30" s="850">
        <f>15163*8+86427+86427</f>
        <v>294158</v>
      </c>
      <c r="AH30" s="850">
        <f t="shared" si="48"/>
        <v>182191.60000000003</v>
      </c>
      <c r="AI30" s="850">
        <f t="shared" si="49"/>
        <v>91096</v>
      </c>
      <c r="AJ30" s="825">
        <f t="shared" si="50"/>
        <v>839677.0128632267</v>
      </c>
      <c r="AK30" s="825">
        <f t="shared" si="51"/>
        <v>158343</v>
      </c>
      <c r="AM30" s="1543">
        <v>-456</v>
      </c>
      <c r="AN30" s="1543">
        <v>-714</v>
      </c>
      <c r="AP30" s="1543">
        <f t="shared" si="52"/>
        <v>-24</v>
      </c>
    </row>
    <row r="31" spans="1:42" s="553" customFormat="1" ht="16.5" customHeight="1">
      <c r="A31" s="103">
        <v>27</v>
      </c>
      <c r="B31" s="805" t="s">
        <v>128</v>
      </c>
      <c r="C31" s="826">
        <f>'Table 8 2.1.12 MFP Funded'!W30</f>
        <v>3</v>
      </c>
      <c r="D31" s="827">
        <f>'Table 3 Levels 1&amp;2'!AL34*90%</f>
        <v>5105.9788139123302</v>
      </c>
      <c r="E31" s="827">
        <f t="shared" si="33"/>
        <v>15317.936441736991</v>
      </c>
      <c r="F31" s="828">
        <f>'Table 4 Level 3'!P32*90%</f>
        <v>623.75400000000002</v>
      </c>
      <c r="G31" s="828">
        <f t="shared" si="34"/>
        <v>1871.2620000000002</v>
      </c>
      <c r="H31" s="828">
        <f t="shared" si="35"/>
        <v>17189.198441736989</v>
      </c>
      <c r="I31" s="828">
        <f>(('Table 3 Levels 1&amp;2'!AL34-D31)*C31)</f>
        <v>1701.9929379707764</v>
      </c>
      <c r="J31" s="828">
        <f>'[1]Oct midyear LA Connections'!K30</f>
        <v>5729.7328139123301</v>
      </c>
      <c r="K31" s="828">
        <f>'[1]Feb midyear LA Connections'!K30</f>
        <v>8594.5992208684947</v>
      </c>
      <c r="L31" s="828">
        <f t="shared" si="36"/>
        <v>14324.332034780826</v>
      </c>
      <c r="M31" s="828">
        <f t="shared" si="30"/>
        <v>31513.530476517815</v>
      </c>
      <c r="N31" s="828">
        <f t="shared" si="37"/>
        <v>-79</v>
      </c>
      <c r="O31" s="829">
        <f t="shared" si="31"/>
        <v>31434.530476517815</v>
      </c>
      <c r="P31" s="829">
        <v>0</v>
      </c>
      <c r="Q31" s="830">
        <f t="shared" si="38"/>
        <v>31434.530476517815</v>
      </c>
      <c r="R31" s="830">
        <f>1424*8+4986+4986</f>
        <v>21364</v>
      </c>
      <c r="S31" s="830">
        <f t="shared" si="39"/>
        <v>10070.530476517815</v>
      </c>
      <c r="T31" s="830">
        <f t="shared" si="40"/>
        <v>5035</v>
      </c>
      <c r="U31" s="832">
        <f>'[14]FY2012-13 Final'!K34*90%</f>
        <v>2783.7000000000003</v>
      </c>
      <c r="V31" s="832">
        <f t="shared" si="32"/>
        <v>8351.1</v>
      </c>
      <c r="W31" s="1490">
        <f>'[20]Oct midyear LA Connections'!E30</f>
        <v>1</v>
      </c>
      <c r="X31" s="832">
        <f t="shared" si="41"/>
        <v>2783.7000000000003</v>
      </c>
      <c r="Y31" s="1490">
        <f>'[20]Feb midyear LA Connections'!E30</f>
        <v>3</v>
      </c>
      <c r="Z31" s="832">
        <f t="shared" si="42"/>
        <v>4175.55</v>
      </c>
      <c r="AA31" s="832">
        <f t="shared" si="43"/>
        <v>6959.25</v>
      </c>
      <c r="AB31" s="832">
        <f t="shared" si="44"/>
        <v>15310.35</v>
      </c>
      <c r="AC31" s="832">
        <f t="shared" si="45"/>
        <v>-38</v>
      </c>
      <c r="AD31" s="832">
        <f t="shared" si="46"/>
        <v>15272.35</v>
      </c>
      <c r="AE31" s="831">
        <v>0</v>
      </c>
      <c r="AF31" s="851">
        <f t="shared" si="47"/>
        <v>15272.35</v>
      </c>
      <c r="AG31" s="851">
        <f>690*8+2436+2436</f>
        <v>10392</v>
      </c>
      <c r="AH31" s="851">
        <f t="shared" si="48"/>
        <v>4880.3500000000004</v>
      </c>
      <c r="AI31" s="851">
        <f t="shared" si="49"/>
        <v>2440</v>
      </c>
      <c r="AJ31" s="833">
        <f t="shared" si="50"/>
        <v>46706.880476517814</v>
      </c>
      <c r="AK31" s="833">
        <f t="shared" si="51"/>
        <v>7475</v>
      </c>
      <c r="AM31" s="1543">
        <v>-21</v>
      </c>
      <c r="AN31" s="1543">
        <v>-17</v>
      </c>
      <c r="AP31" s="1543">
        <f t="shared" si="52"/>
        <v>0</v>
      </c>
    </row>
    <row r="32" spans="1:42" s="553" customFormat="1" ht="16.5" customHeight="1">
      <c r="A32" s="103">
        <v>28</v>
      </c>
      <c r="B32" s="805" t="s">
        <v>129</v>
      </c>
      <c r="C32" s="826">
        <f>'Table 8 2.1.12 MFP Funded'!W31</f>
        <v>23</v>
      </c>
      <c r="D32" s="827">
        <f>'Table 3 Levels 1&amp;2'!AL35*90%</f>
        <v>2903.1265428383563</v>
      </c>
      <c r="E32" s="827">
        <f t="shared" si="33"/>
        <v>66771.910485282191</v>
      </c>
      <c r="F32" s="828">
        <f>'Table 4 Level 3'!P33*90%</f>
        <v>624.96</v>
      </c>
      <c r="G32" s="828">
        <f t="shared" si="34"/>
        <v>14374.080000000002</v>
      </c>
      <c r="H32" s="828">
        <f t="shared" si="35"/>
        <v>81145.990485282193</v>
      </c>
      <c r="I32" s="828">
        <f>(('Table 3 Levels 1&amp;2'!AL35-D32)*C32)</f>
        <v>7419.1011650313521</v>
      </c>
      <c r="J32" s="828">
        <f>'[1]Oct midyear LA Connections'!K31</f>
        <v>49393.211599736991</v>
      </c>
      <c r="K32" s="828">
        <f>'[1]Feb midyear LA Connections'!K31</f>
        <v>15876.389442772603</v>
      </c>
      <c r="L32" s="828">
        <f t="shared" si="36"/>
        <v>65269.601042509596</v>
      </c>
      <c r="M32" s="828">
        <f t="shared" si="30"/>
        <v>146415.59152779178</v>
      </c>
      <c r="N32" s="828">
        <f t="shared" si="37"/>
        <v>-366</v>
      </c>
      <c r="O32" s="829">
        <f t="shared" si="31"/>
        <v>146049.59152779178</v>
      </c>
      <c r="P32" s="829">
        <v>0</v>
      </c>
      <c r="Q32" s="830">
        <f t="shared" si="38"/>
        <v>146049.59152779178</v>
      </c>
      <c r="R32" s="830">
        <f>6702*8+22874+22874</f>
        <v>99364</v>
      </c>
      <c r="S32" s="830">
        <f t="shared" si="39"/>
        <v>46685.591527791781</v>
      </c>
      <c r="T32" s="830">
        <f t="shared" si="40"/>
        <v>23343</v>
      </c>
      <c r="U32" s="832">
        <f>'[14]FY2012-13 Final'!K35*90%</f>
        <v>4804.2</v>
      </c>
      <c r="V32" s="832">
        <f t="shared" si="32"/>
        <v>110496.59999999999</v>
      </c>
      <c r="W32" s="1490">
        <f>'[20]Oct midyear LA Connections'!E31</f>
        <v>14</v>
      </c>
      <c r="X32" s="832">
        <f t="shared" si="41"/>
        <v>67258.8</v>
      </c>
      <c r="Y32" s="1490">
        <f>'[20]Feb midyear LA Connections'!E31</f>
        <v>9</v>
      </c>
      <c r="Z32" s="832">
        <f t="shared" si="42"/>
        <v>21618.899999999998</v>
      </c>
      <c r="AA32" s="832">
        <f t="shared" si="43"/>
        <v>88877.7</v>
      </c>
      <c r="AB32" s="832">
        <f t="shared" si="44"/>
        <v>199374.3</v>
      </c>
      <c r="AC32" s="832">
        <f t="shared" si="45"/>
        <v>-498</v>
      </c>
      <c r="AD32" s="832">
        <f t="shared" si="46"/>
        <v>198876.3</v>
      </c>
      <c r="AE32" s="831">
        <v>0</v>
      </c>
      <c r="AF32" s="851">
        <f t="shared" si="47"/>
        <v>198876.3</v>
      </c>
      <c r="AG32" s="851">
        <f>8745+8744+8745+8745+8745+8745+8745+8745+32090+32090</f>
        <v>134139</v>
      </c>
      <c r="AH32" s="851">
        <f t="shared" si="48"/>
        <v>64737.299999999988</v>
      </c>
      <c r="AI32" s="851">
        <f t="shared" si="49"/>
        <v>32369</v>
      </c>
      <c r="AJ32" s="833">
        <f t="shared" si="50"/>
        <v>344925.89152779174</v>
      </c>
      <c r="AK32" s="833">
        <f t="shared" si="51"/>
        <v>55712</v>
      </c>
      <c r="AM32" s="1543">
        <v>-263</v>
      </c>
      <c r="AN32" s="1543">
        <v>-234</v>
      </c>
      <c r="AP32" s="1543">
        <f t="shared" si="52"/>
        <v>-1</v>
      </c>
    </row>
    <row r="33" spans="1:42" s="553" customFormat="1" ht="16.5" customHeight="1">
      <c r="A33" s="103">
        <v>29</v>
      </c>
      <c r="B33" s="805" t="s">
        <v>130</v>
      </c>
      <c r="C33" s="826">
        <f>'Table 8 2.1.12 MFP Funded'!W32</f>
        <v>5</v>
      </c>
      <c r="D33" s="827">
        <f>'Table 3 Levels 1&amp;2'!AL36*90%</f>
        <v>3560.2066933546671</v>
      </c>
      <c r="E33" s="827">
        <f t="shared" si="33"/>
        <v>17801.033466773337</v>
      </c>
      <c r="F33" s="828">
        <f>'Table 4 Level 3'!P34*90%</f>
        <v>679.45499999999993</v>
      </c>
      <c r="G33" s="828">
        <f t="shared" si="34"/>
        <v>3397.2749999999996</v>
      </c>
      <c r="H33" s="828">
        <f t="shared" si="35"/>
        <v>21198.308466773335</v>
      </c>
      <c r="I33" s="828">
        <f>(('Table 3 Levels 1&amp;2'!AL36-D33)*C33)</f>
        <v>1977.89260741926</v>
      </c>
      <c r="J33" s="828">
        <f>'[1]Oct midyear LA Connections'!K32</f>
        <v>76313.910480384002</v>
      </c>
      <c r="K33" s="828">
        <f>'[1]Feb midyear LA Connections'!K32</f>
        <v>-31797.462700159998</v>
      </c>
      <c r="L33" s="828">
        <f t="shared" si="36"/>
        <v>44516.447780224</v>
      </c>
      <c r="M33" s="828">
        <f t="shared" si="30"/>
        <v>65714.756246997335</v>
      </c>
      <c r="N33" s="828">
        <f t="shared" si="37"/>
        <v>-164</v>
      </c>
      <c r="O33" s="829">
        <f t="shared" si="31"/>
        <v>65550.756246997335</v>
      </c>
      <c r="P33" s="829">
        <v>0</v>
      </c>
      <c r="Q33" s="830">
        <f t="shared" si="38"/>
        <v>65550.756246997335</v>
      </c>
      <c r="R33" s="830">
        <f>1758*8+12834+12834</f>
        <v>39732</v>
      </c>
      <c r="S33" s="830">
        <f t="shared" si="39"/>
        <v>25818.756246997335</v>
      </c>
      <c r="T33" s="830">
        <f t="shared" si="40"/>
        <v>12909</v>
      </c>
      <c r="U33" s="832">
        <f>'[14]FY2012-13 Final'!K36*90%</f>
        <v>3972.6</v>
      </c>
      <c r="V33" s="832">
        <f t="shared" si="32"/>
        <v>19863</v>
      </c>
      <c r="W33" s="1490">
        <f>'[20]Oct midyear LA Connections'!E32</f>
        <v>18</v>
      </c>
      <c r="X33" s="832">
        <f t="shared" si="41"/>
        <v>71506.8</v>
      </c>
      <c r="Y33" s="1490">
        <f>'[20]Feb midyear LA Connections'!E32</f>
        <v>-15</v>
      </c>
      <c r="Z33" s="832">
        <f t="shared" si="42"/>
        <v>-29794.5</v>
      </c>
      <c r="AA33" s="832">
        <f t="shared" si="43"/>
        <v>41712.300000000003</v>
      </c>
      <c r="AB33" s="832">
        <f t="shared" si="44"/>
        <v>61575.3</v>
      </c>
      <c r="AC33" s="832">
        <f t="shared" si="45"/>
        <v>-154</v>
      </c>
      <c r="AD33" s="832">
        <f t="shared" si="46"/>
        <v>61421.3</v>
      </c>
      <c r="AE33" s="831">
        <v>0</v>
      </c>
      <c r="AF33" s="851">
        <f t="shared" si="47"/>
        <v>61421.3</v>
      </c>
      <c r="AG33" s="851">
        <f>1607*8+12051+12051</f>
        <v>36958</v>
      </c>
      <c r="AH33" s="851">
        <f t="shared" si="48"/>
        <v>24463.300000000003</v>
      </c>
      <c r="AI33" s="851">
        <f t="shared" si="49"/>
        <v>12232</v>
      </c>
      <c r="AJ33" s="833">
        <f t="shared" si="50"/>
        <v>126972.05624699734</v>
      </c>
      <c r="AK33" s="833">
        <f t="shared" si="51"/>
        <v>25141</v>
      </c>
      <c r="AM33" s="1543">
        <v>-48</v>
      </c>
      <c r="AN33" s="1543">
        <v>-105</v>
      </c>
      <c r="AP33" s="1543">
        <f t="shared" si="52"/>
        <v>-1</v>
      </c>
    </row>
    <row r="34" spans="1:42" s="553" customFormat="1" ht="16.5" customHeight="1">
      <c r="A34" s="104">
        <v>30</v>
      </c>
      <c r="B34" s="806" t="s">
        <v>131</v>
      </c>
      <c r="C34" s="834">
        <f>'Table 8 2.1.12 MFP Funded'!W33</f>
        <v>3</v>
      </c>
      <c r="D34" s="835">
        <f>'Table 3 Levels 1&amp;2'!AL37*90%</f>
        <v>5048.672531981766</v>
      </c>
      <c r="E34" s="835">
        <f t="shared" si="33"/>
        <v>15146.017595945297</v>
      </c>
      <c r="F34" s="836">
        <f>'Table 4 Level 3'!P35*90%</f>
        <v>654.45299999999997</v>
      </c>
      <c r="G34" s="836">
        <f t="shared" si="34"/>
        <v>1963.3589999999999</v>
      </c>
      <c r="H34" s="836">
        <f t="shared" si="35"/>
        <v>17109.376595945298</v>
      </c>
      <c r="I34" s="836">
        <f>(('Table 3 Levels 1&amp;2'!AL37-D34)*C34)</f>
        <v>1682.8908439939223</v>
      </c>
      <c r="J34" s="836">
        <f>'[1]Oct midyear LA Connections'!K33</f>
        <v>-11406.251063963533</v>
      </c>
      <c r="K34" s="836">
        <f>'[1]Feb midyear LA Connections'!K33</f>
        <v>2851.5627659908832</v>
      </c>
      <c r="L34" s="836">
        <f t="shared" si="36"/>
        <v>-8554.6882979726506</v>
      </c>
      <c r="M34" s="836">
        <f t="shared" si="30"/>
        <v>8554.688297972647</v>
      </c>
      <c r="N34" s="836">
        <f t="shared" si="37"/>
        <v>-21</v>
      </c>
      <c r="O34" s="837">
        <f t="shared" si="31"/>
        <v>8533.688297972647</v>
      </c>
      <c r="P34" s="837">
        <v>0</v>
      </c>
      <c r="Q34" s="838">
        <f t="shared" si="38"/>
        <v>8533.688297972647</v>
      </c>
      <c r="R34" s="838">
        <f>1419*8-710-710</f>
        <v>9932</v>
      </c>
      <c r="S34" s="838">
        <f t="shared" si="39"/>
        <v>-1398.311702027353</v>
      </c>
      <c r="T34" s="838">
        <f t="shared" si="40"/>
        <v>-699</v>
      </c>
      <c r="U34" s="840">
        <f>'[14]FY2012-13 Final'!K37*90%</f>
        <v>3332.7000000000003</v>
      </c>
      <c r="V34" s="840">
        <f t="shared" si="32"/>
        <v>9998.1</v>
      </c>
      <c r="W34" s="1491">
        <f>'[20]Oct midyear LA Connections'!E33</f>
        <v>-2</v>
      </c>
      <c r="X34" s="840">
        <f t="shared" si="41"/>
        <v>-6665.4000000000005</v>
      </c>
      <c r="Y34" s="1491">
        <f>'[20]Feb midyear LA Connections'!E33</f>
        <v>1</v>
      </c>
      <c r="Z34" s="840">
        <f t="shared" si="42"/>
        <v>1666.3500000000001</v>
      </c>
      <c r="AA34" s="840">
        <f t="shared" si="43"/>
        <v>-4999.05</v>
      </c>
      <c r="AB34" s="840">
        <f t="shared" si="44"/>
        <v>4999.05</v>
      </c>
      <c r="AC34" s="840">
        <f t="shared" si="45"/>
        <v>-12</v>
      </c>
      <c r="AD34" s="840">
        <f t="shared" si="46"/>
        <v>4987.05</v>
      </c>
      <c r="AE34" s="839">
        <v>0</v>
      </c>
      <c r="AF34" s="852">
        <f t="shared" si="47"/>
        <v>4987.05</v>
      </c>
      <c r="AG34" s="852">
        <f>797*2+798+798+798+798+798+798-349-349</f>
        <v>5684</v>
      </c>
      <c r="AH34" s="852">
        <f t="shared" si="48"/>
        <v>-696.94999999999982</v>
      </c>
      <c r="AI34" s="852">
        <f t="shared" si="49"/>
        <v>-348</v>
      </c>
      <c r="AJ34" s="841">
        <f t="shared" si="50"/>
        <v>13520.738297972646</v>
      </c>
      <c r="AK34" s="841">
        <f t="shared" si="51"/>
        <v>-1047</v>
      </c>
      <c r="AM34" s="1543">
        <v>-24</v>
      </c>
      <c r="AN34" s="1543">
        <v>12</v>
      </c>
      <c r="AP34" s="1543">
        <f t="shared" si="52"/>
        <v>0</v>
      </c>
    </row>
    <row r="35" spans="1:42" s="553" customFormat="1" ht="16.5" customHeight="1">
      <c r="A35" s="103">
        <v>31</v>
      </c>
      <c r="B35" s="805" t="s">
        <v>132</v>
      </c>
      <c r="C35" s="818">
        <f>'Table 8 2.1.12 MFP Funded'!W34</f>
        <v>1</v>
      </c>
      <c r="D35" s="819">
        <f>'Table 3 Levels 1&amp;2'!AL38*90%</f>
        <v>3756.6843660201857</v>
      </c>
      <c r="E35" s="819">
        <f t="shared" si="33"/>
        <v>3756.6843660201857</v>
      </c>
      <c r="F35" s="820">
        <f>'Table 4 Level 3'!P36*90%</f>
        <v>558.74700000000007</v>
      </c>
      <c r="G35" s="820">
        <f t="shared" si="34"/>
        <v>558.74700000000007</v>
      </c>
      <c r="H35" s="820">
        <f t="shared" si="35"/>
        <v>4315.431366020186</v>
      </c>
      <c r="I35" s="820">
        <f>(('Table 3 Levels 1&amp;2'!AL38-D35)*C35)</f>
        <v>417.40937400224266</v>
      </c>
      <c r="J35" s="820">
        <f>'[1]Oct midyear LA Connections'!K34</f>
        <v>17261.725464080744</v>
      </c>
      <c r="K35" s="820">
        <f>'[1]Feb midyear LA Connections'!K34</f>
        <v>-2157.715683010093</v>
      </c>
      <c r="L35" s="820">
        <f t="shared" si="36"/>
        <v>15104.00978107065</v>
      </c>
      <c r="M35" s="820">
        <f t="shared" si="30"/>
        <v>19419.441147090838</v>
      </c>
      <c r="N35" s="820">
        <f t="shared" si="37"/>
        <v>-49</v>
      </c>
      <c r="O35" s="821">
        <f t="shared" si="31"/>
        <v>19370.441147090838</v>
      </c>
      <c r="P35" s="821">
        <v>0</v>
      </c>
      <c r="Q35" s="822">
        <f t="shared" si="38"/>
        <v>19370.441147090838</v>
      </c>
      <c r="R35" s="822">
        <f>358*8+4112+4112</f>
        <v>11088</v>
      </c>
      <c r="S35" s="822">
        <f t="shared" si="39"/>
        <v>8282.4411470908381</v>
      </c>
      <c r="T35" s="822">
        <f t="shared" si="40"/>
        <v>4141</v>
      </c>
      <c r="U35" s="824">
        <f>'[14]FY2012-13 Final'!K38*90%</f>
        <v>4238.1000000000004</v>
      </c>
      <c r="V35" s="824">
        <f t="shared" si="32"/>
        <v>4238.1000000000004</v>
      </c>
      <c r="W35" s="1489">
        <f>'[20]Oct midyear LA Connections'!E34</f>
        <v>4</v>
      </c>
      <c r="X35" s="824">
        <f t="shared" si="41"/>
        <v>16952.400000000001</v>
      </c>
      <c r="Y35" s="1489">
        <f>'[20]Feb midyear LA Connections'!E34</f>
        <v>-1</v>
      </c>
      <c r="Z35" s="824">
        <f t="shared" si="42"/>
        <v>-2119.0500000000002</v>
      </c>
      <c r="AA35" s="824">
        <f t="shared" si="43"/>
        <v>14833.350000000002</v>
      </c>
      <c r="AB35" s="824">
        <f t="shared" si="44"/>
        <v>19071.450000000004</v>
      </c>
      <c r="AC35" s="824">
        <f t="shared" si="45"/>
        <v>-48</v>
      </c>
      <c r="AD35" s="824">
        <f t="shared" si="46"/>
        <v>19023.450000000004</v>
      </c>
      <c r="AE35" s="823">
        <v>0</v>
      </c>
      <c r="AF35" s="850">
        <f t="shared" si="47"/>
        <v>19023.450000000004</v>
      </c>
      <c r="AG35" s="850">
        <f>353*8+4010+4010</f>
        <v>10844</v>
      </c>
      <c r="AH35" s="850">
        <f t="shared" si="48"/>
        <v>8179.4500000000044</v>
      </c>
      <c r="AI35" s="850">
        <f t="shared" si="49"/>
        <v>4090</v>
      </c>
      <c r="AJ35" s="825">
        <f t="shared" si="50"/>
        <v>38393.891147090842</v>
      </c>
      <c r="AK35" s="825">
        <f t="shared" si="51"/>
        <v>8231</v>
      </c>
      <c r="AM35" s="1543">
        <v>-11</v>
      </c>
      <c r="AN35" s="1543">
        <v>-36</v>
      </c>
      <c r="AP35" s="1543">
        <f t="shared" si="52"/>
        <v>-1</v>
      </c>
    </row>
    <row r="36" spans="1:42" s="553" customFormat="1" ht="16.5" customHeight="1">
      <c r="A36" s="103">
        <v>32</v>
      </c>
      <c r="B36" s="805" t="s">
        <v>133</v>
      </c>
      <c r="C36" s="826">
        <f>'Table 8 2.1.12 MFP Funded'!W35</f>
        <v>36</v>
      </c>
      <c r="D36" s="827">
        <f>'Table 3 Levels 1&amp;2'!AL39*90%</f>
        <v>4937.54266495303</v>
      </c>
      <c r="E36" s="827">
        <f t="shared" si="33"/>
        <v>177751.53593830907</v>
      </c>
      <c r="F36" s="828">
        <f>'Table 4 Level 3'!P37*90%</f>
        <v>503.79300000000001</v>
      </c>
      <c r="G36" s="828">
        <f t="shared" si="34"/>
        <v>18136.547999999999</v>
      </c>
      <c r="H36" s="828">
        <f t="shared" si="35"/>
        <v>195888.08393830908</v>
      </c>
      <c r="I36" s="828">
        <f>(('Table 3 Levels 1&amp;2'!AL39-D36)*C36)</f>
        <v>19750.17065981212</v>
      </c>
      <c r="J36" s="828">
        <f>'[1]Oct midyear LA Connections'!K35</f>
        <v>282949.45457755757</v>
      </c>
      <c r="K36" s="828">
        <f>'[1]Feb midyear LA Connections'!K35</f>
        <v>-32648.01398971818</v>
      </c>
      <c r="L36" s="828">
        <f t="shared" si="36"/>
        <v>250301.4405878394</v>
      </c>
      <c r="M36" s="828">
        <f t="shared" si="30"/>
        <v>446189.52452614845</v>
      </c>
      <c r="N36" s="828">
        <f t="shared" si="37"/>
        <v>-1115</v>
      </c>
      <c r="O36" s="829">
        <f t="shared" si="31"/>
        <v>445074.52452614845</v>
      </c>
      <c r="P36" s="829">
        <v>0</v>
      </c>
      <c r="Q36" s="830">
        <f t="shared" si="38"/>
        <v>445074.52452614845</v>
      </c>
      <c r="R36" s="830">
        <f>16254+16253+16254+16254+16254+16254+16254+16254+78558+78558</f>
        <v>287147</v>
      </c>
      <c r="S36" s="830">
        <f t="shared" si="39"/>
        <v>157927.52452614845</v>
      </c>
      <c r="T36" s="830">
        <f t="shared" si="40"/>
        <v>78964</v>
      </c>
      <c r="U36" s="832">
        <f>'[14]FY2012-13 Final'!K39*90%</f>
        <v>1770.3</v>
      </c>
      <c r="V36" s="832">
        <f t="shared" si="32"/>
        <v>63730.799999999996</v>
      </c>
      <c r="W36" s="1490">
        <f>'[20]Oct midyear LA Connections'!E35</f>
        <v>52</v>
      </c>
      <c r="X36" s="832">
        <f t="shared" si="41"/>
        <v>92055.599999999991</v>
      </c>
      <c r="Y36" s="1490">
        <f>'[20]Feb midyear LA Connections'!E35</f>
        <v>-12</v>
      </c>
      <c r="Z36" s="832">
        <f t="shared" si="42"/>
        <v>-10621.8</v>
      </c>
      <c r="AA36" s="832">
        <f t="shared" si="43"/>
        <v>81433.799999999988</v>
      </c>
      <c r="AB36" s="832">
        <f t="shared" si="44"/>
        <v>145164.59999999998</v>
      </c>
      <c r="AC36" s="832">
        <f t="shared" si="45"/>
        <v>-363</v>
      </c>
      <c r="AD36" s="832">
        <f t="shared" si="46"/>
        <v>144801.59999999998</v>
      </c>
      <c r="AE36" s="831">
        <v>0</v>
      </c>
      <c r="AF36" s="851">
        <f t="shared" si="47"/>
        <v>144801.59999999998</v>
      </c>
      <c r="AG36" s="851">
        <f>5330*8+25504+25504</f>
        <v>93648</v>
      </c>
      <c r="AH36" s="851">
        <f t="shared" si="48"/>
        <v>51153.599999999977</v>
      </c>
      <c r="AI36" s="851">
        <f t="shared" si="49"/>
        <v>25577</v>
      </c>
      <c r="AJ36" s="833">
        <f t="shared" si="50"/>
        <v>589876.12452614843</v>
      </c>
      <c r="AK36" s="833">
        <f t="shared" si="51"/>
        <v>104541</v>
      </c>
      <c r="AM36" s="1543">
        <v>-160</v>
      </c>
      <c r="AN36" s="1543">
        <v>-203</v>
      </c>
      <c r="AP36" s="1543">
        <f t="shared" si="52"/>
        <v>0</v>
      </c>
    </row>
    <row r="37" spans="1:42" s="553" customFormat="1" ht="16.5" customHeight="1">
      <c r="A37" s="103">
        <v>33</v>
      </c>
      <c r="B37" s="805" t="s">
        <v>134</v>
      </c>
      <c r="C37" s="826">
        <f>'Table 8 2.1.12 MFP Funded'!W36</f>
        <v>2</v>
      </c>
      <c r="D37" s="827">
        <f>'Table 3 Levels 1&amp;2'!AL40*90%</f>
        <v>4854.4624747794223</v>
      </c>
      <c r="E37" s="827">
        <f t="shared" si="33"/>
        <v>9708.9249495588447</v>
      </c>
      <c r="F37" s="828">
        <f>'Table 4 Level 3'!P38*90%</f>
        <v>589.77900000000011</v>
      </c>
      <c r="G37" s="828">
        <f t="shared" si="34"/>
        <v>1179.5580000000002</v>
      </c>
      <c r="H37" s="828">
        <f t="shared" si="35"/>
        <v>10888.482949558846</v>
      </c>
      <c r="I37" s="828">
        <f>(('Table 3 Levels 1&amp;2'!AL40-D37)*C37)</f>
        <v>1078.7694388398704</v>
      </c>
      <c r="J37" s="828">
        <f>'[1]Oct midyear LA Connections'!K36</f>
        <v>5444.2414747794228</v>
      </c>
      <c r="K37" s="828">
        <f>'[1]Feb midyear LA Connections'!K36</f>
        <v>2722.1207373897114</v>
      </c>
      <c r="L37" s="828">
        <f t="shared" si="36"/>
        <v>8166.3622121691342</v>
      </c>
      <c r="M37" s="828">
        <f t="shared" ref="M37:M68" si="53">H37+L37</f>
        <v>19054.845161727979</v>
      </c>
      <c r="N37" s="828">
        <f t="shared" si="37"/>
        <v>-48</v>
      </c>
      <c r="O37" s="829">
        <f t="shared" ref="O37:O68" si="54">M37+N37</f>
        <v>19006.845161727979</v>
      </c>
      <c r="P37" s="829">
        <v>0</v>
      </c>
      <c r="Q37" s="830">
        <f t="shared" si="38"/>
        <v>19006.845161727979</v>
      </c>
      <c r="R37" s="830">
        <f>906*8+2943+2943</f>
        <v>13134</v>
      </c>
      <c r="S37" s="830">
        <f t="shared" si="39"/>
        <v>5872.8451617279788</v>
      </c>
      <c r="T37" s="830">
        <f t="shared" si="40"/>
        <v>2936</v>
      </c>
      <c r="U37" s="832">
        <f>'[14]FY2012-13 Final'!K40*90%</f>
        <v>2691</v>
      </c>
      <c r="V37" s="832">
        <f t="shared" ref="V37:V68" si="55">U37*C37</f>
        <v>5382</v>
      </c>
      <c r="W37" s="1490">
        <f>'[20]Oct midyear LA Connections'!E36</f>
        <v>1</v>
      </c>
      <c r="X37" s="832">
        <f t="shared" si="41"/>
        <v>2691</v>
      </c>
      <c r="Y37" s="1490">
        <f>'[20]Feb midyear LA Connections'!E36</f>
        <v>1</v>
      </c>
      <c r="Z37" s="832">
        <f t="shared" si="42"/>
        <v>1345.5</v>
      </c>
      <c r="AA37" s="832">
        <f t="shared" si="43"/>
        <v>4036.5</v>
      </c>
      <c r="AB37" s="832">
        <f t="shared" si="44"/>
        <v>9418.5</v>
      </c>
      <c r="AC37" s="832">
        <f t="shared" si="45"/>
        <v>-24</v>
      </c>
      <c r="AD37" s="832">
        <f t="shared" si="46"/>
        <v>9394.5</v>
      </c>
      <c r="AE37" s="831">
        <v>0</v>
      </c>
      <c r="AF37" s="851">
        <f t="shared" si="47"/>
        <v>9394.5</v>
      </c>
      <c r="AG37" s="851">
        <f>457*8+1263+1263</f>
        <v>6182</v>
      </c>
      <c r="AH37" s="851">
        <f t="shared" si="48"/>
        <v>3212.5</v>
      </c>
      <c r="AI37" s="851">
        <f t="shared" si="49"/>
        <v>1606</v>
      </c>
      <c r="AJ37" s="833">
        <f t="shared" si="50"/>
        <v>28401.345161727979</v>
      </c>
      <c r="AK37" s="833">
        <f t="shared" si="51"/>
        <v>4542</v>
      </c>
      <c r="AM37" s="1543">
        <v>-14</v>
      </c>
      <c r="AN37" s="1543">
        <v>-8</v>
      </c>
      <c r="AP37" s="1543">
        <f t="shared" si="52"/>
        <v>-2</v>
      </c>
    </row>
    <row r="38" spans="1:42" s="553" customFormat="1" ht="16.5" customHeight="1">
      <c r="A38" s="103">
        <v>34</v>
      </c>
      <c r="B38" s="805" t="s">
        <v>135</v>
      </c>
      <c r="C38" s="826">
        <f>'Table 8 2.1.12 MFP Funded'!W37</f>
        <v>2</v>
      </c>
      <c r="D38" s="827">
        <f>'Table 3 Levels 1&amp;2'!AL41*90%</f>
        <v>5277.9194526024967</v>
      </c>
      <c r="E38" s="827">
        <f t="shared" si="33"/>
        <v>10555.838905204993</v>
      </c>
      <c r="F38" s="828">
        <f>'Table 4 Level 3'!P39*90%</f>
        <v>579.69900000000018</v>
      </c>
      <c r="G38" s="828">
        <f t="shared" si="34"/>
        <v>1159.3980000000004</v>
      </c>
      <c r="H38" s="828">
        <f t="shared" si="35"/>
        <v>11715.236905204994</v>
      </c>
      <c r="I38" s="828">
        <f>(('Table 3 Levels 1&amp;2'!AL41-D38)*C38)</f>
        <v>1172.8709894672211</v>
      </c>
      <c r="J38" s="828">
        <f>'[1]Oct midyear LA Connections'!K37</f>
        <v>46860.947620819978</v>
      </c>
      <c r="K38" s="828">
        <f>'[1]Feb midyear LA Connections'!K37</f>
        <v>-8786.4276789037467</v>
      </c>
      <c r="L38" s="828">
        <f t="shared" si="36"/>
        <v>38074.519941916231</v>
      </c>
      <c r="M38" s="828">
        <f t="shared" si="53"/>
        <v>49789.756847121229</v>
      </c>
      <c r="N38" s="828">
        <f t="shared" si="37"/>
        <v>-124</v>
      </c>
      <c r="O38" s="829">
        <f t="shared" si="54"/>
        <v>49665.756847121229</v>
      </c>
      <c r="P38" s="829">
        <v>0</v>
      </c>
      <c r="Q38" s="830">
        <f t="shared" si="38"/>
        <v>49665.756847121229</v>
      </c>
      <c r="R38" s="830">
        <f>971*8+10435+10435</f>
        <v>28638</v>
      </c>
      <c r="S38" s="830">
        <f t="shared" si="39"/>
        <v>21027.756847121229</v>
      </c>
      <c r="T38" s="830">
        <f t="shared" si="40"/>
        <v>10514</v>
      </c>
      <c r="U38" s="832">
        <f>'[14]FY2012-13 Final'!K41*90%</f>
        <v>2491.2000000000003</v>
      </c>
      <c r="V38" s="832">
        <f t="shared" si="55"/>
        <v>4982.4000000000005</v>
      </c>
      <c r="W38" s="1490">
        <f>'[20]Oct midyear LA Connections'!E37</f>
        <v>8</v>
      </c>
      <c r="X38" s="832">
        <f t="shared" si="41"/>
        <v>19929.600000000002</v>
      </c>
      <c r="Y38" s="1490">
        <f>'[20]Feb midyear LA Connections'!E37</f>
        <v>-3</v>
      </c>
      <c r="Z38" s="832">
        <f t="shared" si="42"/>
        <v>-3736.8</v>
      </c>
      <c r="AA38" s="832">
        <f t="shared" si="43"/>
        <v>16192.800000000003</v>
      </c>
      <c r="AB38" s="832">
        <f t="shared" si="44"/>
        <v>21175.200000000004</v>
      </c>
      <c r="AC38" s="832">
        <f t="shared" si="45"/>
        <v>-53</v>
      </c>
      <c r="AD38" s="832">
        <f t="shared" si="46"/>
        <v>21122.200000000004</v>
      </c>
      <c r="AE38" s="831">
        <v>0</v>
      </c>
      <c r="AF38" s="851">
        <f t="shared" si="47"/>
        <v>21122.200000000004</v>
      </c>
      <c r="AG38" s="851">
        <f>416*8+4429+4429</f>
        <v>12186</v>
      </c>
      <c r="AH38" s="851">
        <f t="shared" si="48"/>
        <v>8936.2000000000044</v>
      </c>
      <c r="AI38" s="851">
        <f t="shared" si="49"/>
        <v>4468</v>
      </c>
      <c r="AJ38" s="833">
        <f t="shared" si="50"/>
        <v>70787.956847121241</v>
      </c>
      <c r="AK38" s="833">
        <f t="shared" si="51"/>
        <v>14982</v>
      </c>
      <c r="AM38" s="1543">
        <v>-13</v>
      </c>
      <c r="AN38" s="1543">
        <v>-40</v>
      </c>
      <c r="AP38" s="1543">
        <f t="shared" si="52"/>
        <v>0</v>
      </c>
    </row>
    <row r="39" spans="1:42" s="553" customFormat="1" ht="16.5" customHeight="1">
      <c r="A39" s="104">
        <v>35</v>
      </c>
      <c r="B39" s="806" t="s">
        <v>136</v>
      </c>
      <c r="C39" s="834">
        <f>'Table 8 2.1.12 MFP Funded'!W38</f>
        <v>10</v>
      </c>
      <c r="D39" s="835">
        <f>'Table 3 Levels 1&amp;2'!AL42*90%</f>
        <v>4363.9812104131306</v>
      </c>
      <c r="E39" s="835">
        <f t="shared" si="33"/>
        <v>43639.812104131306</v>
      </c>
      <c r="F39" s="836">
        <f>'Table 4 Level 3'!P40*90%</f>
        <v>484.16400000000004</v>
      </c>
      <c r="G39" s="836">
        <f t="shared" si="34"/>
        <v>4841.6400000000003</v>
      </c>
      <c r="H39" s="836">
        <f t="shared" si="35"/>
        <v>48481.452104131306</v>
      </c>
      <c r="I39" s="836">
        <f>(('Table 3 Levels 1&amp;2'!AL42-D39)*C39)</f>
        <v>4848.8680115701482</v>
      </c>
      <c r="J39" s="836">
        <f>'[1]Oct midyear LA Connections'!K38</f>
        <v>72722.178156196955</v>
      </c>
      <c r="K39" s="836">
        <f>'[1]Feb midyear LA Connections'!K38</f>
        <v>-21816.653446859087</v>
      </c>
      <c r="L39" s="836">
        <f t="shared" si="36"/>
        <v>50905.524709337871</v>
      </c>
      <c r="M39" s="836">
        <f t="shared" si="53"/>
        <v>99386.976813469169</v>
      </c>
      <c r="N39" s="836">
        <f t="shared" si="37"/>
        <v>-248</v>
      </c>
      <c r="O39" s="837">
        <f t="shared" si="54"/>
        <v>99138.976813469169</v>
      </c>
      <c r="P39" s="837">
        <v>0</v>
      </c>
      <c r="Q39" s="838">
        <f t="shared" si="38"/>
        <v>99138.976813469169</v>
      </c>
      <c r="R39" s="838">
        <f>4017*8+16668+16668</f>
        <v>65472</v>
      </c>
      <c r="S39" s="838">
        <f t="shared" si="39"/>
        <v>33666.976813469169</v>
      </c>
      <c r="T39" s="838">
        <f t="shared" si="40"/>
        <v>16833</v>
      </c>
      <c r="U39" s="840">
        <f>'[14]FY2012-13 Final'!K42*90%</f>
        <v>3249.9</v>
      </c>
      <c r="V39" s="840">
        <f t="shared" si="55"/>
        <v>32499</v>
      </c>
      <c r="W39" s="1491">
        <f>'[20]Oct midyear LA Connections'!E38</f>
        <v>15</v>
      </c>
      <c r="X39" s="840">
        <f t="shared" si="41"/>
        <v>48748.5</v>
      </c>
      <c r="Y39" s="1491">
        <f>'[20]Feb midyear LA Connections'!E38</f>
        <v>-9</v>
      </c>
      <c r="Z39" s="840">
        <f t="shared" si="42"/>
        <v>-14624.550000000001</v>
      </c>
      <c r="AA39" s="840">
        <f t="shared" si="43"/>
        <v>34123.949999999997</v>
      </c>
      <c r="AB39" s="840">
        <f t="shared" si="44"/>
        <v>66622.95</v>
      </c>
      <c r="AC39" s="840">
        <f t="shared" si="45"/>
        <v>-167</v>
      </c>
      <c r="AD39" s="840">
        <f t="shared" si="46"/>
        <v>66455.95</v>
      </c>
      <c r="AE39" s="839">
        <v>0</v>
      </c>
      <c r="AF39" s="852">
        <f t="shared" si="47"/>
        <v>66455.95</v>
      </c>
      <c r="AG39" s="852">
        <f>2375*8+11827+11827</f>
        <v>42654</v>
      </c>
      <c r="AH39" s="852">
        <f t="shared" si="48"/>
        <v>23801.949999999997</v>
      </c>
      <c r="AI39" s="852">
        <f t="shared" si="49"/>
        <v>11901</v>
      </c>
      <c r="AJ39" s="841">
        <f t="shared" si="50"/>
        <v>165594.92681346915</v>
      </c>
      <c r="AK39" s="841">
        <f t="shared" si="51"/>
        <v>28734</v>
      </c>
      <c r="AM39" s="1543">
        <v>-71</v>
      </c>
      <c r="AN39" s="1543">
        <v>-95</v>
      </c>
      <c r="AP39" s="1543">
        <f t="shared" si="52"/>
        <v>-1</v>
      </c>
    </row>
    <row r="40" spans="1:42" s="553" customFormat="1" ht="16.5" customHeight="1">
      <c r="A40" s="103">
        <v>36</v>
      </c>
      <c r="B40" s="805" t="s">
        <v>137</v>
      </c>
      <c r="C40" s="818">
        <f>'Table 8 2.1.12 MFP Funded'!W39</f>
        <v>14</v>
      </c>
      <c r="D40" s="819">
        <f>'Table 3 Levels 1&amp;2'!AL43*90%</f>
        <v>3098.4792146014224</v>
      </c>
      <c r="E40" s="819">
        <f t="shared" si="33"/>
        <v>43378.709004419914</v>
      </c>
      <c r="F40" s="820">
        <f>'Table 5B1_RSD_Orleans'!F78*90%</f>
        <v>671.43020547945218</v>
      </c>
      <c r="G40" s="820">
        <f t="shared" si="34"/>
        <v>9400.0228767123299</v>
      </c>
      <c r="H40" s="820">
        <f t="shared" si="35"/>
        <v>52778.731881132248</v>
      </c>
      <c r="I40" s="820">
        <f>(('Table 3 Levels 1&amp;2'!AL43-D40)*C40)</f>
        <v>4819.856556046655</v>
      </c>
      <c r="J40" s="820">
        <f>'[1]Oct midyear LA Connections'!K39</f>
        <v>105557.46376226448</v>
      </c>
      <c r="K40" s="820">
        <f>'[1]Feb midyear LA Connections'!K39</f>
        <v>1884.9547100404372</v>
      </c>
      <c r="L40" s="820">
        <f t="shared" si="36"/>
        <v>107442.41847230491</v>
      </c>
      <c r="M40" s="820">
        <f t="shared" si="53"/>
        <v>160221.15035343717</v>
      </c>
      <c r="N40" s="820">
        <f t="shared" si="37"/>
        <v>-401</v>
      </c>
      <c r="O40" s="821">
        <f t="shared" si="54"/>
        <v>159820.15035343717</v>
      </c>
      <c r="P40" s="821">
        <v>0</v>
      </c>
      <c r="Q40" s="822">
        <f t="shared" si="38"/>
        <v>159820.15035343717</v>
      </c>
      <c r="R40" s="822">
        <f>4440*8+31559+31559</f>
        <v>98638</v>
      </c>
      <c r="S40" s="822">
        <f t="shared" si="39"/>
        <v>61182.150353437173</v>
      </c>
      <c r="T40" s="822">
        <f t="shared" si="40"/>
        <v>30591</v>
      </c>
      <c r="U40" s="824">
        <f>'[14]FY2012-13 Final'!K43*90%</f>
        <v>4395.6000000000004</v>
      </c>
      <c r="V40" s="824">
        <f t="shared" si="55"/>
        <v>61538.400000000009</v>
      </c>
      <c r="W40" s="1489">
        <f>'[20]Oct midyear LA Connections'!E39</f>
        <v>28</v>
      </c>
      <c r="X40" s="824">
        <f t="shared" si="41"/>
        <v>123076.80000000002</v>
      </c>
      <c r="Y40" s="1489">
        <f>'[20]Feb midyear LA Connections'!E39</f>
        <v>1</v>
      </c>
      <c r="Z40" s="824">
        <f t="shared" si="42"/>
        <v>2197.8000000000002</v>
      </c>
      <c r="AA40" s="824">
        <f t="shared" si="43"/>
        <v>125274.60000000002</v>
      </c>
      <c r="AB40" s="824">
        <f t="shared" si="44"/>
        <v>186813.00000000003</v>
      </c>
      <c r="AC40" s="824">
        <f t="shared" si="45"/>
        <v>-467</v>
      </c>
      <c r="AD40" s="824">
        <f t="shared" si="46"/>
        <v>186346.00000000003</v>
      </c>
      <c r="AE40" s="823">
        <v>0</v>
      </c>
      <c r="AF40" s="850">
        <f t="shared" si="47"/>
        <v>186346.00000000003</v>
      </c>
      <c r="AG40" s="850">
        <f>5012*8+33863+33863</f>
        <v>107822</v>
      </c>
      <c r="AH40" s="850">
        <f t="shared" si="48"/>
        <v>78524.000000000029</v>
      </c>
      <c r="AI40" s="850">
        <f t="shared" si="49"/>
        <v>39262</v>
      </c>
      <c r="AJ40" s="825">
        <f t="shared" si="50"/>
        <v>346166.15035343717</v>
      </c>
      <c r="AK40" s="825">
        <f t="shared" si="51"/>
        <v>69853</v>
      </c>
      <c r="AM40" s="1543">
        <v>-151</v>
      </c>
      <c r="AN40" s="1543">
        <v>-289</v>
      </c>
      <c r="AP40" s="1543">
        <f t="shared" si="52"/>
        <v>-27</v>
      </c>
    </row>
    <row r="41" spans="1:42" s="553" customFormat="1" ht="16.5" customHeight="1">
      <c r="A41" s="103">
        <v>37</v>
      </c>
      <c r="B41" s="805" t="s">
        <v>138</v>
      </c>
      <c r="C41" s="826">
        <f>'Table 8 2.1.12 MFP Funded'!W40</f>
        <v>10</v>
      </c>
      <c r="D41" s="827">
        <f>'Table 3 Levels 1&amp;2'!AL44*90%</f>
        <v>4942.8578908866539</v>
      </c>
      <c r="E41" s="827">
        <f t="shared" si="33"/>
        <v>49428.578908866541</v>
      </c>
      <c r="F41" s="828">
        <f>'Table 4 Level 3'!P42*90%</f>
        <v>588.24900000000002</v>
      </c>
      <c r="G41" s="828">
        <f t="shared" si="34"/>
        <v>5882.49</v>
      </c>
      <c r="H41" s="828">
        <f t="shared" si="35"/>
        <v>55311.068908866539</v>
      </c>
      <c r="I41" s="828">
        <f>(('Table 3 Levels 1&amp;2'!AL44-D41)*C41)</f>
        <v>5492.0643232073871</v>
      </c>
      <c r="J41" s="828">
        <f>'[1]Oct midyear LA Connections'!K40</f>
        <v>71904.389581526499</v>
      </c>
      <c r="K41" s="828">
        <f>'[1]Feb midyear LA Connections'!K40</f>
        <v>-16593.32067265996</v>
      </c>
      <c r="L41" s="828">
        <f t="shared" si="36"/>
        <v>55311.068908866539</v>
      </c>
      <c r="M41" s="828">
        <f t="shared" si="53"/>
        <v>110622.13781773308</v>
      </c>
      <c r="N41" s="828">
        <f t="shared" si="37"/>
        <v>-277</v>
      </c>
      <c r="O41" s="829">
        <f t="shared" si="54"/>
        <v>110345.13781773308</v>
      </c>
      <c r="P41" s="829">
        <v>0</v>
      </c>
      <c r="Q41" s="830">
        <f t="shared" si="38"/>
        <v>110345.13781773308</v>
      </c>
      <c r="R41" s="830">
        <f>4592*8+18368+18368</f>
        <v>73472</v>
      </c>
      <c r="S41" s="830">
        <f t="shared" si="39"/>
        <v>36873.137817733077</v>
      </c>
      <c r="T41" s="830">
        <f t="shared" si="40"/>
        <v>18437</v>
      </c>
      <c r="U41" s="832">
        <f>'[14]FY2012-13 Final'!K44*90%</f>
        <v>2815.2000000000003</v>
      </c>
      <c r="V41" s="832">
        <f t="shared" si="55"/>
        <v>28152.000000000004</v>
      </c>
      <c r="W41" s="1490">
        <f>'[20]Oct midyear LA Connections'!E40</f>
        <v>13</v>
      </c>
      <c r="X41" s="832">
        <f t="shared" si="41"/>
        <v>36597.600000000006</v>
      </c>
      <c r="Y41" s="1490">
        <f>'[20]Feb midyear LA Connections'!E40</f>
        <v>-6</v>
      </c>
      <c r="Z41" s="832">
        <f t="shared" si="42"/>
        <v>-8445.6</v>
      </c>
      <c r="AA41" s="832">
        <f t="shared" si="43"/>
        <v>28152.000000000007</v>
      </c>
      <c r="AB41" s="832">
        <f t="shared" si="44"/>
        <v>56304.000000000015</v>
      </c>
      <c r="AC41" s="832">
        <f t="shared" si="45"/>
        <v>-141</v>
      </c>
      <c r="AD41" s="832">
        <f t="shared" si="46"/>
        <v>56163.000000000015</v>
      </c>
      <c r="AE41" s="831">
        <v>0</v>
      </c>
      <c r="AF41" s="851">
        <f t="shared" si="47"/>
        <v>56163.000000000015</v>
      </c>
      <c r="AG41" s="851">
        <f>2328*8+9255+9255</f>
        <v>37134</v>
      </c>
      <c r="AH41" s="851">
        <f t="shared" si="48"/>
        <v>19029.000000000015</v>
      </c>
      <c r="AI41" s="851">
        <f t="shared" si="49"/>
        <v>9515</v>
      </c>
      <c r="AJ41" s="833">
        <f t="shared" si="50"/>
        <v>166508.13781773311</v>
      </c>
      <c r="AK41" s="833">
        <f t="shared" si="51"/>
        <v>27952</v>
      </c>
      <c r="AM41" s="1543">
        <v>-70</v>
      </c>
      <c r="AN41" s="1543">
        <v>-69</v>
      </c>
      <c r="AP41" s="1543">
        <f t="shared" si="52"/>
        <v>-2</v>
      </c>
    </row>
    <row r="42" spans="1:42" s="553" customFormat="1" ht="16.5" customHeight="1">
      <c r="A42" s="103">
        <v>38</v>
      </c>
      <c r="B42" s="805" t="s">
        <v>139</v>
      </c>
      <c r="C42" s="826">
        <f>'Table 8 2.1.12 MFP Funded'!W41</f>
        <v>0</v>
      </c>
      <c r="D42" s="827">
        <f>'Table 3 Levels 1&amp;2'!AL45*90%</f>
        <v>2067.229848363927</v>
      </c>
      <c r="E42" s="827">
        <f t="shared" si="33"/>
        <v>0</v>
      </c>
      <c r="F42" s="828">
        <f>'Table 4 Level 3'!P43*90%</f>
        <v>746.92800000000011</v>
      </c>
      <c r="G42" s="828">
        <f t="shared" si="34"/>
        <v>0</v>
      </c>
      <c r="H42" s="828">
        <f t="shared" si="35"/>
        <v>0</v>
      </c>
      <c r="I42" s="828">
        <f>(('Table 3 Levels 1&amp;2'!AL45-D42)*C42)</f>
        <v>0</v>
      </c>
      <c r="J42" s="828">
        <f>'[1]Oct midyear LA Connections'!K41</f>
        <v>11256.631393455707</v>
      </c>
      <c r="K42" s="828">
        <f>'[1]Feb midyear LA Connections'!K41</f>
        <v>2814.1578483639269</v>
      </c>
      <c r="L42" s="828">
        <f t="shared" si="36"/>
        <v>14070.789241819635</v>
      </c>
      <c r="M42" s="828">
        <f t="shared" si="53"/>
        <v>14070.789241819635</v>
      </c>
      <c r="N42" s="828">
        <f t="shared" si="37"/>
        <v>-35</v>
      </c>
      <c r="O42" s="829">
        <f t="shared" si="54"/>
        <v>14035.789241819635</v>
      </c>
      <c r="P42" s="829">
        <v>0</v>
      </c>
      <c r="Q42" s="830">
        <f t="shared" si="38"/>
        <v>14035.789241819635</v>
      </c>
      <c r="R42" s="830">
        <f>3391+3391</f>
        <v>6782</v>
      </c>
      <c r="S42" s="830">
        <f t="shared" si="39"/>
        <v>7253.7892418196352</v>
      </c>
      <c r="T42" s="830">
        <f t="shared" si="40"/>
        <v>3627</v>
      </c>
      <c r="U42" s="832">
        <f>'[14]FY2012-13 Final'!K45*90%</f>
        <v>9838.8000000000011</v>
      </c>
      <c r="V42" s="832">
        <f t="shared" si="55"/>
        <v>0</v>
      </c>
      <c r="W42" s="1490">
        <f>'[20]Oct midyear LA Connections'!E41</f>
        <v>4</v>
      </c>
      <c r="X42" s="832">
        <f t="shared" si="41"/>
        <v>39355.200000000004</v>
      </c>
      <c r="Y42" s="1490">
        <f>'[20]Feb midyear LA Connections'!E41</f>
        <v>2</v>
      </c>
      <c r="Z42" s="832">
        <f t="shared" si="42"/>
        <v>9838.8000000000011</v>
      </c>
      <c r="AA42" s="832">
        <f t="shared" si="43"/>
        <v>49194.000000000007</v>
      </c>
      <c r="AB42" s="832">
        <f t="shared" si="44"/>
        <v>49194.000000000007</v>
      </c>
      <c r="AC42" s="832">
        <f t="shared" si="45"/>
        <v>-123</v>
      </c>
      <c r="AD42" s="832">
        <f t="shared" si="46"/>
        <v>49071.000000000007</v>
      </c>
      <c r="AE42" s="831">
        <v>0</v>
      </c>
      <c r="AF42" s="851">
        <f t="shared" si="47"/>
        <v>49071.000000000007</v>
      </c>
      <c r="AG42" s="851">
        <f>10856+10856</f>
        <v>21712</v>
      </c>
      <c r="AH42" s="851">
        <f t="shared" si="48"/>
        <v>27359.000000000007</v>
      </c>
      <c r="AI42" s="851">
        <f t="shared" si="49"/>
        <v>13680</v>
      </c>
      <c r="AJ42" s="833">
        <f t="shared" si="50"/>
        <v>63106.789241819642</v>
      </c>
      <c r="AK42" s="833">
        <f t="shared" si="51"/>
        <v>17307</v>
      </c>
      <c r="AM42" s="1543">
        <v>0</v>
      </c>
      <c r="AN42" s="1543">
        <v>-109</v>
      </c>
      <c r="AP42" s="1543">
        <f t="shared" si="52"/>
        <v>-14</v>
      </c>
    </row>
    <row r="43" spans="1:42" s="553" customFormat="1" ht="16.5" customHeight="1">
      <c r="A43" s="103">
        <v>39</v>
      </c>
      <c r="B43" s="805" t="s">
        <v>140</v>
      </c>
      <c r="C43" s="826">
        <f>'Table 8 2.1.12 MFP Funded'!W42</f>
        <v>6</v>
      </c>
      <c r="D43" s="827">
        <f>'Table 3 Levels 1&amp;2'!AL46*90%</f>
        <v>3323.3329378454041</v>
      </c>
      <c r="E43" s="827">
        <f t="shared" si="33"/>
        <v>19939.997627072426</v>
      </c>
      <c r="F43" s="828">
        <f>'Table 5B2_RSD_LA'!F21*90%</f>
        <v>701.69015738498797</v>
      </c>
      <c r="G43" s="828">
        <f t="shared" si="34"/>
        <v>4210.1409443099274</v>
      </c>
      <c r="H43" s="828">
        <f t="shared" si="35"/>
        <v>24150.138571382355</v>
      </c>
      <c r="I43" s="828">
        <f>(('Table 3 Levels 1&amp;2'!AL46-D43)*C43)</f>
        <v>2215.5552918969352</v>
      </c>
      <c r="J43" s="828">
        <f>'[1]Oct midyear LA Connections'!K42</f>
        <v>-4025.0230952303918</v>
      </c>
      <c r="K43" s="828">
        <f>'[1]Feb midyear LA Connections'!K42</f>
        <v>0</v>
      </c>
      <c r="L43" s="828">
        <f t="shared" si="36"/>
        <v>-4025.0230952303918</v>
      </c>
      <c r="M43" s="828">
        <f t="shared" si="53"/>
        <v>20125.115476151965</v>
      </c>
      <c r="N43" s="828">
        <f t="shared" si="37"/>
        <v>-50</v>
      </c>
      <c r="O43" s="829">
        <f t="shared" si="54"/>
        <v>20075.115476151965</v>
      </c>
      <c r="P43" s="829">
        <v>0</v>
      </c>
      <c r="Q43" s="830">
        <f t="shared" si="38"/>
        <v>20075.115476151965</v>
      </c>
      <c r="R43" s="830">
        <f>2005*8+1002+1002</f>
        <v>18044</v>
      </c>
      <c r="S43" s="830">
        <f t="shared" si="39"/>
        <v>2031.1154761519647</v>
      </c>
      <c r="T43" s="830">
        <f t="shared" si="40"/>
        <v>1016</v>
      </c>
      <c r="U43" s="832">
        <f>'[14]FY2012-13 Final'!K46*90%</f>
        <v>3885.3</v>
      </c>
      <c r="V43" s="832">
        <f t="shared" si="55"/>
        <v>23311.800000000003</v>
      </c>
      <c r="W43" s="1490">
        <f>'[20]Oct midyear LA Connections'!E42</f>
        <v>-1</v>
      </c>
      <c r="X43" s="832">
        <f t="shared" si="41"/>
        <v>-3885.3</v>
      </c>
      <c r="Y43" s="1490">
        <f>'[20]Feb midyear LA Connections'!E42</f>
        <v>0</v>
      </c>
      <c r="Z43" s="832">
        <f t="shared" si="42"/>
        <v>0</v>
      </c>
      <c r="AA43" s="832">
        <f t="shared" si="43"/>
        <v>-3885.3</v>
      </c>
      <c r="AB43" s="832">
        <f t="shared" si="44"/>
        <v>19426.500000000004</v>
      </c>
      <c r="AC43" s="832">
        <f t="shared" si="45"/>
        <v>-49</v>
      </c>
      <c r="AD43" s="832">
        <f t="shared" si="46"/>
        <v>19377.500000000004</v>
      </c>
      <c r="AE43" s="831">
        <v>0</v>
      </c>
      <c r="AF43" s="851">
        <f t="shared" si="47"/>
        <v>19377.500000000004</v>
      </c>
      <c r="AG43" s="851">
        <f>1881*8+1038+1038</f>
        <v>17124</v>
      </c>
      <c r="AH43" s="851">
        <f t="shared" si="48"/>
        <v>2253.5000000000036</v>
      </c>
      <c r="AI43" s="851">
        <f t="shared" si="49"/>
        <v>1127</v>
      </c>
      <c r="AJ43" s="833">
        <f t="shared" si="50"/>
        <v>39452.615476151972</v>
      </c>
      <c r="AK43" s="833">
        <f t="shared" si="51"/>
        <v>2143</v>
      </c>
      <c r="AM43" s="1543">
        <v>-57</v>
      </c>
      <c r="AN43" s="1543">
        <v>9</v>
      </c>
      <c r="AP43" s="1543">
        <f t="shared" si="52"/>
        <v>-1</v>
      </c>
    </row>
    <row r="44" spans="1:42" s="553" customFormat="1" ht="16.5" customHeight="1">
      <c r="A44" s="104">
        <v>40</v>
      </c>
      <c r="B44" s="806" t="s">
        <v>141</v>
      </c>
      <c r="C44" s="834">
        <f>'Table 8 2.1.12 MFP Funded'!W43</f>
        <v>24</v>
      </c>
      <c r="D44" s="835">
        <f>'Table 3 Levels 1&amp;2'!AL47*90%</f>
        <v>4407.5779034317629</v>
      </c>
      <c r="E44" s="835">
        <f t="shared" si="33"/>
        <v>105781.8696823623</v>
      </c>
      <c r="F44" s="836">
        <f>'Table 4 Level 3'!P45*90%</f>
        <v>630.24300000000005</v>
      </c>
      <c r="G44" s="836">
        <f t="shared" si="34"/>
        <v>15125.832000000002</v>
      </c>
      <c r="H44" s="836">
        <f t="shared" si="35"/>
        <v>120907.7016823623</v>
      </c>
      <c r="I44" s="836">
        <f>(('Table 3 Levels 1&amp;2'!AL47-D44)*C44)</f>
        <v>11753.54107581803</v>
      </c>
      <c r="J44" s="836">
        <f>'[1]Oct midyear LA Connections'!K43</f>
        <v>-60453.850841181164</v>
      </c>
      <c r="K44" s="836">
        <f>'[1]Feb midyear LA Connections'!K43</f>
        <v>37783.656775738222</v>
      </c>
      <c r="L44" s="836">
        <f t="shared" si="36"/>
        <v>-22670.194065442942</v>
      </c>
      <c r="M44" s="836">
        <f t="shared" si="53"/>
        <v>98237.507616919349</v>
      </c>
      <c r="N44" s="836">
        <f t="shared" si="37"/>
        <v>-246</v>
      </c>
      <c r="O44" s="837">
        <f t="shared" si="54"/>
        <v>97991.507616919349</v>
      </c>
      <c r="P44" s="837">
        <v>0</v>
      </c>
      <c r="Q44" s="838">
        <f t="shared" si="38"/>
        <v>97991.507616919349</v>
      </c>
      <c r="R44" s="838">
        <f>10018*8+4382+4382</f>
        <v>88908</v>
      </c>
      <c r="S44" s="838">
        <f t="shared" si="39"/>
        <v>9083.5076169193489</v>
      </c>
      <c r="T44" s="838">
        <f t="shared" si="40"/>
        <v>4542</v>
      </c>
      <c r="U44" s="840">
        <f>'[14]FY2012-13 Final'!K47*90%</f>
        <v>2638.8</v>
      </c>
      <c r="V44" s="840">
        <f t="shared" si="55"/>
        <v>63331.200000000004</v>
      </c>
      <c r="W44" s="1491">
        <f>'[20]Oct midyear LA Connections'!E43</f>
        <v>-12</v>
      </c>
      <c r="X44" s="840">
        <f t="shared" si="41"/>
        <v>-31665.600000000002</v>
      </c>
      <c r="Y44" s="1491">
        <f>'[20]Feb midyear LA Connections'!E43</f>
        <v>15</v>
      </c>
      <c r="Z44" s="840">
        <f t="shared" si="42"/>
        <v>19791</v>
      </c>
      <c r="AA44" s="840">
        <f t="shared" si="43"/>
        <v>-11874.600000000002</v>
      </c>
      <c r="AB44" s="840">
        <f t="shared" si="44"/>
        <v>51456.600000000006</v>
      </c>
      <c r="AC44" s="840">
        <f t="shared" si="45"/>
        <v>-129</v>
      </c>
      <c r="AD44" s="840">
        <f t="shared" si="46"/>
        <v>51327.600000000006</v>
      </c>
      <c r="AE44" s="839">
        <v>0</v>
      </c>
      <c r="AF44" s="852">
        <f t="shared" si="47"/>
        <v>51327.600000000006</v>
      </c>
      <c r="AG44" s="852">
        <f>5184*8+2416+2416</f>
        <v>46304</v>
      </c>
      <c r="AH44" s="852">
        <f t="shared" si="48"/>
        <v>5023.6000000000058</v>
      </c>
      <c r="AI44" s="852">
        <f t="shared" si="49"/>
        <v>2512</v>
      </c>
      <c r="AJ44" s="841">
        <f t="shared" si="50"/>
        <v>149319.10761691935</v>
      </c>
      <c r="AK44" s="841">
        <f t="shared" si="51"/>
        <v>7054</v>
      </c>
      <c r="AM44" s="1543">
        <v>-156</v>
      </c>
      <c r="AN44" s="1543">
        <v>28</v>
      </c>
      <c r="AP44" s="1543">
        <f t="shared" si="52"/>
        <v>-1</v>
      </c>
    </row>
    <row r="45" spans="1:42" s="553" customFormat="1" ht="16.5" customHeight="1">
      <c r="A45" s="103">
        <v>41</v>
      </c>
      <c r="B45" s="805" t="s">
        <v>142</v>
      </c>
      <c r="C45" s="818">
        <f>'Table 8 2.1.12 MFP Funded'!W44</f>
        <v>1</v>
      </c>
      <c r="D45" s="819">
        <f>'Table 3 Levels 1&amp;2'!AL48*90%</f>
        <v>1451.7439102564103</v>
      </c>
      <c r="E45" s="819">
        <f t="shared" si="33"/>
        <v>1451.7439102564103</v>
      </c>
      <c r="F45" s="820">
        <f>'Table 4 Level 3'!P46*90%</f>
        <v>797.59800000000007</v>
      </c>
      <c r="G45" s="820">
        <f t="shared" si="34"/>
        <v>797.59800000000007</v>
      </c>
      <c r="H45" s="820">
        <f t="shared" si="35"/>
        <v>2249.3419102564103</v>
      </c>
      <c r="I45" s="820">
        <f>(('Table 3 Levels 1&amp;2'!AL48-D45)*C45)</f>
        <v>161.3048789173788</v>
      </c>
      <c r="J45" s="820">
        <f>'[1]Oct midyear LA Connections'!K44</f>
        <v>-2249.3419102564103</v>
      </c>
      <c r="K45" s="820">
        <f>'[1]Feb midyear LA Connections'!K44</f>
        <v>1124.6709551282052</v>
      </c>
      <c r="L45" s="820">
        <f t="shared" si="36"/>
        <v>-1124.6709551282052</v>
      </c>
      <c r="M45" s="820">
        <f t="shared" si="53"/>
        <v>1124.6709551282052</v>
      </c>
      <c r="N45" s="820">
        <f t="shared" si="37"/>
        <v>-3</v>
      </c>
      <c r="O45" s="821">
        <f t="shared" si="54"/>
        <v>1121.6709551282052</v>
      </c>
      <c r="P45" s="821">
        <v>0</v>
      </c>
      <c r="Q45" s="822">
        <f t="shared" si="38"/>
        <v>1121.6709551282052</v>
      </c>
      <c r="R45" s="822">
        <f>187*8-94-94</f>
        <v>1308</v>
      </c>
      <c r="S45" s="822">
        <f t="shared" si="39"/>
        <v>-186.32904487179485</v>
      </c>
      <c r="T45" s="822">
        <f t="shared" si="40"/>
        <v>-93</v>
      </c>
      <c r="U45" s="824">
        <f>'[14]FY2012-13 Final'!K48*90%</f>
        <v>10823.4</v>
      </c>
      <c r="V45" s="824">
        <f t="shared" si="55"/>
        <v>10823.4</v>
      </c>
      <c r="W45" s="1489">
        <f>'[20]Oct midyear LA Connections'!E44</f>
        <v>-1</v>
      </c>
      <c r="X45" s="824">
        <f t="shared" si="41"/>
        <v>-10823.4</v>
      </c>
      <c r="Y45" s="1489">
        <f>'[20]Feb midyear LA Connections'!E44</f>
        <v>1</v>
      </c>
      <c r="Z45" s="824">
        <f t="shared" si="42"/>
        <v>5411.7</v>
      </c>
      <c r="AA45" s="824">
        <f t="shared" si="43"/>
        <v>-5411.7</v>
      </c>
      <c r="AB45" s="824">
        <f t="shared" si="44"/>
        <v>5411.7</v>
      </c>
      <c r="AC45" s="824">
        <f t="shared" si="45"/>
        <v>-14</v>
      </c>
      <c r="AD45" s="824">
        <f t="shared" si="46"/>
        <v>5397.7</v>
      </c>
      <c r="AE45" s="823">
        <v>0</v>
      </c>
      <c r="AF45" s="850">
        <f t="shared" si="47"/>
        <v>5397.7</v>
      </c>
      <c r="AG45" s="850">
        <f>933*8-517-517</f>
        <v>6430</v>
      </c>
      <c r="AH45" s="850">
        <f t="shared" si="48"/>
        <v>-1032.3000000000002</v>
      </c>
      <c r="AI45" s="850">
        <f t="shared" si="49"/>
        <v>-516</v>
      </c>
      <c r="AJ45" s="825">
        <f t="shared" si="50"/>
        <v>6519.3709551282045</v>
      </c>
      <c r="AK45" s="825">
        <f t="shared" si="51"/>
        <v>-609</v>
      </c>
      <c r="AM45" s="1543">
        <v>-28</v>
      </c>
      <c r="AN45" s="1543">
        <v>14</v>
      </c>
      <c r="AP45" s="1543">
        <f t="shared" si="52"/>
        <v>0</v>
      </c>
    </row>
    <row r="46" spans="1:42" s="553" customFormat="1" ht="16.5" customHeight="1">
      <c r="A46" s="103">
        <v>42</v>
      </c>
      <c r="B46" s="805" t="s">
        <v>143</v>
      </c>
      <c r="C46" s="826">
        <f>'Table 8 2.1.12 MFP Funded'!W45</f>
        <v>0</v>
      </c>
      <c r="D46" s="827">
        <f>'Table 3 Levels 1&amp;2'!AL49*90%</f>
        <v>4733.4453842483845</v>
      </c>
      <c r="E46" s="827">
        <f t="shared" si="33"/>
        <v>0</v>
      </c>
      <c r="F46" s="828">
        <f>'Table 4 Level 3'!P47*90%</f>
        <v>480.85199999999998</v>
      </c>
      <c r="G46" s="828">
        <f t="shared" si="34"/>
        <v>0</v>
      </c>
      <c r="H46" s="828">
        <f t="shared" si="35"/>
        <v>0</v>
      </c>
      <c r="I46" s="828">
        <f>(('Table 3 Levels 1&amp;2'!AL49-D46)*C46)</f>
        <v>0</v>
      </c>
      <c r="J46" s="828">
        <f>'[1]Oct midyear LA Connections'!K45</f>
        <v>0</v>
      </c>
      <c r="K46" s="828">
        <f>'[1]Feb midyear LA Connections'!K45</f>
        <v>13035.743460620961</v>
      </c>
      <c r="L46" s="828">
        <f t="shared" si="36"/>
        <v>13035.743460620961</v>
      </c>
      <c r="M46" s="828">
        <f t="shared" si="53"/>
        <v>13035.743460620961</v>
      </c>
      <c r="N46" s="828">
        <f t="shared" si="37"/>
        <v>-33</v>
      </c>
      <c r="O46" s="829">
        <f t="shared" si="54"/>
        <v>13002.743460620961</v>
      </c>
      <c r="P46" s="829">
        <v>0</v>
      </c>
      <c r="Q46" s="830">
        <f t="shared" si="38"/>
        <v>13002.743460620961</v>
      </c>
      <c r="R46" s="830">
        <f>3251+3251</f>
        <v>6502</v>
      </c>
      <c r="S46" s="830">
        <f t="shared" si="39"/>
        <v>6500.7434606209608</v>
      </c>
      <c r="T46" s="830">
        <f t="shared" si="40"/>
        <v>3250</v>
      </c>
      <c r="U46" s="832">
        <f>'[14]FY2012-13 Final'!K49*90%</f>
        <v>2592.9</v>
      </c>
      <c r="V46" s="832">
        <f t="shared" si="55"/>
        <v>0</v>
      </c>
      <c r="W46" s="1490">
        <f>'[20]Oct midyear LA Connections'!E45</f>
        <v>0</v>
      </c>
      <c r="X46" s="832">
        <f t="shared" si="41"/>
        <v>0</v>
      </c>
      <c r="Y46" s="1490">
        <f>'[20]Feb midyear LA Connections'!E45</f>
        <v>5</v>
      </c>
      <c r="Z46" s="832">
        <f t="shared" si="42"/>
        <v>6482.25</v>
      </c>
      <c r="AA46" s="832">
        <f t="shared" si="43"/>
        <v>6482.25</v>
      </c>
      <c r="AB46" s="832">
        <f t="shared" si="44"/>
        <v>6482.25</v>
      </c>
      <c r="AC46" s="832">
        <f t="shared" si="45"/>
        <v>-16</v>
      </c>
      <c r="AD46" s="832">
        <f t="shared" si="46"/>
        <v>6466.25</v>
      </c>
      <c r="AE46" s="831">
        <v>0</v>
      </c>
      <c r="AF46" s="851">
        <f t="shared" si="47"/>
        <v>6466.25</v>
      </c>
      <c r="AG46" s="851">
        <f>1433+1433</f>
        <v>2866</v>
      </c>
      <c r="AH46" s="851">
        <f t="shared" si="48"/>
        <v>3600.25</v>
      </c>
      <c r="AI46" s="851">
        <f t="shared" si="49"/>
        <v>1800</v>
      </c>
      <c r="AJ46" s="833">
        <f t="shared" si="50"/>
        <v>19468.993460620961</v>
      </c>
      <c r="AK46" s="833">
        <f t="shared" si="51"/>
        <v>5050</v>
      </c>
      <c r="AM46" s="1543">
        <v>0</v>
      </c>
      <c r="AN46" s="1543">
        <v>-14</v>
      </c>
      <c r="AP46" s="1543">
        <f t="shared" si="52"/>
        <v>-2</v>
      </c>
    </row>
    <row r="47" spans="1:42" s="553" customFormat="1" ht="16.5" customHeight="1">
      <c r="A47" s="103">
        <v>43</v>
      </c>
      <c r="B47" s="805" t="s">
        <v>144</v>
      </c>
      <c r="C47" s="826">
        <f>'Table 8 2.1.12 MFP Funded'!W46</f>
        <v>6</v>
      </c>
      <c r="D47" s="827">
        <f>'Table 3 Levels 1&amp;2'!AL50*90%</f>
        <v>5042.4502871029408</v>
      </c>
      <c r="E47" s="827">
        <f t="shared" si="33"/>
        <v>30254.701722617647</v>
      </c>
      <c r="F47" s="828">
        <f>'Table 4 Level 3'!P48*90%</f>
        <v>517.14899999999989</v>
      </c>
      <c r="G47" s="828">
        <f t="shared" si="34"/>
        <v>3102.8939999999993</v>
      </c>
      <c r="H47" s="828">
        <f t="shared" si="35"/>
        <v>33357.595722617647</v>
      </c>
      <c r="I47" s="828">
        <f>(('Table 3 Levels 1&amp;2'!AL50-D47)*C47)</f>
        <v>3361.6335247352908</v>
      </c>
      <c r="J47" s="828">
        <f>'[1]Oct midyear LA Connections'!K46</f>
        <v>16678.797861308823</v>
      </c>
      <c r="K47" s="828">
        <f>'[1]Feb midyear LA Connections'!K46</f>
        <v>-8339.3989306544117</v>
      </c>
      <c r="L47" s="828">
        <f t="shared" si="36"/>
        <v>8339.3989306544117</v>
      </c>
      <c r="M47" s="828">
        <f t="shared" si="53"/>
        <v>41696.994653272057</v>
      </c>
      <c r="N47" s="828">
        <f t="shared" si="37"/>
        <v>-104</v>
      </c>
      <c r="O47" s="829">
        <f t="shared" si="54"/>
        <v>41592.994653272057</v>
      </c>
      <c r="P47" s="829">
        <v>0</v>
      </c>
      <c r="Q47" s="830">
        <f t="shared" si="38"/>
        <v>41592.994653272057</v>
      </c>
      <c r="R47" s="830">
        <f>2766*8+4840+4840</f>
        <v>31808</v>
      </c>
      <c r="S47" s="830">
        <f t="shared" si="39"/>
        <v>9784.9946532720569</v>
      </c>
      <c r="T47" s="830">
        <f t="shared" si="40"/>
        <v>4892</v>
      </c>
      <c r="U47" s="832">
        <f>'[14]FY2012-13 Final'!K50*90%</f>
        <v>4743</v>
      </c>
      <c r="V47" s="832">
        <f t="shared" si="55"/>
        <v>28458</v>
      </c>
      <c r="W47" s="1490">
        <f>'[20]Oct midyear LA Connections'!E46</f>
        <v>3</v>
      </c>
      <c r="X47" s="832">
        <f t="shared" si="41"/>
        <v>14229</v>
      </c>
      <c r="Y47" s="1490">
        <f>'[20]Feb midyear LA Connections'!E46</f>
        <v>-3</v>
      </c>
      <c r="Z47" s="832">
        <f t="shared" si="42"/>
        <v>-7114.5</v>
      </c>
      <c r="AA47" s="832">
        <f t="shared" si="43"/>
        <v>7114.5</v>
      </c>
      <c r="AB47" s="832">
        <f t="shared" si="44"/>
        <v>35572.5</v>
      </c>
      <c r="AC47" s="832">
        <f t="shared" si="45"/>
        <v>-89</v>
      </c>
      <c r="AD47" s="832">
        <f t="shared" si="46"/>
        <v>35483.5</v>
      </c>
      <c r="AE47" s="831">
        <v>0</v>
      </c>
      <c r="AF47" s="851">
        <f t="shared" si="47"/>
        <v>35483.5</v>
      </c>
      <c r="AG47" s="851">
        <f>2513*8+3836+3836</f>
        <v>27776</v>
      </c>
      <c r="AH47" s="851">
        <f t="shared" si="48"/>
        <v>7707.5</v>
      </c>
      <c r="AI47" s="851">
        <f t="shared" si="49"/>
        <v>3854</v>
      </c>
      <c r="AJ47" s="833">
        <f t="shared" si="50"/>
        <v>77076.494653272064</v>
      </c>
      <c r="AK47" s="833">
        <f t="shared" si="51"/>
        <v>8746</v>
      </c>
      <c r="AM47" s="1543">
        <v>-76</v>
      </c>
      <c r="AN47" s="1543">
        <v>-13</v>
      </c>
      <c r="AP47" s="1543">
        <f t="shared" si="52"/>
        <v>0</v>
      </c>
    </row>
    <row r="48" spans="1:42" s="553" customFormat="1" ht="16.5" customHeight="1">
      <c r="A48" s="103">
        <v>44</v>
      </c>
      <c r="B48" s="805" t="s">
        <v>145</v>
      </c>
      <c r="C48" s="826">
        <f>'Table 8 2.1.12 MFP Funded'!W47</f>
        <v>4</v>
      </c>
      <c r="D48" s="827">
        <f>'Table 3 Levels 1&amp;2'!AL51*90%</f>
        <v>3710.7279832530739</v>
      </c>
      <c r="E48" s="827">
        <f t="shared" si="33"/>
        <v>14842.911933012296</v>
      </c>
      <c r="F48" s="828">
        <f>'Table 4 Level 3'!P49*90%</f>
        <v>596.84400000000005</v>
      </c>
      <c r="G48" s="828">
        <f t="shared" si="34"/>
        <v>2387.3760000000002</v>
      </c>
      <c r="H48" s="828">
        <f t="shared" si="35"/>
        <v>17230.287933012296</v>
      </c>
      <c r="I48" s="828">
        <f>(('Table 3 Levels 1&amp;2'!AL51-D48)*C48)</f>
        <v>1649.2124370013662</v>
      </c>
      <c r="J48" s="828">
        <f>'[1]Oct midyear LA Connections'!K47</f>
        <v>25845.431899518444</v>
      </c>
      <c r="K48" s="828">
        <f>'[1]Feb midyear LA Connections'!K47</f>
        <v>-2153.785991626537</v>
      </c>
      <c r="L48" s="828">
        <f t="shared" si="36"/>
        <v>23691.645907891907</v>
      </c>
      <c r="M48" s="828">
        <f t="shared" si="53"/>
        <v>40921.933840904203</v>
      </c>
      <c r="N48" s="828">
        <f t="shared" si="37"/>
        <v>-102</v>
      </c>
      <c r="O48" s="829">
        <f t="shared" si="54"/>
        <v>40819.933840904203</v>
      </c>
      <c r="P48" s="829">
        <v>0</v>
      </c>
      <c r="Q48" s="830">
        <f t="shared" si="38"/>
        <v>40819.933840904203</v>
      </c>
      <c r="R48" s="830">
        <f>1429*8+7326+7326</f>
        <v>26084</v>
      </c>
      <c r="S48" s="830">
        <f t="shared" si="39"/>
        <v>14735.933840904203</v>
      </c>
      <c r="T48" s="830">
        <f t="shared" si="40"/>
        <v>7368</v>
      </c>
      <c r="U48" s="832">
        <f>'[14]FY2012-13 Final'!K51*90%</f>
        <v>3719.7000000000003</v>
      </c>
      <c r="V48" s="832">
        <f t="shared" si="55"/>
        <v>14878.800000000001</v>
      </c>
      <c r="W48" s="1490">
        <f>'[20]Oct midyear LA Connections'!E47</f>
        <v>6</v>
      </c>
      <c r="X48" s="832">
        <f t="shared" si="41"/>
        <v>22318.2</v>
      </c>
      <c r="Y48" s="1490">
        <f>'[20]Feb midyear LA Connections'!E47</f>
        <v>-1</v>
      </c>
      <c r="Z48" s="832">
        <f t="shared" si="42"/>
        <v>-1859.8500000000001</v>
      </c>
      <c r="AA48" s="832">
        <f t="shared" si="43"/>
        <v>20458.350000000002</v>
      </c>
      <c r="AB48" s="832">
        <f t="shared" si="44"/>
        <v>35337.15</v>
      </c>
      <c r="AC48" s="832">
        <f t="shared" si="45"/>
        <v>-88</v>
      </c>
      <c r="AD48" s="832">
        <f t="shared" si="46"/>
        <v>35249.15</v>
      </c>
      <c r="AE48" s="831">
        <v>0</v>
      </c>
      <c r="AF48" s="851">
        <f t="shared" si="47"/>
        <v>35249.15</v>
      </c>
      <c r="AG48" s="851">
        <f>1395*8+5971+5971</f>
        <v>23102</v>
      </c>
      <c r="AH48" s="851">
        <f t="shared" si="48"/>
        <v>12147.150000000001</v>
      </c>
      <c r="AI48" s="851">
        <f t="shared" si="49"/>
        <v>6074</v>
      </c>
      <c r="AJ48" s="833">
        <f t="shared" si="50"/>
        <v>76069.083840904204</v>
      </c>
      <c r="AK48" s="833">
        <f t="shared" si="51"/>
        <v>13442</v>
      </c>
      <c r="AM48" s="1543">
        <v>-42</v>
      </c>
      <c r="AN48" s="1543">
        <v>-46</v>
      </c>
      <c r="AP48" s="1543">
        <f t="shared" si="52"/>
        <v>0</v>
      </c>
    </row>
    <row r="49" spans="1:42" s="553" customFormat="1" ht="16.5" customHeight="1">
      <c r="A49" s="104">
        <v>45</v>
      </c>
      <c r="B49" s="806" t="s">
        <v>146</v>
      </c>
      <c r="C49" s="834">
        <f>'Table 8 2.1.12 MFP Funded'!W48</f>
        <v>6</v>
      </c>
      <c r="D49" s="835">
        <f>'Table 3 Levels 1&amp;2'!AL52*90%</f>
        <v>2185.8081907999576</v>
      </c>
      <c r="E49" s="835">
        <f t="shared" si="33"/>
        <v>13114.849144799746</v>
      </c>
      <c r="F49" s="836">
        <f>'Table 4 Level 3'!P50*90%</f>
        <v>678.56400000000019</v>
      </c>
      <c r="G49" s="836">
        <f t="shared" si="34"/>
        <v>4071.3840000000009</v>
      </c>
      <c r="H49" s="836">
        <f t="shared" si="35"/>
        <v>17186.233144799746</v>
      </c>
      <c r="I49" s="836">
        <f>(('Table 3 Levels 1&amp;2'!AL52-D49)*C49)</f>
        <v>1457.2054605333033</v>
      </c>
      <c r="J49" s="836">
        <f>'[1]Oct midyear LA Connections'!K48</f>
        <v>68744.932579198998</v>
      </c>
      <c r="K49" s="836">
        <f>'[1]Feb midyear LA Connections'!K48</f>
        <v>-15754.047049399769</v>
      </c>
      <c r="L49" s="836">
        <f t="shared" si="36"/>
        <v>52990.885529799227</v>
      </c>
      <c r="M49" s="836">
        <f t="shared" si="53"/>
        <v>70177.118674598969</v>
      </c>
      <c r="N49" s="836">
        <f t="shared" si="37"/>
        <v>-175</v>
      </c>
      <c r="O49" s="837">
        <f t="shared" si="54"/>
        <v>70002.118674598969</v>
      </c>
      <c r="P49" s="837">
        <v>0</v>
      </c>
      <c r="Q49" s="838">
        <f t="shared" si="38"/>
        <v>70002.118674598969</v>
      </c>
      <c r="R49" s="838">
        <f>1422*8+14580+14580</f>
        <v>40536</v>
      </c>
      <c r="S49" s="838">
        <f t="shared" si="39"/>
        <v>29466.118674598969</v>
      </c>
      <c r="T49" s="838">
        <f t="shared" si="40"/>
        <v>14733</v>
      </c>
      <c r="U49" s="840">
        <f>'[14]FY2012-13 Final'!K52*90%</f>
        <v>11201.4</v>
      </c>
      <c r="V49" s="840">
        <f t="shared" si="55"/>
        <v>67208.399999999994</v>
      </c>
      <c r="W49" s="1491">
        <f>'[20]Oct midyear LA Connections'!E48</f>
        <v>24</v>
      </c>
      <c r="X49" s="840">
        <f t="shared" si="41"/>
        <v>268833.59999999998</v>
      </c>
      <c r="Y49" s="1491">
        <f>'[20]Feb midyear LA Connections'!E48</f>
        <v>-11</v>
      </c>
      <c r="Z49" s="840">
        <f t="shared" si="42"/>
        <v>-61607.7</v>
      </c>
      <c r="AA49" s="840">
        <f t="shared" si="43"/>
        <v>207225.89999999997</v>
      </c>
      <c r="AB49" s="840">
        <f t="shared" si="44"/>
        <v>274434.29999999993</v>
      </c>
      <c r="AC49" s="840">
        <f t="shared" si="45"/>
        <v>-686</v>
      </c>
      <c r="AD49" s="840">
        <f t="shared" si="46"/>
        <v>273748.29999999993</v>
      </c>
      <c r="AE49" s="839">
        <v>0</v>
      </c>
      <c r="AF49" s="852">
        <f t="shared" si="47"/>
        <v>273748.29999999993</v>
      </c>
      <c r="AG49" s="852">
        <f>5229*2+5230+5230+5230+5230+5230+5230+57873+57873</f>
        <v>157584</v>
      </c>
      <c r="AH49" s="852">
        <f t="shared" si="48"/>
        <v>116164.29999999993</v>
      </c>
      <c r="AI49" s="852">
        <f t="shared" si="49"/>
        <v>58082</v>
      </c>
      <c r="AJ49" s="841">
        <f t="shared" si="50"/>
        <v>343750.41867459891</v>
      </c>
      <c r="AK49" s="841">
        <f t="shared" si="51"/>
        <v>72815</v>
      </c>
      <c r="AM49" s="1543">
        <v>-157</v>
      </c>
      <c r="AN49" s="1543">
        <v>-528</v>
      </c>
      <c r="AP49" s="1543">
        <f t="shared" si="52"/>
        <v>-1</v>
      </c>
    </row>
    <row r="50" spans="1:42" s="553" customFormat="1" ht="16.5" customHeight="1">
      <c r="A50" s="103">
        <v>46</v>
      </c>
      <c r="B50" s="805" t="s">
        <v>147</v>
      </c>
      <c r="C50" s="818">
        <f>'Table 8 2.1.12 MFP Funded'!W49</f>
        <v>0</v>
      </c>
      <c r="D50" s="819">
        <f>'Table 3 Levels 1&amp;2'!AL53*90%</f>
        <v>5205.2515612025381</v>
      </c>
      <c r="E50" s="819">
        <f t="shared" si="33"/>
        <v>0</v>
      </c>
      <c r="F50" s="820">
        <f>'Table 4 Level 3'!P51*90%</f>
        <v>655.25400000000002</v>
      </c>
      <c r="G50" s="820">
        <f t="shared" si="34"/>
        <v>0</v>
      </c>
      <c r="H50" s="820">
        <f t="shared" si="35"/>
        <v>0</v>
      </c>
      <c r="I50" s="820">
        <f>(('Table 3 Levels 1&amp;2'!AL53-D50)*C50)</f>
        <v>0</v>
      </c>
      <c r="J50" s="820">
        <f>'[1]Oct midyear LA Connections'!K49</f>
        <v>82047.077856835531</v>
      </c>
      <c r="K50" s="820">
        <f>'[1]Feb midyear LA Connections'!K49</f>
        <v>-26372.275025411422</v>
      </c>
      <c r="L50" s="820">
        <f t="shared" si="36"/>
        <v>55674.802831424109</v>
      </c>
      <c r="M50" s="820">
        <f t="shared" si="53"/>
        <v>55674.802831424109</v>
      </c>
      <c r="N50" s="820">
        <f t="shared" si="37"/>
        <v>-139</v>
      </c>
      <c r="O50" s="821">
        <f t="shared" si="54"/>
        <v>55535.802831424109</v>
      </c>
      <c r="P50" s="821">
        <v>0</v>
      </c>
      <c r="Q50" s="822">
        <f t="shared" si="38"/>
        <v>55535.802831424109</v>
      </c>
      <c r="R50" s="822">
        <f>13844+13844</f>
        <v>27688</v>
      </c>
      <c r="S50" s="822">
        <f t="shared" si="39"/>
        <v>27847.802831424109</v>
      </c>
      <c r="T50" s="822">
        <f t="shared" si="40"/>
        <v>13924</v>
      </c>
      <c r="U50" s="824">
        <f>'[14]FY2012-13 Final'!K53*90%</f>
        <v>1778.4</v>
      </c>
      <c r="V50" s="824">
        <f t="shared" si="55"/>
        <v>0</v>
      </c>
      <c r="W50" s="1489">
        <f>'[20]Oct midyear LA Connections'!E49</f>
        <v>14</v>
      </c>
      <c r="X50" s="824">
        <f t="shared" si="41"/>
        <v>24897.600000000002</v>
      </c>
      <c r="Y50" s="1489">
        <f>'[20]Feb midyear LA Connections'!E49</f>
        <v>-9</v>
      </c>
      <c r="Z50" s="824">
        <f t="shared" si="42"/>
        <v>-8002.8</v>
      </c>
      <c r="AA50" s="824">
        <f t="shared" si="43"/>
        <v>16894.800000000003</v>
      </c>
      <c r="AB50" s="824">
        <f t="shared" si="44"/>
        <v>16894.800000000003</v>
      </c>
      <c r="AC50" s="824">
        <f t="shared" si="45"/>
        <v>-42</v>
      </c>
      <c r="AD50" s="824">
        <f t="shared" si="46"/>
        <v>16852.800000000003</v>
      </c>
      <c r="AE50" s="823">
        <v>0</v>
      </c>
      <c r="AF50" s="850">
        <f t="shared" si="47"/>
        <v>16852.800000000003</v>
      </c>
      <c r="AG50" s="850">
        <f>4196+4196</f>
        <v>8392</v>
      </c>
      <c r="AH50" s="850">
        <f t="shared" si="48"/>
        <v>8460.8000000000029</v>
      </c>
      <c r="AI50" s="850">
        <f t="shared" si="49"/>
        <v>4230</v>
      </c>
      <c r="AJ50" s="825">
        <f t="shared" si="50"/>
        <v>72388.602831424112</v>
      </c>
      <c r="AK50" s="825">
        <f t="shared" si="51"/>
        <v>18154</v>
      </c>
      <c r="AM50" s="1543">
        <v>0</v>
      </c>
      <c r="AN50" s="1543">
        <v>-42</v>
      </c>
      <c r="AP50" s="1543">
        <f t="shared" si="52"/>
        <v>0</v>
      </c>
    </row>
    <row r="51" spans="1:42" s="553" customFormat="1" ht="16.5" customHeight="1">
      <c r="A51" s="103">
        <v>47</v>
      </c>
      <c r="B51" s="805" t="s">
        <v>148</v>
      </c>
      <c r="C51" s="826">
        <f>'Table 8 2.1.12 MFP Funded'!W50</f>
        <v>0</v>
      </c>
      <c r="D51" s="827">
        <f>'Table 3 Levels 1&amp;2'!AL54*90%</f>
        <v>2888.8324220827371</v>
      </c>
      <c r="E51" s="827">
        <f t="shared" si="33"/>
        <v>0</v>
      </c>
      <c r="F51" s="828">
        <f>'Table 4 Level 3'!P52*90%</f>
        <v>819.68399999999997</v>
      </c>
      <c r="G51" s="828">
        <f t="shared" si="34"/>
        <v>0</v>
      </c>
      <c r="H51" s="828">
        <f t="shared" si="35"/>
        <v>0</v>
      </c>
      <c r="I51" s="828">
        <f>(('Table 3 Levels 1&amp;2'!AL54-D51)*C51)</f>
        <v>0</v>
      </c>
      <c r="J51" s="828">
        <f>'[1]Oct midyear LA Connections'!K50</f>
        <v>3708.5164220827373</v>
      </c>
      <c r="K51" s="828">
        <f>'[1]Feb midyear LA Connections'!K50</f>
        <v>0</v>
      </c>
      <c r="L51" s="828">
        <f t="shared" si="36"/>
        <v>3708.5164220827373</v>
      </c>
      <c r="M51" s="828">
        <f t="shared" si="53"/>
        <v>3708.5164220827373</v>
      </c>
      <c r="N51" s="828">
        <f t="shared" si="37"/>
        <v>-9</v>
      </c>
      <c r="O51" s="829">
        <f t="shared" si="54"/>
        <v>3699.5164220827373</v>
      </c>
      <c r="P51" s="829">
        <v>0</v>
      </c>
      <c r="Q51" s="830">
        <f t="shared" si="38"/>
        <v>3699.5164220827373</v>
      </c>
      <c r="R51" s="830">
        <f>920+920</f>
        <v>1840</v>
      </c>
      <c r="S51" s="830">
        <f t="shared" si="39"/>
        <v>1859.5164220827373</v>
      </c>
      <c r="T51" s="830">
        <f t="shared" si="40"/>
        <v>930</v>
      </c>
      <c r="U51" s="832">
        <f>'[14]FY2012-13 Final'!K54*90%</f>
        <v>9060.3000000000011</v>
      </c>
      <c r="V51" s="832">
        <f t="shared" si="55"/>
        <v>0</v>
      </c>
      <c r="W51" s="1490">
        <f>'[20]Oct midyear LA Connections'!E50</f>
        <v>1</v>
      </c>
      <c r="X51" s="832">
        <f t="shared" si="41"/>
        <v>9060.3000000000011</v>
      </c>
      <c r="Y51" s="1490">
        <f>'[20]Feb midyear LA Connections'!E50</f>
        <v>0</v>
      </c>
      <c r="Z51" s="832">
        <f t="shared" si="42"/>
        <v>0</v>
      </c>
      <c r="AA51" s="832">
        <f t="shared" si="43"/>
        <v>9060.3000000000011</v>
      </c>
      <c r="AB51" s="832">
        <f t="shared" si="44"/>
        <v>9060.3000000000011</v>
      </c>
      <c r="AC51" s="832">
        <f t="shared" si="45"/>
        <v>-23</v>
      </c>
      <c r="AD51" s="832">
        <f t="shared" si="46"/>
        <v>9037.3000000000011</v>
      </c>
      <c r="AE51" s="831">
        <v>0</v>
      </c>
      <c r="AF51" s="851">
        <f t="shared" si="47"/>
        <v>9037.3000000000011</v>
      </c>
      <c r="AG51" s="851">
        <f>2255+2255</f>
        <v>4510</v>
      </c>
      <c r="AH51" s="851">
        <f t="shared" si="48"/>
        <v>4527.3000000000011</v>
      </c>
      <c r="AI51" s="851">
        <f t="shared" si="49"/>
        <v>2264</v>
      </c>
      <c r="AJ51" s="833">
        <f t="shared" si="50"/>
        <v>12736.816422082738</v>
      </c>
      <c r="AK51" s="833">
        <f t="shared" si="51"/>
        <v>3194</v>
      </c>
      <c r="AM51" s="1543">
        <v>0</v>
      </c>
      <c r="AN51" s="1543">
        <v>-23</v>
      </c>
      <c r="AP51" s="1543">
        <f t="shared" si="52"/>
        <v>0</v>
      </c>
    </row>
    <row r="52" spans="1:42" s="553" customFormat="1" ht="16.5" customHeight="1">
      <c r="A52" s="103">
        <v>48</v>
      </c>
      <c r="B52" s="805" t="s">
        <v>217</v>
      </c>
      <c r="C52" s="826">
        <f>'Table 8 2.1.12 MFP Funded'!W51</f>
        <v>3</v>
      </c>
      <c r="D52" s="827">
        <f>'Table 3 Levels 1&amp;2'!AL55*90%</f>
        <v>3850.3761095458653</v>
      </c>
      <c r="E52" s="827">
        <f t="shared" si="33"/>
        <v>11551.128328637596</v>
      </c>
      <c r="F52" s="828">
        <f>'Table 4 Level 3'!P53*90%</f>
        <v>783.96300000000008</v>
      </c>
      <c r="G52" s="828">
        <f t="shared" si="34"/>
        <v>2351.8890000000001</v>
      </c>
      <c r="H52" s="828">
        <f t="shared" si="35"/>
        <v>13903.017328637598</v>
      </c>
      <c r="I52" s="828">
        <f>(('Table 3 Levels 1&amp;2'!AL55-D52)*C52)</f>
        <v>1283.4587031819551</v>
      </c>
      <c r="J52" s="828">
        <f>'[1]Oct midyear LA Connections'!K51</f>
        <v>-4634.3391095458655</v>
      </c>
      <c r="K52" s="828">
        <f>'[1]Feb midyear LA Connections'!K51</f>
        <v>37074.712876366924</v>
      </c>
      <c r="L52" s="828">
        <f t="shared" si="36"/>
        <v>32440.37376682106</v>
      </c>
      <c r="M52" s="828">
        <f t="shared" si="53"/>
        <v>46343.391095458661</v>
      </c>
      <c r="N52" s="828">
        <f t="shared" si="37"/>
        <v>-116</v>
      </c>
      <c r="O52" s="829">
        <f t="shared" si="54"/>
        <v>46227.391095458661</v>
      </c>
      <c r="P52" s="829">
        <v>0</v>
      </c>
      <c r="Q52" s="830">
        <f t="shared" si="38"/>
        <v>46227.391095458661</v>
      </c>
      <c r="R52" s="830">
        <f>1152*8+9213+9213</f>
        <v>27642</v>
      </c>
      <c r="S52" s="830">
        <f t="shared" si="39"/>
        <v>18585.391095458661</v>
      </c>
      <c r="T52" s="830">
        <f t="shared" si="40"/>
        <v>9293</v>
      </c>
      <c r="U52" s="832">
        <f>'[14]FY2012-13 Final'!K55*90%</f>
        <v>5264.1</v>
      </c>
      <c r="V52" s="832">
        <f t="shared" si="55"/>
        <v>15792.300000000001</v>
      </c>
      <c r="W52" s="1490">
        <f>'[20]Oct midyear LA Connections'!E51</f>
        <v>-1</v>
      </c>
      <c r="X52" s="832">
        <f t="shared" si="41"/>
        <v>-5264.1</v>
      </c>
      <c r="Y52" s="1490">
        <f>'[20]Feb midyear LA Connections'!E51</f>
        <v>16</v>
      </c>
      <c r="Z52" s="832">
        <f t="shared" si="42"/>
        <v>42112.800000000003</v>
      </c>
      <c r="AA52" s="832">
        <f t="shared" si="43"/>
        <v>36848.700000000004</v>
      </c>
      <c r="AB52" s="832">
        <f t="shared" si="44"/>
        <v>52641.000000000007</v>
      </c>
      <c r="AC52" s="832">
        <f t="shared" si="45"/>
        <v>-132</v>
      </c>
      <c r="AD52" s="832">
        <f t="shared" si="46"/>
        <v>52509.000000000007</v>
      </c>
      <c r="AE52" s="831">
        <v>0</v>
      </c>
      <c r="AF52" s="851">
        <f t="shared" si="47"/>
        <v>52509.000000000007</v>
      </c>
      <c r="AG52" s="851">
        <f>1195*8+10527+10527</f>
        <v>30614</v>
      </c>
      <c r="AH52" s="851">
        <f t="shared" si="48"/>
        <v>21895.000000000007</v>
      </c>
      <c r="AI52" s="851">
        <f t="shared" si="49"/>
        <v>10948</v>
      </c>
      <c r="AJ52" s="833">
        <f t="shared" si="50"/>
        <v>98736.391095458675</v>
      </c>
      <c r="AK52" s="833">
        <f t="shared" si="51"/>
        <v>20241</v>
      </c>
      <c r="AM52" s="1543">
        <v>-36</v>
      </c>
      <c r="AN52" s="1543">
        <v>-93</v>
      </c>
      <c r="AP52" s="1543">
        <f t="shared" si="52"/>
        <v>-3</v>
      </c>
    </row>
    <row r="53" spans="1:42" s="553" customFormat="1" ht="16.5" customHeight="1">
      <c r="A53" s="103">
        <v>49</v>
      </c>
      <c r="B53" s="805" t="s">
        <v>149</v>
      </c>
      <c r="C53" s="826">
        <f>'Table 8 2.1.12 MFP Funded'!W52</f>
        <v>10</v>
      </c>
      <c r="D53" s="827">
        <f>'Table 3 Levels 1&amp;2'!AL56*90%</f>
        <v>4337.2549677574598</v>
      </c>
      <c r="E53" s="827">
        <f t="shared" si="33"/>
        <v>43372.5496775746</v>
      </c>
      <c r="F53" s="828">
        <f>'Table 4 Level 3'!P54*90%</f>
        <v>516.99599999999998</v>
      </c>
      <c r="G53" s="828">
        <f t="shared" si="34"/>
        <v>5169.96</v>
      </c>
      <c r="H53" s="828">
        <f t="shared" si="35"/>
        <v>48542.509677574599</v>
      </c>
      <c r="I53" s="828">
        <f>(('Table 3 Levels 1&amp;2'!AL56-D53)*C53)</f>
        <v>4819.1721863971725</v>
      </c>
      <c r="J53" s="828">
        <f>'[1]Oct midyear LA Connections'!K52</f>
        <v>29125.505806544759</v>
      </c>
      <c r="K53" s="828">
        <f>'[1]Feb midyear LA Connections'!K52</f>
        <v>38834.007742059679</v>
      </c>
      <c r="L53" s="828">
        <f t="shared" si="36"/>
        <v>67959.513548604446</v>
      </c>
      <c r="M53" s="828">
        <f t="shared" si="53"/>
        <v>116502.02322617904</v>
      </c>
      <c r="N53" s="828">
        <f t="shared" si="37"/>
        <v>-291</v>
      </c>
      <c r="O53" s="829">
        <f t="shared" si="54"/>
        <v>116211.02322617904</v>
      </c>
      <c r="P53" s="829">
        <v>0</v>
      </c>
      <c r="Q53" s="830">
        <f t="shared" si="38"/>
        <v>116211.02322617904</v>
      </c>
      <c r="R53" s="830">
        <f>4021*8+20909+20909</f>
        <v>73986</v>
      </c>
      <c r="S53" s="830">
        <f t="shared" si="39"/>
        <v>42225.023226179037</v>
      </c>
      <c r="T53" s="830">
        <f t="shared" si="40"/>
        <v>21113</v>
      </c>
      <c r="U53" s="832">
        <f>'[14]FY2012-13 Final'!K56*90%</f>
        <v>2110.5</v>
      </c>
      <c r="V53" s="832">
        <f t="shared" si="55"/>
        <v>21105</v>
      </c>
      <c r="W53" s="1490">
        <f>'[20]Oct midyear LA Connections'!E52</f>
        <v>6</v>
      </c>
      <c r="X53" s="832">
        <f t="shared" si="41"/>
        <v>12663</v>
      </c>
      <c r="Y53" s="1490">
        <f>'[20]Feb midyear LA Connections'!E52</f>
        <v>16</v>
      </c>
      <c r="Z53" s="832">
        <f t="shared" si="42"/>
        <v>16884</v>
      </c>
      <c r="AA53" s="832">
        <f t="shared" si="43"/>
        <v>29547</v>
      </c>
      <c r="AB53" s="832">
        <f t="shared" si="44"/>
        <v>50652</v>
      </c>
      <c r="AC53" s="832">
        <f t="shared" si="45"/>
        <v>-127</v>
      </c>
      <c r="AD53" s="832">
        <f t="shared" si="46"/>
        <v>50525</v>
      </c>
      <c r="AE53" s="831">
        <v>0</v>
      </c>
      <c r="AF53" s="851">
        <f t="shared" si="47"/>
        <v>50525</v>
      </c>
      <c r="AG53" s="851">
        <f>1740*8+9098+9098</f>
        <v>32116</v>
      </c>
      <c r="AH53" s="851">
        <f t="shared" si="48"/>
        <v>18409</v>
      </c>
      <c r="AI53" s="851">
        <f t="shared" si="49"/>
        <v>9205</v>
      </c>
      <c r="AJ53" s="833">
        <f t="shared" si="50"/>
        <v>166736.02322617904</v>
      </c>
      <c r="AK53" s="833">
        <f t="shared" si="51"/>
        <v>30318</v>
      </c>
      <c r="AM53" s="1543">
        <v>-52</v>
      </c>
      <c r="AN53" s="1543">
        <v>-74</v>
      </c>
      <c r="AP53" s="1543">
        <f t="shared" si="52"/>
        <v>-1</v>
      </c>
    </row>
    <row r="54" spans="1:42" s="553" customFormat="1" ht="16.5" customHeight="1">
      <c r="A54" s="104">
        <v>50</v>
      </c>
      <c r="B54" s="806" t="s">
        <v>150</v>
      </c>
      <c r="C54" s="834">
        <f>'Table 8 2.1.12 MFP Funded'!W53</f>
        <v>15</v>
      </c>
      <c r="D54" s="835">
        <f>'Table 3 Levels 1&amp;2'!AL57*90%</f>
        <v>4570.5043344931864</v>
      </c>
      <c r="E54" s="835">
        <f t="shared" si="33"/>
        <v>68557.565017397792</v>
      </c>
      <c r="F54" s="836">
        <f>'Table 4 Level 3'!P55*90%</f>
        <v>571.01400000000001</v>
      </c>
      <c r="G54" s="836">
        <f t="shared" si="34"/>
        <v>8565.2100000000009</v>
      </c>
      <c r="H54" s="836">
        <f t="shared" si="35"/>
        <v>77122.775017397798</v>
      </c>
      <c r="I54" s="836">
        <f>(('Table 3 Levels 1&amp;2'!AL57-D54)*C54)</f>
        <v>7617.5072241553016</v>
      </c>
      <c r="J54" s="836">
        <f>'[1]Oct midyear LA Connections'!K53</f>
        <v>-77122.775017397798</v>
      </c>
      <c r="K54" s="836">
        <f>'[1]Feb midyear LA Connections'!K53</f>
        <v>28278.350839712526</v>
      </c>
      <c r="L54" s="836">
        <f t="shared" si="36"/>
        <v>-48844.424177685272</v>
      </c>
      <c r="M54" s="836">
        <f t="shared" si="53"/>
        <v>28278.350839712526</v>
      </c>
      <c r="N54" s="836">
        <f t="shared" si="37"/>
        <v>-71</v>
      </c>
      <c r="O54" s="837">
        <f t="shared" si="54"/>
        <v>28207.350839712526</v>
      </c>
      <c r="P54" s="837">
        <v>0</v>
      </c>
      <c r="Q54" s="838">
        <f t="shared" si="38"/>
        <v>28207.350839712526</v>
      </c>
      <c r="R54" s="838">
        <f>6390*8-5751-5751</f>
        <v>39618</v>
      </c>
      <c r="S54" s="838">
        <f t="shared" si="39"/>
        <v>-11410.649160287474</v>
      </c>
      <c r="T54" s="838">
        <f t="shared" si="40"/>
        <v>-5705</v>
      </c>
      <c r="U54" s="840">
        <f>'[14]FY2012-13 Final'!K57*90%</f>
        <v>2529</v>
      </c>
      <c r="V54" s="840">
        <f t="shared" si="55"/>
        <v>37935</v>
      </c>
      <c r="W54" s="1491">
        <f>'[20]Oct midyear LA Connections'!E53</f>
        <v>-15</v>
      </c>
      <c r="X54" s="840">
        <f t="shared" si="41"/>
        <v>-37935</v>
      </c>
      <c r="Y54" s="1491">
        <f>'[20]Feb midyear LA Connections'!E53</f>
        <v>11</v>
      </c>
      <c r="Z54" s="840">
        <f t="shared" si="42"/>
        <v>13909.5</v>
      </c>
      <c r="AA54" s="840">
        <f t="shared" si="43"/>
        <v>-24025.5</v>
      </c>
      <c r="AB54" s="840">
        <f t="shared" si="44"/>
        <v>13909.5</v>
      </c>
      <c r="AC54" s="840">
        <f t="shared" si="45"/>
        <v>-35</v>
      </c>
      <c r="AD54" s="840">
        <f t="shared" si="46"/>
        <v>13874.5</v>
      </c>
      <c r="AE54" s="839">
        <v>0</v>
      </c>
      <c r="AF54" s="852">
        <f t="shared" si="47"/>
        <v>13874.5</v>
      </c>
      <c r="AG54" s="852">
        <f>2889+2888+2889+2889+2889+2889+2889+2889-2320-2320</f>
        <v>18471</v>
      </c>
      <c r="AH54" s="852">
        <f t="shared" si="48"/>
        <v>-4596.5</v>
      </c>
      <c r="AI54" s="852">
        <f t="shared" si="49"/>
        <v>-2298</v>
      </c>
      <c r="AJ54" s="841">
        <f t="shared" si="50"/>
        <v>42081.850839712526</v>
      </c>
      <c r="AK54" s="841">
        <f t="shared" si="51"/>
        <v>-8003</v>
      </c>
      <c r="AM54" s="1543">
        <v>-87</v>
      </c>
      <c r="AN54" s="1543">
        <v>52</v>
      </c>
      <c r="AP54" s="1543">
        <f t="shared" si="52"/>
        <v>0</v>
      </c>
    </row>
    <row r="55" spans="1:42" s="553" customFormat="1" ht="16.5" customHeight="1">
      <c r="A55" s="103">
        <v>51</v>
      </c>
      <c r="B55" s="805" t="s">
        <v>151</v>
      </c>
      <c r="C55" s="818">
        <f>'Table 8 2.1.12 MFP Funded'!W54</f>
        <v>5</v>
      </c>
      <c r="D55" s="819">
        <f>'Table 3 Levels 1&amp;2'!AL58*90%</f>
        <v>3895.0873518314788</v>
      </c>
      <c r="E55" s="819">
        <f t="shared" si="33"/>
        <v>19475.436759157394</v>
      </c>
      <c r="F55" s="820">
        <f>'Table 4 Level 3'!P56*90%</f>
        <v>635.99400000000003</v>
      </c>
      <c r="G55" s="820">
        <f t="shared" si="34"/>
        <v>3179.9700000000003</v>
      </c>
      <c r="H55" s="820">
        <f t="shared" si="35"/>
        <v>22655.406759157395</v>
      </c>
      <c r="I55" s="820">
        <f>(('Table 3 Levels 1&amp;2'!AL58-D55)*C55)</f>
        <v>2163.9374176841534</v>
      </c>
      <c r="J55" s="820">
        <f>'[1]Oct midyear LA Connections'!K54</f>
        <v>-9062.1627036629579</v>
      </c>
      <c r="K55" s="820">
        <f>'[1]Feb midyear LA Connections'!K54</f>
        <v>-4531.081351831479</v>
      </c>
      <c r="L55" s="820">
        <f t="shared" si="36"/>
        <v>-13593.244055494437</v>
      </c>
      <c r="M55" s="820">
        <f t="shared" si="53"/>
        <v>9062.1627036629579</v>
      </c>
      <c r="N55" s="820">
        <f t="shared" si="37"/>
        <v>-23</v>
      </c>
      <c r="O55" s="821">
        <f t="shared" si="54"/>
        <v>9039.1627036629579</v>
      </c>
      <c r="P55" s="821">
        <v>0</v>
      </c>
      <c r="Q55" s="822">
        <f t="shared" si="38"/>
        <v>9039.1627036629579</v>
      </c>
      <c r="R55" s="822">
        <f>1904*8-1523-1523</f>
        <v>12186</v>
      </c>
      <c r="S55" s="822">
        <f t="shared" si="39"/>
        <v>-3146.8372963370421</v>
      </c>
      <c r="T55" s="822">
        <f t="shared" si="40"/>
        <v>-1573</v>
      </c>
      <c r="U55" s="824">
        <f>'[14]FY2012-13 Final'!K58*90%</f>
        <v>3771.9</v>
      </c>
      <c r="V55" s="824">
        <f t="shared" si="55"/>
        <v>18859.5</v>
      </c>
      <c r="W55" s="1489">
        <f>'[20]Oct midyear LA Connections'!E54</f>
        <v>-2</v>
      </c>
      <c r="X55" s="824">
        <f t="shared" si="41"/>
        <v>-7543.8</v>
      </c>
      <c r="Y55" s="1489">
        <f>'[20]Feb midyear LA Connections'!E54</f>
        <v>-2</v>
      </c>
      <c r="Z55" s="824">
        <f t="shared" si="42"/>
        <v>-3771.9</v>
      </c>
      <c r="AA55" s="824">
        <f t="shared" si="43"/>
        <v>-11315.7</v>
      </c>
      <c r="AB55" s="824">
        <f t="shared" si="44"/>
        <v>7543.7999999999993</v>
      </c>
      <c r="AC55" s="824">
        <f t="shared" si="45"/>
        <v>-19</v>
      </c>
      <c r="AD55" s="824">
        <f t="shared" si="46"/>
        <v>7524.7999999999993</v>
      </c>
      <c r="AE55" s="823">
        <v>0</v>
      </c>
      <c r="AF55" s="850">
        <f t="shared" si="47"/>
        <v>7524.7999999999993</v>
      </c>
      <c r="AG55" s="850">
        <f>1475*8-1131-1131</f>
        <v>9538</v>
      </c>
      <c r="AH55" s="850">
        <f t="shared" si="48"/>
        <v>-2013.2000000000007</v>
      </c>
      <c r="AI55" s="850">
        <f t="shared" si="49"/>
        <v>-1007</v>
      </c>
      <c r="AJ55" s="825">
        <f t="shared" si="50"/>
        <v>16563.962703662957</v>
      </c>
      <c r="AK55" s="825">
        <f t="shared" si="51"/>
        <v>-2580</v>
      </c>
      <c r="AM55" s="1543">
        <v>-44</v>
      </c>
      <c r="AN55" s="1543">
        <v>26</v>
      </c>
      <c r="AP55" s="1543">
        <f t="shared" si="52"/>
        <v>-1</v>
      </c>
    </row>
    <row r="56" spans="1:42" s="553" customFormat="1" ht="16.5" customHeight="1">
      <c r="A56" s="103">
        <v>52</v>
      </c>
      <c r="B56" s="805" t="s">
        <v>152</v>
      </c>
      <c r="C56" s="826">
        <f>'Table 8 2.1.12 MFP Funded'!W55</f>
        <v>51</v>
      </c>
      <c r="D56" s="827">
        <f>'Table 3 Levels 1&amp;2'!AL59*90%</f>
        <v>4442.9815583870259</v>
      </c>
      <c r="E56" s="827">
        <f t="shared" si="33"/>
        <v>226592.05947773831</v>
      </c>
      <c r="F56" s="828">
        <f>'Table 4 Level 3'!P57*90%</f>
        <v>592.53300000000002</v>
      </c>
      <c r="G56" s="828">
        <f t="shared" si="34"/>
        <v>30219.183000000001</v>
      </c>
      <c r="H56" s="828">
        <f t="shared" si="35"/>
        <v>256811.2424777383</v>
      </c>
      <c r="I56" s="828">
        <f>(('Table 3 Levels 1&amp;2'!AL59-D56)*C56)</f>
        <v>25176.895497526453</v>
      </c>
      <c r="J56" s="828">
        <f>'[1]Oct midyear LA Connections'!K55</f>
        <v>347450.5045287048</v>
      </c>
      <c r="K56" s="828">
        <f>'[1]Feb midyear LA Connections'!K55</f>
        <v>-32730.844629515672</v>
      </c>
      <c r="L56" s="828">
        <f t="shared" si="36"/>
        <v>314719.65989918914</v>
      </c>
      <c r="M56" s="828">
        <f t="shared" si="53"/>
        <v>571530.90237692744</v>
      </c>
      <c r="N56" s="828">
        <f t="shared" si="37"/>
        <v>-1429</v>
      </c>
      <c r="O56" s="829">
        <f t="shared" si="54"/>
        <v>570101.90237692744</v>
      </c>
      <c r="P56" s="829">
        <v>0</v>
      </c>
      <c r="Q56" s="830">
        <f t="shared" si="38"/>
        <v>570101.90237692744</v>
      </c>
      <c r="R56" s="830">
        <f>21284*8+99535+99535</f>
        <v>369342</v>
      </c>
      <c r="S56" s="830">
        <f t="shared" si="39"/>
        <v>200759.90237692744</v>
      </c>
      <c r="T56" s="830">
        <f t="shared" si="40"/>
        <v>100380</v>
      </c>
      <c r="U56" s="832">
        <f>'[14]FY2012-13 Final'!K59*90%</f>
        <v>4405.5</v>
      </c>
      <c r="V56" s="832">
        <f t="shared" si="55"/>
        <v>224680.5</v>
      </c>
      <c r="W56" s="1490">
        <f>'[20]Oct midyear LA Connections'!E55</f>
        <v>69</v>
      </c>
      <c r="X56" s="832">
        <f t="shared" si="41"/>
        <v>303979.5</v>
      </c>
      <c r="Y56" s="1490">
        <f>'[20]Feb midyear LA Connections'!E55</f>
        <v>-13</v>
      </c>
      <c r="Z56" s="832">
        <f t="shared" si="42"/>
        <v>-28635.75</v>
      </c>
      <c r="AA56" s="832">
        <f t="shared" si="43"/>
        <v>275343.75</v>
      </c>
      <c r="AB56" s="832">
        <f t="shared" si="44"/>
        <v>500024.25</v>
      </c>
      <c r="AC56" s="832">
        <f t="shared" si="45"/>
        <v>-1250</v>
      </c>
      <c r="AD56" s="832">
        <f t="shared" si="46"/>
        <v>498774.25</v>
      </c>
      <c r="AE56" s="831">
        <v>0</v>
      </c>
      <c r="AF56" s="851">
        <f t="shared" si="47"/>
        <v>498774.25</v>
      </c>
      <c r="AG56" s="851">
        <f>18123*8+88218+88218</f>
        <v>321420</v>
      </c>
      <c r="AH56" s="851">
        <f t="shared" si="48"/>
        <v>177354.25</v>
      </c>
      <c r="AI56" s="851">
        <f t="shared" si="49"/>
        <v>88677</v>
      </c>
      <c r="AJ56" s="833">
        <f t="shared" si="50"/>
        <v>1068876.1523769274</v>
      </c>
      <c r="AK56" s="833">
        <f t="shared" si="51"/>
        <v>189057</v>
      </c>
      <c r="AM56" s="1543">
        <v>-545</v>
      </c>
      <c r="AN56" s="1543">
        <v>-703</v>
      </c>
      <c r="AP56" s="1543">
        <f t="shared" si="52"/>
        <v>-2</v>
      </c>
    </row>
    <row r="57" spans="1:42" s="553" customFormat="1" ht="16.5" customHeight="1">
      <c r="A57" s="103">
        <v>53</v>
      </c>
      <c r="B57" s="805" t="s">
        <v>153</v>
      </c>
      <c r="C57" s="826">
        <f>'Table 8 2.1.12 MFP Funded'!W56</f>
        <v>22</v>
      </c>
      <c r="D57" s="827">
        <f>'Table 3 Levels 1&amp;2'!AL60*90%</f>
        <v>4320.288674996591</v>
      </c>
      <c r="E57" s="827">
        <f t="shared" si="33"/>
        <v>95046.350849925002</v>
      </c>
      <c r="F57" s="828">
        <f>'Table 4 Level 3'!P58*90%</f>
        <v>620.76600000000008</v>
      </c>
      <c r="G57" s="828">
        <f t="shared" si="34"/>
        <v>13656.852000000003</v>
      </c>
      <c r="H57" s="828">
        <f t="shared" si="35"/>
        <v>108703.202849925</v>
      </c>
      <c r="I57" s="828">
        <f>(('Table 3 Levels 1&amp;2'!AL60-D57)*C57)</f>
        <v>10560.705649991658</v>
      </c>
      <c r="J57" s="828">
        <f>'[1]Oct midyear LA Connections'!K56</f>
        <v>-4941.0546749965906</v>
      </c>
      <c r="K57" s="828">
        <f>'[1]Feb midyear LA Connections'!K56</f>
        <v>83997.929474942037</v>
      </c>
      <c r="L57" s="828">
        <f t="shared" si="36"/>
        <v>79056.87479994545</v>
      </c>
      <c r="M57" s="828">
        <f t="shared" si="53"/>
        <v>187760.07764987045</v>
      </c>
      <c r="N57" s="828">
        <f t="shared" si="37"/>
        <v>-469</v>
      </c>
      <c r="O57" s="829">
        <f t="shared" si="54"/>
        <v>187291.07764987045</v>
      </c>
      <c r="P57" s="829">
        <v>0</v>
      </c>
      <c r="Q57" s="830">
        <f t="shared" si="38"/>
        <v>187291.07764987045</v>
      </c>
      <c r="R57" s="830">
        <f>9010+9009+9010+9010+9010+9010+9010+9010+28666+28666</f>
        <v>129411</v>
      </c>
      <c r="S57" s="830">
        <f t="shared" si="39"/>
        <v>57880.077649870451</v>
      </c>
      <c r="T57" s="830">
        <f t="shared" si="40"/>
        <v>28940</v>
      </c>
      <c r="U57" s="832">
        <f>'[14]FY2012-13 Final'!K60*90%</f>
        <v>1741.5</v>
      </c>
      <c r="V57" s="832">
        <f t="shared" si="55"/>
        <v>38313</v>
      </c>
      <c r="W57" s="1490">
        <f>'[20]Oct midyear LA Connections'!E56</f>
        <v>-1</v>
      </c>
      <c r="X57" s="832">
        <f t="shared" si="41"/>
        <v>-1741.5</v>
      </c>
      <c r="Y57" s="1490">
        <f>'[20]Feb midyear LA Connections'!E56</f>
        <v>34</v>
      </c>
      <c r="Z57" s="832">
        <f t="shared" si="42"/>
        <v>29605.5</v>
      </c>
      <c r="AA57" s="832">
        <f t="shared" si="43"/>
        <v>27864</v>
      </c>
      <c r="AB57" s="832">
        <f t="shared" si="44"/>
        <v>66177</v>
      </c>
      <c r="AC57" s="832">
        <f t="shared" si="45"/>
        <v>-165</v>
      </c>
      <c r="AD57" s="832">
        <f t="shared" si="46"/>
        <v>66012</v>
      </c>
      <c r="AE57" s="831">
        <v>0</v>
      </c>
      <c r="AF57" s="851">
        <f t="shared" si="47"/>
        <v>66012</v>
      </c>
      <c r="AG57" s="851">
        <f>3149+3148+3149+3149+3149+3149+3149+3149+10154+10154</f>
        <v>45499</v>
      </c>
      <c r="AH57" s="851">
        <f t="shared" si="48"/>
        <v>20513</v>
      </c>
      <c r="AI57" s="851">
        <f t="shared" si="49"/>
        <v>10257</v>
      </c>
      <c r="AJ57" s="833">
        <f t="shared" si="50"/>
        <v>253303.07764987045</v>
      </c>
      <c r="AK57" s="833">
        <f t="shared" si="51"/>
        <v>39197</v>
      </c>
      <c r="AM57" s="1543">
        <v>-95</v>
      </c>
      <c r="AN57" s="1543">
        <v>-70</v>
      </c>
      <c r="AP57" s="1543">
        <f t="shared" si="52"/>
        <v>0</v>
      </c>
    </row>
    <row r="58" spans="1:42" s="553" customFormat="1" ht="16.5" customHeight="1">
      <c r="A58" s="103">
        <v>54</v>
      </c>
      <c r="B58" s="805" t="s">
        <v>154</v>
      </c>
      <c r="C58" s="826">
        <f>'Table 8 2.1.12 MFP Funded'!W57</f>
        <v>2</v>
      </c>
      <c r="D58" s="827">
        <f>'Table 3 Levels 1&amp;2'!AL61*90%</f>
        <v>5409.6978024463524</v>
      </c>
      <c r="E58" s="827">
        <f t="shared" si="33"/>
        <v>10819.395604892705</v>
      </c>
      <c r="F58" s="828">
        <f>'Table 4 Level 3'!P59*90%</f>
        <v>856.30500000000006</v>
      </c>
      <c r="G58" s="828">
        <f t="shared" si="34"/>
        <v>1712.6100000000001</v>
      </c>
      <c r="H58" s="828">
        <f t="shared" si="35"/>
        <v>12532.005604892705</v>
      </c>
      <c r="I58" s="828">
        <f>(('Table 3 Levels 1&amp;2'!AL61-D58)*C58)</f>
        <v>1202.1550672103003</v>
      </c>
      <c r="J58" s="828">
        <f>'[1]Oct midyear LA Connections'!K57</f>
        <v>18798.008407339057</v>
      </c>
      <c r="K58" s="828">
        <f>'[1]Feb midyear LA Connections'!K57</f>
        <v>0</v>
      </c>
      <c r="L58" s="828">
        <f t="shared" si="36"/>
        <v>18798.008407339057</v>
      </c>
      <c r="M58" s="828">
        <f t="shared" si="53"/>
        <v>31330.014012231761</v>
      </c>
      <c r="N58" s="828">
        <f t="shared" si="37"/>
        <v>-78</v>
      </c>
      <c r="O58" s="829">
        <f t="shared" si="54"/>
        <v>31252.014012231761</v>
      </c>
      <c r="P58" s="829">
        <v>0</v>
      </c>
      <c r="Q58" s="830">
        <f t="shared" si="38"/>
        <v>31252.014012231761</v>
      </c>
      <c r="R58" s="830">
        <f>1038+1037+1038+1038+1038+1038+1038+1038+5706+5706</f>
        <v>19715</v>
      </c>
      <c r="S58" s="830">
        <f t="shared" si="39"/>
        <v>11537.014012231761</v>
      </c>
      <c r="T58" s="830">
        <f t="shared" si="40"/>
        <v>5769</v>
      </c>
      <c r="U58" s="832">
        <f>'[14]FY2012-13 Final'!K61*90%</f>
        <v>3057.3</v>
      </c>
      <c r="V58" s="832">
        <f t="shared" si="55"/>
        <v>6114.6</v>
      </c>
      <c r="W58" s="1490">
        <f>'[20]Oct midyear LA Connections'!E57</f>
        <v>3</v>
      </c>
      <c r="X58" s="832">
        <f t="shared" si="41"/>
        <v>9171.9000000000015</v>
      </c>
      <c r="Y58" s="1490">
        <f>'[20]Feb midyear LA Connections'!E57</f>
        <v>0</v>
      </c>
      <c r="Z58" s="832">
        <f t="shared" si="42"/>
        <v>0</v>
      </c>
      <c r="AA58" s="832">
        <f t="shared" si="43"/>
        <v>9171.9000000000015</v>
      </c>
      <c r="AB58" s="832">
        <f t="shared" si="44"/>
        <v>15286.500000000002</v>
      </c>
      <c r="AC58" s="832">
        <f t="shared" si="45"/>
        <v>-38</v>
      </c>
      <c r="AD58" s="832">
        <f t="shared" si="46"/>
        <v>15248.500000000002</v>
      </c>
      <c r="AE58" s="831">
        <v>0</v>
      </c>
      <c r="AF58" s="851">
        <f t="shared" si="47"/>
        <v>15248.500000000002</v>
      </c>
      <c r="AG58" s="851">
        <f>488*8+2819+2819</f>
        <v>9542</v>
      </c>
      <c r="AH58" s="851">
        <f t="shared" si="48"/>
        <v>5706.5000000000018</v>
      </c>
      <c r="AI58" s="851">
        <f t="shared" si="49"/>
        <v>2853</v>
      </c>
      <c r="AJ58" s="833">
        <f t="shared" si="50"/>
        <v>46500.514012231761</v>
      </c>
      <c r="AK58" s="833">
        <f t="shared" si="51"/>
        <v>8622</v>
      </c>
      <c r="AM58" s="1543">
        <v>-15</v>
      </c>
      <c r="AN58" s="1543">
        <v>-23</v>
      </c>
      <c r="AP58" s="1543">
        <f t="shared" si="52"/>
        <v>0</v>
      </c>
    </row>
    <row r="59" spans="1:42" s="553" customFormat="1" ht="16.5" customHeight="1">
      <c r="A59" s="104">
        <v>55</v>
      </c>
      <c r="B59" s="806" t="s">
        <v>155</v>
      </c>
      <c r="C59" s="834">
        <f>'Table 8 2.1.12 MFP Funded'!W58</f>
        <v>13</v>
      </c>
      <c r="D59" s="835">
        <f>'Table 3 Levels 1&amp;2'!AL62*90%</f>
        <v>3693.3708466172898</v>
      </c>
      <c r="E59" s="835">
        <f t="shared" si="33"/>
        <v>48013.821006024766</v>
      </c>
      <c r="F59" s="836">
        <f>'Table 4 Level 3'!P60*90%</f>
        <v>715.62599999999998</v>
      </c>
      <c r="G59" s="836">
        <f t="shared" si="34"/>
        <v>9303.137999999999</v>
      </c>
      <c r="H59" s="836">
        <f t="shared" si="35"/>
        <v>57316.959006024765</v>
      </c>
      <c r="I59" s="836">
        <f>(('Table 3 Levels 1&amp;2'!AL62-D59)*C59)</f>
        <v>5334.8690006694142</v>
      </c>
      <c r="J59" s="836">
        <f>'[1]Oct midyear LA Connections'!K58</f>
        <v>22044.984233086449</v>
      </c>
      <c r="K59" s="836">
        <f>'[1]Feb midyear LA Connections'!K58</f>
        <v>46294.46688948154</v>
      </c>
      <c r="L59" s="836">
        <f t="shared" si="36"/>
        <v>68339.451122567989</v>
      </c>
      <c r="M59" s="836">
        <f t="shared" si="53"/>
        <v>125656.41012859275</v>
      </c>
      <c r="N59" s="836">
        <f t="shared" si="37"/>
        <v>-314</v>
      </c>
      <c r="O59" s="837">
        <f t="shared" si="54"/>
        <v>125342.41012859275</v>
      </c>
      <c r="P59" s="837">
        <v>0</v>
      </c>
      <c r="Q59" s="838">
        <f t="shared" si="38"/>
        <v>125342.41012859275</v>
      </c>
      <c r="R59" s="838">
        <f>4749*2+4748+4748+4748+4748+4748+4748+21735+21735</f>
        <v>81456</v>
      </c>
      <c r="S59" s="838">
        <f t="shared" si="39"/>
        <v>43886.410128592746</v>
      </c>
      <c r="T59" s="838">
        <f t="shared" si="40"/>
        <v>21943</v>
      </c>
      <c r="U59" s="840">
        <f>'[14]FY2012-13 Final'!K62*90%</f>
        <v>2825.1</v>
      </c>
      <c r="V59" s="840">
        <f t="shared" si="55"/>
        <v>36726.299999999996</v>
      </c>
      <c r="W59" s="1491">
        <f>'[20]Oct midyear LA Connections'!E58</f>
        <v>5</v>
      </c>
      <c r="X59" s="840">
        <f t="shared" si="41"/>
        <v>14125.5</v>
      </c>
      <c r="Y59" s="1491">
        <f>'[20]Feb midyear LA Connections'!E58</f>
        <v>21</v>
      </c>
      <c r="Z59" s="840">
        <f t="shared" si="42"/>
        <v>29663.55</v>
      </c>
      <c r="AA59" s="840">
        <f t="shared" si="43"/>
        <v>43789.05</v>
      </c>
      <c r="AB59" s="840">
        <f t="shared" si="44"/>
        <v>80515.350000000006</v>
      </c>
      <c r="AC59" s="840">
        <f t="shared" si="45"/>
        <v>-201</v>
      </c>
      <c r="AD59" s="840">
        <f t="shared" si="46"/>
        <v>80314.350000000006</v>
      </c>
      <c r="AE59" s="839">
        <v>0</v>
      </c>
      <c r="AF59" s="852">
        <f t="shared" si="47"/>
        <v>80314.350000000006</v>
      </c>
      <c r="AG59" s="852">
        <f>2987*8+14028+14028</f>
        <v>51952</v>
      </c>
      <c r="AH59" s="852">
        <f t="shared" si="48"/>
        <v>28362.350000000006</v>
      </c>
      <c r="AI59" s="852">
        <f t="shared" si="49"/>
        <v>14181</v>
      </c>
      <c r="AJ59" s="841">
        <f t="shared" si="50"/>
        <v>205656.76012859275</v>
      </c>
      <c r="AK59" s="841">
        <f t="shared" si="51"/>
        <v>36124</v>
      </c>
      <c r="AM59" s="1543">
        <v>-90</v>
      </c>
      <c r="AN59" s="1543">
        <v>-111</v>
      </c>
      <c r="AP59" s="1543">
        <f t="shared" si="52"/>
        <v>0</v>
      </c>
    </row>
    <row r="60" spans="1:42" s="553" customFormat="1" ht="16.5" customHeight="1">
      <c r="A60" s="103">
        <v>56</v>
      </c>
      <c r="B60" s="805" t="s">
        <v>156</v>
      </c>
      <c r="C60" s="818">
        <f>'Table 8 2.1.12 MFP Funded'!W59</f>
        <v>3</v>
      </c>
      <c r="D60" s="819">
        <f>'Table 3 Levels 1&amp;2'!AL63*90%</f>
        <v>4568.6166302376278</v>
      </c>
      <c r="E60" s="819">
        <f t="shared" si="33"/>
        <v>13705.849890712883</v>
      </c>
      <c r="F60" s="820">
        <f>'Table 4 Level 3'!P61*90%</f>
        <v>553.19400000000007</v>
      </c>
      <c r="G60" s="820">
        <f t="shared" si="34"/>
        <v>1659.5820000000003</v>
      </c>
      <c r="H60" s="820">
        <f t="shared" si="35"/>
        <v>15365.431890712884</v>
      </c>
      <c r="I60" s="820">
        <f>(('Table 3 Levels 1&amp;2'!AL63-D60)*C60)</f>
        <v>1522.8722100792102</v>
      </c>
      <c r="J60" s="820">
        <f>'[1]Oct midyear LA Connections'!K59</f>
        <v>-10243.621260475256</v>
      </c>
      <c r="K60" s="820">
        <f>'[1]Feb midyear LA Connections'!K59</f>
        <v>10243.621260475256</v>
      </c>
      <c r="L60" s="820">
        <f t="shared" si="36"/>
        <v>0</v>
      </c>
      <c r="M60" s="820">
        <f t="shared" si="53"/>
        <v>15365.431890712884</v>
      </c>
      <c r="N60" s="820">
        <f t="shared" si="37"/>
        <v>-38</v>
      </c>
      <c r="O60" s="821">
        <f t="shared" si="54"/>
        <v>15327.431890712884</v>
      </c>
      <c r="P60" s="821">
        <v>0</v>
      </c>
      <c r="Q60" s="822">
        <f t="shared" si="38"/>
        <v>15327.431890712884</v>
      </c>
      <c r="R60" s="822">
        <f>1272*10</f>
        <v>12720</v>
      </c>
      <c r="S60" s="822">
        <f t="shared" si="39"/>
        <v>2607.4318907128836</v>
      </c>
      <c r="T60" s="822">
        <f t="shared" si="40"/>
        <v>1304</v>
      </c>
      <c r="U60" s="824">
        <f>'[14]FY2012-13 Final'!K63*90%</f>
        <v>2502.9</v>
      </c>
      <c r="V60" s="824">
        <f t="shared" si="55"/>
        <v>7508.7000000000007</v>
      </c>
      <c r="W60" s="1489">
        <f>'[20]Oct midyear LA Connections'!E59</f>
        <v>-2</v>
      </c>
      <c r="X60" s="824">
        <f t="shared" si="41"/>
        <v>-5005.8</v>
      </c>
      <c r="Y60" s="1489">
        <f>'[20]Feb midyear LA Connections'!E59</f>
        <v>4</v>
      </c>
      <c r="Z60" s="824">
        <f t="shared" si="42"/>
        <v>5005.8</v>
      </c>
      <c r="AA60" s="824">
        <f t="shared" si="43"/>
        <v>0</v>
      </c>
      <c r="AB60" s="824">
        <f t="shared" si="44"/>
        <v>7508.7000000000007</v>
      </c>
      <c r="AC60" s="824">
        <f t="shared" si="45"/>
        <v>-19</v>
      </c>
      <c r="AD60" s="824">
        <f t="shared" si="46"/>
        <v>7489.7000000000007</v>
      </c>
      <c r="AE60" s="823">
        <v>0</v>
      </c>
      <c r="AF60" s="850">
        <f t="shared" si="47"/>
        <v>7489.7000000000007</v>
      </c>
      <c r="AG60" s="850">
        <f>590*8+684+684</f>
        <v>6088</v>
      </c>
      <c r="AH60" s="850">
        <f t="shared" si="48"/>
        <v>1401.7000000000007</v>
      </c>
      <c r="AI60" s="850">
        <f t="shared" si="49"/>
        <v>701</v>
      </c>
      <c r="AJ60" s="825">
        <f t="shared" si="50"/>
        <v>22817.131890712884</v>
      </c>
      <c r="AK60" s="825">
        <f t="shared" si="51"/>
        <v>2005</v>
      </c>
      <c r="AM60" s="1543">
        <v>-18</v>
      </c>
      <c r="AN60" s="1543">
        <v>-1</v>
      </c>
      <c r="AP60" s="1543">
        <f t="shared" si="52"/>
        <v>0</v>
      </c>
    </row>
    <row r="61" spans="1:42" s="553" customFormat="1" ht="16.5" customHeight="1">
      <c r="A61" s="103">
        <v>57</v>
      </c>
      <c r="B61" s="805" t="s">
        <v>157</v>
      </c>
      <c r="C61" s="826">
        <f>'Table 8 2.1.12 MFP Funded'!W60</f>
        <v>7</v>
      </c>
      <c r="D61" s="827">
        <f>'Table 3 Levels 1&amp;2'!AL64*90%</f>
        <v>3968.1637389559141</v>
      </c>
      <c r="E61" s="827">
        <f t="shared" si="33"/>
        <v>27777.146172691399</v>
      </c>
      <c r="F61" s="828">
        <f>'Table 4 Level 3'!P62*90%</f>
        <v>688.05899999999997</v>
      </c>
      <c r="G61" s="828">
        <f t="shared" si="34"/>
        <v>4816.4129999999996</v>
      </c>
      <c r="H61" s="828">
        <f t="shared" si="35"/>
        <v>32593.559172691399</v>
      </c>
      <c r="I61" s="828">
        <f>(('Table 3 Levels 1&amp;2'!AL64-D61)*C61)</f>
        <v>3086.3495747434895</v>
      </c>
      <c r="J61" s="828">
        <f>'[1]Oct midyear LA Connections'!K60</f>
        <v>-4656.2227389559139</v>
      </c>
      <c r="K61" s="828">
        <f>'[1]Feb midyear LA Connections'!K60</f>
        <v>0</v>
      </c>
      <c r="L61" s="828">
        <f t="shared" si="36"/>
        <v>-4656.2227389559139</v>
      </c>
      <c r="M61" s="828">
        <f t="shared" si="53"/>
        <v>27937.336433735487</v>
      </c>
      <c r="N61" s="828">
        <f t="shared" si="37"/>
        <v>-70</v>
      </c>
      <c r="O61" s="829">
        <f t="shared" si="54"/>
        <v>27867.336433735487</v>
      </c>
      <c r="P61" s="829">
        <v>0</v>
      </c>
      <c r="Q61" s="830">
        <f t="shared" si="38"/>
        <v>27867.336433735487</v>
      </c>
      <c r="R61" s="830">
        <f>2699*8+1542+1542</f>
        <v>24676</v>
      </c>
      <c r="S61" s="830">
        <f t="shared" si="39"/>
        <v>3191.3364337354869</v>
      </c>
      <c r="T61" s="830">
        <f t="shared" si="40"/>
        <v>1596</v>
      </c>
      <c r="U61" s="832">
        <f>'[14]FY2012-13 Final'!K64*90%</f>
        <v>2691.9</v>
      </c>
      <c r="V61" s="832">
        <f t="shared" si="55"/>
        <v>18843.3</v>
      </c>
      <c r="W61" s="1490">
        <f>'[20]Oct midyear LA Connections'!E60</f>
        <v>-1</v>
      </c>
      <c r="X61" s="832">
        <f t="shared" si="41"/>
        <v>-2691.9</v>
      </c>
      <c r="Y61" s="1490">
        <f>'[20]Feb midyear LA Connections'!E60</f>
        <v>0</v>
      </c>
      <c r="Z61" s="832">
        <f t="shared" si="42"/>
        <v>0</v>
      </c>
      <c r="AA61" s="832">
        <f t="shared" si="43"/>
        <v>-2691.9</v>
      </c>
      <c r="AB61" s="832">
        <f t="shared" si="44"/>
        <v>16151.4</v>
      </c>
      <c r="AC61" s="832">
        <f t="shared" si="45"/>
        <v>-40</v>
      </c>
      <c r="AD61" s="832">
        <f t="shared" si="46"/>
        <v>16111.4</v>
      </c>
      <c r="AE61" s="831">
        <v>0</v>
      </c>
      <c r="AF61" s="851">
        <f t="shared" si="47"/>
        <v>16111.4</v>
      </c>
      <c r="AG61" s="851">
        <f>1599*8+824+824</f>
        <v>14440</v>
      </c>
      <c r="AH61" s="851">
        <f t="shared" si="48"/>
        <v>1671.3999999999996</v>
      </c>
      <c r="AI61" s="851">
        <f t="shared" si="49"/>
        <v>836</v>
      </c>
      <c r="AJ61" s="833">
        <f t="shared" si="50"/>
        <v>43978.736433735488</v>
      </c>
      <c r="AK61" s="833">
        <f t="shared" si="51"/>
        <v>2432</v>
      </c>
      <c r="AM61" s="1543">
        <v>-48</v>
      </c>
      <c r="AN61" s="1543">
        <v>8</v>
      </c>
      <c r="AP61" s="1543">
        <f t="shared" si="52"/>
        <v>0</v>
      </c>
    </row>
    <row r="62" spans="1:42" s="553" customFormat="1" ht="16.5" customHeight="1">
      <c r="A62" s="103">
        <v>58</v>
      </c>
      <c r="B62" s="805" t="s">
        <v>158</v>
      </c>
      <c r="C62" s="826">
        <f>'Table 8 2.1.12 MFP Funded'!W61</f>
        <v>12</v>
      </c>
      <c r="D62" s="827">
        <f>'Table 3 Levels 1&amp;2'!AL65*90%</f>
        <v>4807.3061399477938</v>
      </c>
      <c r="E62" s="827">
        <f t="shared" si="33"/>
        <v>57687.673679373525</v>
      </c>
      <c r="F62" s="828">
        <f>'Table 4 Level 3'!P63*90%</f>
        <v>627.33600000000001</v>
      </c>
      <c r="G62" s="828">
        <f t="shared" si="34"/>
        <v>7528.0320000000002</v>
      </c>
      <c r="H62" s="828">
        <f t="shared" si="35"/>
        <v>65215.705679373525</v>
      </c>
      <c r="I62" s="828">
        <f>(('Table 3 Levels 1&amp;2'!AL65-D62)*C62)</f>
        <v>6409.7415199303869</v>
      </c>
      <c r="J62" s="828">
        <f>'[1]Oct midyear LA Connections'!K61</f>
        <v>70650.347819321323</v>
      </c>
      <c r="K62" s="828">
        <f>'[1]Feb midyear LA Connections'!K61</f>
        <v>8151.9632099216906</v>
      </c>
      <c r="L62" s="828">
        <f t="shared" si="36"/>
        <v>78802.311029243021</v>
      </c>
      <c r="M62" s="828">
        <f t="shared" si="53"/>
        <v>144018.01670861655</v>
      </c>
      <c r="N62" s="828">
        <f t="shared" si="37"/>
        <v>-360</v>
      </c>
      <c r="O62" s="829">
        <f t="shared" si="54"/>
        <v>143658.01670861655</v>
      </c>
      <c r="P62" s="829">
        <v>0</v>
      </c>
      <c r="Q62" s="830">
        <f t="shared" si="38"/>
        <v>143658.01670861655</v>
      </c>
      <c r="R62" s="830">
        <f>5407*8+25008+25008</f>
        <v>93272</v>
      </c>
      <c r="S62" s="830">
        <f t="shared" si="39"/>
        <v>50386.016708616546</v>
      </c>
      <c r="T62" s="830">
        <f t="shared" si="40"/>
        <v>25193</v>
      </c>
      <c r="U62" s="832">
        <f>'[14]FY2012-13 Final'!K65*90%</f>
        <v>1851.3</v>
      </c>
      <c r="V62" s="832">
        <f t="shared" si="55"/>
        <v>22215.599999999999</v>
      </c>
      <c r="W62" s="1490">
        <f>'[20]Oct midyear LA Connections'!E61</f>
        <v>13</v>
      </c>
      <c r="X62" s="832">
        <f t="shared" si="41"/>
        <v>24066.899999999998</v>
      </c>
      <c r="Y62" s="1490">
        <f>'[20]Feb midyear LA Connections'!E61</f>
        <v>3</v>
      </c>
      <c r="Z62" s="832">
        <f t="shared" si="42"/>
        <v>2776.95</v>
      </c>
      <c r="AA62" s="832">
        <f t="shared" si="43"/>
        <v>26843.85</v>
      </c>
      <c r="AB62" s="832">
        <f t="shared" si="44"/>
        <v>49059.45</v>
      </c>
      <c r="AC62" s="832">
        <f t="shared" si="45"/>
        <v>-123</v>
      </c>
      <c r="AD62" s="832">
        <f t="shared" si="46"/>
        <v>48936.45</v>
      </c>
      <c r="AE62" s="831">
        <v>0</v>
      </c>
      <c r="AF62" s="851">
        <f t="shared" si="47"/>
        <v>48936.45</v>
      </c>
      <c r="AG62" s="851">
        <f>1721*8+8780+8780</f>
        <v>31328</v>
      </c>
      <c r="AH62" s="851">
        <f t="shared" si="48"/>
        <v>17608.449999999997</v>
      </c>
      <c r="AI62" s="851">
        <f t="shared" si="49"/>
        <v>8804</v>
      </c>
      <c r="AJ62" s="833">
        <f t="shared" si="50"/>
        <v>192594.46670861653</v>
      </c>
      <c r="AK62" s="833">
        <f t="shared" si="51"/>
        <v>33997</v>
      </c>
      <c r="AM62" s="1543">
        <v>-52</v>
      </c>
      <c r="AN62" s="1543">
        <v>-71</v>
      </c>
      <c r="AP62" s="1543">
        <f t="shared" si="52"/>
        <v>0</v>
      </c>
    </row>
    <row r="63" spans="1:42" s="553" customFormat="1" ht="16.5" customHeight="1">
      <c r="A63" s="103">
        <v>59</v>
      </c>
      <c r="B63" s="805" t="s">
        <v>159</v>
      </c>
      <c r="C63" s="826">
        <f>'Table 8 2.1.12 MFP Funded'!W62</f>
        <v>8</v>
      </c>
      <c r="D63" s="827">
        <f>'Table 3 Levels 1&amp;2'!AL66*90%</f>
        <v>5707.9525614877339</v>
      </c>
      <c r="E63" s="827">
        <f t="shared" si="33"/>
        <v>45663.620491901871</v>
      </c>
      <c r="F63" s="828">
        <f>'Table 4 Level 3'!P64*90%</f>
        <v>620.56799999999998</v>
      </c>
      <c r="G63" s="828">
        <f t="shared" si="34"/>
        <v>4964.5439999999999</v>
      </c>
      <c r="H63" s="828">
        <f t="shared" si="35"/>
        <v>50628.164491901873</v>
      </c>
      <c r="I63" s="828">
        <f>(('Table 3 Levels 1&amp;2'!AL66-D63)*C63)</f>
        <v>5073.735610211319</v>
      </c>
      <c r="J63" s="828">
        <f>'[1]Oct midyear LA Connections'!K62</f>
        <v>-6328.5205614877341</v>
      </c>
      <c r="K63" s="828">
        <f>'[1]Feb midyear LA Connections'!K62</f>
        <v>22149.821965207069</v>
      </c>
      <c r="L63" s="828">
        <f t="shared" si="36"/>
        <v>15821.301403719335</v>
      </c>
      <c r="M63" s="828">
        <f t="shared" si="53"/>
        <v>66449.465895621208</v>
      </c>
      <c r="N63" s="828">
        <f t="shared" si="37"/>
        <v>-166</v>
      </c>
      <c r="O63" s="829">
        <f t="shared" si="54"/>
        <v>66283.465895621208</v>
      </c>
      <c r="P63" s="829">
        <v>0</v>
      </c>
      <c r="Q63" s="830">
        <f t="shared" si="38"/>
        <v>66283.465895621208</v>
      </c>
      <c r="R63" s="830">
        <f>4200*8+8139+8139</f>
        <v>49878</v>
      </c>
      <c r="S63" s="830">
        <f t="shared" si="39"/>
        <v>16405.465895621208</v>
      </c>
      <c r="T63" s="830">
        <f t="shared" si="40"/>
        <v>8203</v>
      </c>
      <c r="U63" s="832">
        <f>'[14]FY2012-13 Final'!K66*90%</f>
        <v>1377</v>
      </c>
      <c r="V63" s="832">
        <f t="shared" si="55"/>
        <v>11016</v>
      </c>
      <c r="W63" s="1490">
        <f>'[20]Oct midyear LA Connections'!E62</f>
        <v>-1</v>
      </c>
      <c r="X63" s="832">
        <f t="shared" si="41"/>
        <v>-1377</v>
      </c>
      <c r="Y63" s="1490">
        <f>'[20]Feb midyear LA Connections'!E62</f>
        <v>7</v>
      </c>
      <c r="Z63" s="832">
        <f t="shared" si="42"/>
        <v>4819.5</v>
      </c>
      <c r="AA63" s="832">
        <f t="shared" si="43"/>
        <v>3442.5</v>
      </c>
      <c r="AB63" s="832">
        <f t="shared" si="44"/>
        <v>14458.5</v>
      </c>
      <c r="AC63" s="832">
        <f t="shared" si="45"/>
        <v>-36</v>
      </c>
      <c r="AD63" s="832">
        <f t="shared" si="46"/>
        <v>14422.5</v>
      </c>
      <c r="AE63" s="831">
        <v>0</v>
      </c>
      <c r="AF63" s="851">
        <f t="shared" si="47"/>
        <v>14422.5</v>
      </c>
      <c r="AG63" s="851">
        <f>929+930+929+929+929+929+929+929+1743+1743</f>
        <v>10919</v>
      </c>
      <c r="AH63" s="851">
        <f t="shared" si="48"/>
        <v>3503.5</v>
      </c>
      <c r="AI63" s="851">
        <f t="shared" si="49"/>
        <v>1752</v>
      </c>
      <c r="AJ63" s="833">
        <f t="shared" si="50"/>
        <v>80705.965895621208</v>
      </c>
      <c r="AK63" s="833">
        <f t="shared" si="51"/>
        <v>9955</v>
      </c>
      <c r="AM63" s="1543">
        <v>-28</v>
      </c>
      <c r="AN63" s="1543">
        <v>-8</v>
      </c>
      <c r="AP63" s="1543">
        <f t="shared" si="52"/>
        <v>0</v>
      </c>
    </row>
    <row r="64" spans="1:42" s="553" customFormat="1" ht="16.5" customHeight="1">
      <c r="A64" s="104">
        <v>60</v>
      </c>
      <c r="B64" s="806" t="s">
        <v>160</v>
      </c>
      <c r="C64" s="834">
        <f>'Table 8 2.1.12 MFP Funded'!W63</f>
        <v>16</v>
      </c>
      <c r="D64" s="835">
        <f>'Table 3 Levels 1&amp;2'!AL67*90%</f>
        <v>4353.1047236135073</v>
      </c>
      <c r="E64" s="835">
        <f t="shared" si="33"/>
        <v>69649.675577816117</v>
      </c>
      <c r="F64" s="836">
        <f>'Table 4 Level 3'!P65*90%</f>
        <v>534.63599999999997</v>
      </c>
      <c r="G64" s="836">
        <f t="shared" si="34"/>
        <v>8554.1759999999995</v>
      </c>
      <c r="H64" s="836">
        <f t="shared" si="35"/>
        <v>78203.851577816124</v>
      </c>
      <c r="I64" s="836">
        <f>(('Table 3 Levels 1&amp;2'!AL67-D64)*C64)</f>
        <v>7738.8528419795621</v>
      </c>
      <c r="J64" s="836">
        <f>'[1]Oct midyear LA Connections'!K63</f>
        <v>-68428.370130589115</v>
      </c>
      <c r="K64" s="836">
        <f>'[1]Feb midyear LA Connections'!K63</f>
        <v>58652.888683362093</v>
      </c>
      <c r="L64" s="836">
        <f t="shared" si="36"/>
        <v>-9775.4814472270227</v>
      </c>
      <c r="M64" s="836">
        <f t="shared" si="53"/>
        <v>68428.370130589101</v>
      </c>
      <c r="N64" s="836">
        <f t="shared" si="37"/>
        <v>-171</v>
      </c>
      <c r="O64" s="837">
        <f t="shared" si="54"/>
        <v>68257.370130589101</v>
      </c>
      <c r="P64" s="837">
        <v>0</v>
      </c>
      <c r="Q64" s="838">
        <f t="shared" si="38"/>
        <v>68257.370130589101</v>
      </c>
      <c r="R64" s="838">
        <f>6487*8+4054+4054</f>
        <v>60004</v>
      </c>
      <c r="S64" s="838">
        <f t="shared" si="39"/>
        <v>8253.3701305891009</v>
      </c>
      <c r="T64" s="838">
        <f t="shared" si="40"/>
        <v>4127</v>
      </c>
      <c r="U64" s="840">
        <f>'[14]FY2012-13 Final'!K67*90%</f>
        <v>3532.5</v>
      </c>
      <c r="V64" s="840">
        <f t="shared" si="55"/>
        <v>56520</v>
      </c>
      <c r="W64" s="1491">
        <f>'[20]Oct midyear LA Connections'!E63</f>
        <v>-14</v>
      </c>
      <c r="X64" s="840">
        <f t="shared" si="41"/>
        <v>-49455</v>
      </c>
      <c r="Y64" s="1491">
        <f>'[20]Feb midyear LA Connections'!E63</f>
        <v>24</v>
      </c>
      <c r="Z64" s="840">
        <f t="shared" si="42"/>
        <v>42390</v>
      </c>
      <c r="AA64" s="840">
        <f t="shared" si="43"/>
        <v>-7065</v>
      </c>
      <c r="AB64" s="840">
        <f t="shared" si="44"/>
        <v>49455</v>
      </c>
      <c r="AC64" s="840">
        <f t="shared" si="45"/>
        <v>-124</v>
      </c>
      <c r="AD64" s="840">
        <f t="shared" si="46"/>
        <v>49331</v>
      </c>
      <c r="AE64" s="839">
        <v>0</v>
      </c>
      <c r="AF64" s="852">
        <f t="shared" si="47"/>
        <v>49331</v>
      </c>
      <c r="AG64" s="852">
        <f>4546*8+3219+3219</f>
        <v>42806</v>
      </c>
      <c r="AH64" s="852">
        <f t="shared" si="48"/>
        <v>6525</v>
      </c>
      <c r="AI64" s="852">
        <f t="shared" si="49"/>
        <v>3263</v>
      </c>
      <c r="AJ64" s="841">
        <f t="shared" si="50"/>
        <v>117588.3701305891</v>
      </c>
      <c r="AK64" s="841">
        <f t="shared" si="51"/>
        <v>7390</v>
      </c>
      <c r="AM64" s="1543">
        <v>-137</v>
      </c>
      <c r="AN64" s="1543">
        <v>14</v>
      </c>
      <c r="AP64" s="1543">
        <f t="shared" si="52"/>
        <v>-1</v>
      </c>
    </row>
    <row r="65" spans="1:42" s="553" customFormat="1" ht="16.5" customHeight="1">
      <c r="A65" s="103">
        <v>61</v>
      </c>
      <c r="B65" s="805" t="s">
        <v>161</v>
      </c>
      <c r="C65" s="818">
        <f>'Table 8 2.1.12 MFP Funded'!W64</f>
        <v>0</v>
      </c>
      <c r="D65" s="819">
        <f>'Table 3 Levels 1&amp;2'!AL68*90%</f>
        <v>2761.672879240713</v>
      </c>
      <c r="E65" s="819">
        <f t="shared" si="33"/>
        <v>0</v>
      </c>
      <c r="F65" s="820">
        <f>'Table 4 Level 3'!P66*90%</f>
        <v>750.33899999999994</v>
      </c>
      <c r="G65" s="820">
        <f t="shared" si="34"/>
        <v>0</v>
      </c>
      <c r="H65" s="820">
        <f t="shared" si="35"/>
        <v>0</v>
      </c>
      <c r="I65" s="820">
        <f>(('Table 3 Levels 1&amp;2'!AL68-D65)*C65)</f>
        <v>0</v>
      </c>
      <c r="J65" s="820">
        <f>'[1]Oct midyear LA Connections'!K64</f>
        <v>42144.142550888559</v>
      </c>
      <c r="K65" s="820">
        <f>'[1]Feb midyear LA Connections'!K64</f>
        <v>-5268.0178188610698</v>
      </c>
      <c r="L65" s="820">
        <f t="shared" si="36"/>
        <v>36876.124732027485</v>
      </c>
      <c r="M65" s="820">
        <f t="shared" si="53"/>
        <v>36876.124732027485</v>
      </c>
      <c r="N65" s="820">
        <f t="shared" si="37"/>
        <v>-92</v>
      </c>
      <c r="O65" s="821">
        <f t="shared" si="54"/>
        <v>36784.124732027485</v>
      </c>
      <c r="P65" s="821">
        <v>0</v>
      </c>
      <c r="Q65" s="822">
        <f t="shared" si="38"/>
        <v>36784.124732027485</v>
      </c>
      <c r="R65" s="822">
        <f>9184+9184</f>
        <v>18368</v>
      </c>
      <c r="S65" s="822">
        <f t="shared" si="39"/>
        <v>18416.124732027485</v>
      </c>
      <c r="T65" s="822">
        <f t="shared" si="40"/>
        <v>9208</v>
      </c>
      <c r="U65" s="824">
        <f>'[14]FY2012-13 Final'!K68*90%</f>
        <v>6028.2</v>
      </c>
      <c r="V65" s="824">
        <f t="shared" si="55"/>
        <v>0</v>
      </c>
      <c r="W65" s="1489">
        <f>'[20]Oct midyear LA Connections'!E64</f>
        <v>12</v>
      </c>
      <c r="X65" s="824">
        <f t="shared" si="41"/>
        <v>72338.399999999994</v>
      </c>
      <c r="Y65" s="1489">
        <f>'[20]Feb midyear LA Connections'!E64</f>
        <v>-3</v>
      </c>
      <c r="Z65" s="824">
        <f t="shared" si="42"/>
        <v>-9042.2999999999993</v>
      </c>
      <c r="AA65" s="824">
        <f t="shared" si="43"/>
        <v>63296.099999999991</v>
      </c>
      <c r="AB65" s="824">
        <f t="shared" si="44"/>
        <v>63296.099999999991</v>
      </c>
      <c r="AC65" s="824">
        <f t="shared" si="45"/>
        <v>-158</v>
      </c>
      <c r="AD65" s="824">
        <f t="shared" si="46"/>
        <v>63138.099999999991</v>
      </c>
      <c r="AE65" s="823">
        <v>0</v>
      </c>
      <c r="AF65" s="850">
        <f t="shared" si="47"/>
        <v>63138.099999999991</v>
      </c>
      <c r="AG65" s="850">
        <f>15742+15742</f>
        <v>31484</v>
      </c>
      <c r="AH65" s="850">
        <f t="shared" si="48"/>
        <v>31654.099999999991</v>
      </c>
      <c r="AI65" s="850">
        <f t="shared" si="49"/>
        <v>15827</v>
      </c>
      <c r="AJ65" s="825">
        <f t="shared" si="50"/>
        <v>99922.224732027476</v>
      </c>
      <c r="AK65" s="825">
        <f t="shared" si="51"/>
        <v>25035</v>
      </c>
      <c r="AM65" s="1543">
        <v>0</v>
      </c>
      <c r="AN65" s="1543">
        <v>-158</v>
      </c>
      <c r="AP65" s="1543">
        <f t="shared" si="52"/>
        <v>0</v>
      </c>
    </row>
    <row r="66" spans="1:42" s="553" customFormat="1" ht="16.5" customHeight="1">
      <c r="A66" s="103">
        <v>62</v>
      </c>
      <c r="B66" s="805" t="s">
        <v>162</v>
      </c>
      <c r="C66" s="826">
        <f>'Table 8 2.1.12 MFP Funded'!W65</f>
        <v>2</v>
      </c>
      <c r="D66" s="827">
        <f>'Table 3 Levels 1&amp;2'!AL69*90%</f>
        <v>5019.3253912491427</v>
      </c>
      <c r="E66" s="827">
        <f t="shared" si="33"/>
        <v>10038.650782498285</v>
      </c>
      <c r="F66" s="828">
        <f>'Table 4 Level 3'!P67*90%</f>
        <v>464.47200000000004</v>
      </c>
      <c r="G66" s="828">
        <f t="shared" si="34"/>
        <v>928.94400000000007</v>
      </c>
      <c r="H66" s="828">
        <f t="shared" si="35"/>
        <v>10967.594782498285</v>
      </c>
      <c r="I66" s="828">
        <f>(('Table 3 Levels 1&amp;2'!AL69-D66)*C66)</f>
        <v>1115.4056424998089</v>
      </c>
      <c r="J66" s="828">
        <f>'[1]Oct midyear LA Connections'!K65</f>
        <v>-5483.7973912491425</v>
      </c>
      <c r="K66" s="828">
        <f>'[1]Feb midyear LA Connections'!K65</f>
        <v>0</v>
      </c>
      <c r="L66" s="828">
        <f t="shared" si="36"/>
        <v>-5483.7973912491425</v>
      </c>
      <c r="M66" s="828">
        <f t="shared" si="53"/>
        <v>5483.7973912491425</v>
      </c>
      <c r="N66" s="828">
        <f t="shared" si="37"/>
        <v>-14</v>
      </c>
      <c r="O66" s="829">
        <f t="shared" si="54"/>
        <v>5469.7973912491425</v>
      </c>
      <c r="P66" s="829">
        <v>0</v>
      </c>
      <c r="Q66" s="830">
        <f t="shared" si="38"/>
        <v>5469.7973912491425</v>
      </c>
      <c r="R66" s="830">
        <f>910*8-455-455</f>
        <v>6370</v>
      </c>
      <c r="S66" s="830">
        <f t="shared" si="39"/>
        <v>-900.20260875085751</v>
      </c>
      <c r="T66" s="830">
        <f t="shared" si="40"/>
        <v>-450</v>
      </c>
      <c r="U66" s="832">
        <f>'[14]FY2012-13 Final'!K69*90%</f>
        <v>1606.5</v>
      </c>
      <c r="V66" s="832">
        <f t="shared" si="55"/>
        <v>3213</v>
      </c>
      <c r="W66" s="1490">
        <f>'[20]Oct midyear LA Connections'!E65</f>
        <v>-1</v>
      </c>
      <c r="X66" s="832">
        <f t="shared" si="41"/>
        <v>-1606.5</v>
      </c>
      <c r="Y66" s="1490">
        <f>'[20]Feb midyear LA Connections'!E65</f>
        <v>0</v>
      </c>
      <c r="Z66" s="832">
        <f t="shared" si="42"/>
        <v>0</v>
      </c>
      <c r="AA66" s="832">
        <f t="shared" si="43"/>
        <v>-1606.5</v>
      </c>
      <c r="AB66" s="832">
        <f t="shared" si="44"/>
        <v>1606.5</v>
      </c>
      <c r="AC66" s="832">
        <f t="shared" si="45"/>
        <v>-4</v>
      </c>
      <c r="AD66" s="832">
        <f t="shared" si="46"/>
        <v>1602.5</v>
      </c>
      <c r="AE66" s="831">
        <v>0</v>
      </c>
      <c r="AF66" s="851">
        <f t="shared" si="47"/>
        <v>1602.5</v>
      </c>
      <c r="AG66" s="851">
        <f>251*8-108-108</f>
        <v>1792</v>
      </c>
      <c r="AH66" s="851">
        <f t="shared" si="48"/>
        <v>-189.5</v>
      </c>
      <c r="AI66" s="851">
        <f t="shared" si="49"/>
        <v>-95</v>
      </c>
      <c r="AJ66" s="833">
        <f t="shared" si="50"/>
        <v>7072.2973912491425</v>
      </c>
      <c r="AK66" s="833">
        <f t="shared" si="51"/>
        <v>-545</v>
      </c>
      <c r="AM66" s="1543">
        <v>-8</v>
      </c>
      <c r="AN66" s="1543">
        <v>4</v>
      </c>
      <c r="AP66" s="1543">
        <f t="shared" si="52"/>
        <v>0</v>
      </c>
    </row>
    <row r="67" spans="1:42" s="553" customFormat="1" ht="16.5" customHeight="1">
      <c r="A67" s="103">
        <v>63</v>
      </c>
      <c r="B67" s="805" t="s">
        <v>163</v>
      </c>
      <c r="C67" s="826">
        <f>'Table 8 2.1.12 MFP Funded'!W66</f>
        <v>6</v>
      </c>
      <c r="D67" s="827">
        <f>'Table 3 Levels 1&amp;2'!AL70*90%</f>
        <v>3984.4869401858409</v>
      </c>
      <c r="E67" s="827">
        <f t="shared" si="33"/>
        <v>23906.921641115045</v>
      </c>
      <c r="F67" s="828">
        <f>'Table 4 Level 3'!P68*90%</f>
        <v>681.11099999999999</v>
      </c>
      <c r="G67" s="828">
        <f t="shared" si="34"/>
        <v>4086.6660000000002</v>
      </c>
      <c r="H67" s="828">
        <f t="shared" si="35"/>
        <v>27993.587641115046</v>
      </c>
      <c r="I67" s="828">
        <f>(('Table 3 Levels 1&amp;2'!AL70-D67)*C67)</f>
        <v>2656.3246267905606</v>
      </c>
      <c r="J67" s="828">
        <f>'[1]Oct midyear LA Connections'!K66</f>
        <v>-27993.587641115046</v>
      </c>
      <c r="K67" s="828">
        <f>'[1]Feb midyear LA Connections'!K66</f>
        <v>2332.7989700929206</v>
      </c>
      <c r="L67" s="828">
        <f t="shared" si="36"/>
        <v>-25660.788671022125</v>
      </c>
      <c r="M67" s="828">
        <f t="shared" si="53"/>
        <v>2332.7989700929211</v>
      </c>
      <c r="N67" s="828">
        <f t="shared" si="37"/>
        <v>-6</v>
      </c>
      <c r="O67" s="829">
        <f t="shared" si="54"/>
        <v>2326.7989700929211</v>
      </c>
      <c r="P67" s="829">
        <v>0</v>
      </c>
      <c r="Q67" s="830">
        <f t="shared" si="38"/>
        <v>2326.7989700929211</v>
      </c>
      <c r="R67" s="830">
        <f>2321*8-4062-4062</f>
        <v>10444</v>
      </c>
      <c r="S67" s="830">
        <f t="shared" si="39"/>
        <v>-8117.2010299070789</v>
      </c>
      <c r="T67" s="830">
        <f t="shared" si="40"/>
        <v>-4059</v>
      </c>
      <c r="U67" s="832">
        <f>'[14]FY2012-13 Final'!K70*90%</f>
        <v>6471</v>
      </c>
      <c r="V67" s="832">
        <f t="shared" si="55"/>
        <v>38826</v>
      </c>
      <c r="W67" s="1490">
        <f>'[20]Oct midyear LA Connections'!E66</f>
        <v>-6</v>
      </c>
      <c r="X67" s="832">
        <f t="shared" si="41"/>
        <v>-38826</v>
      </c>
      <c r="Y67" s="1490">
        <f>'[20]Feb midyear LA Connections'!E66</f>
        <v>1</v>
      </c>
      <c r="Z67" s="832">
        <f t="shared" si="42"/>
        <v>3235.5</v>
      </c>
      <c r="AA67" s="832">
        <f t="shared" si="43"/>
        <v>-35590.5</v>
      </c>
      <c r="AB67" s="832">
        <f t="shared" si="44"/>
        <v>3235.5</v>
      </c>
      <c r="AC67" s="832">
        <f t="shared" si="45"/>
        <v>-8</v>
      </c>
      <c r="AD67" s="832">
        <f t="shared" si="46"/>
        <v>3227.5</v>
      </c>
      <c r="AE67" s="831">
        <v>0</v>
      </c>
      <c r="AF67" s="851">
        <f t="shared" si="47"/>
        <v>3227.5</v>
      </c>
      <c r="AG67" s="851">
        <f>2928+2929+2928+2928+2928+2928+2928+2928-5050-5050</f>
        <v>13325</v>
      </c>
      <c r="AH67" s="851">
        <f t="shared" si="48"/>
        <v>-10097.5</v>
      </c>
      <c r="AI67" s="851">
        <f t="shared" si="49"/>
        <v>-5049</v>
      </c>
      <c r="AJ67" s="833">
        <f t="shared" si="50"/>
        <v>5554.2989700929211</v>
      </c>
      <c r="AK67" s="833">
        <f t="shared" si="51"/>
        <v>-9108</v>
      </c>
      <c r="AM67" s="1543">
        <v>-88</v>
      </c>
      <c r="AN67" s="1543">
        <v>80</v>
      </c>
      <c r="AP67" s="1543">
        <f t="shared" si="52"/>
        <v>0</v>
      </c>
    </row>
    <row r="68" spans="1:42" s="553" customFormat="1" ht="16.5" customHeight="1">
      <c r="A68" s="103">
        <v>64</v>
      </c>
      <c r="B68" s="805" t="s">
        <v>164</v>
      </c>
      <c r="C68" s="826">
        <f>'Table 8 2.1.12 MFP Funded'!W67</f>
        <v>1</v>
      </c>
      <c r="D68" s="827">
        <f>'Table 3 Levels 1&amp;2'!AL71*90%</f>
        <v>5299.6253265163632</v>
      </c>
      <c r="E68" s="827">
        <f t="shared" si="33"/>
        <v>5299.6253265163632</v>
      </c>
      <c r="F68" s="828">
        <f>'Table 4 Level 3'!P69*90%</f>
        <v>533.39400000000001</v>
      </c>
      <c r="G68" s="828">
        <f t="shared" si="34"/>
        <v>533.39400000000001</v>
      </c>
      <c r="H68" s="828">
        <f t="shared" si="35"/>
        <v>5833.0193265163634</v>
      </c>
      <c r="I68" s="828">
        <f>(('Table 3 Levels 1&amp;2'!AL71-D68)*C68)</f>
        <v>588.84725850181803</v>
      </c>
      <c r="J68" s="828">
        <f>'[1]Oct midyear LA Connections'!K67</f>
        <v>11666.038653032727</v>
      </c>
      <c r="K68" s="828">
        <f>'[1]Feb midyear LA Connections'!K67</f>
        <v>2916.5096632581817</v>
      </c>
      <c r="L68" s="828">
        <f t="shared" si="36"/>
        <v>14582.548316290908</v>
      </c>
      <c r="M68" s="828">
        <f t="shared" si="53"/>
        <v>20415.567642807269</v>
      </c>
      <c r="N68" s="828">
        <f t="shared" si="37"/>
        <v>-51</v>
      </c>
      <c r="O68" s="829">
        <f t="shared" si="54"/>
        <v>20364.567642807269</v>
      </c>
      <c r="P68" s="829">
        <v>0</v>
      </c>
      <c r="Q68" s="830">
        <f t="shared" si="38"/>
        <v>20364.567642807269</v>
      </c>
      <c r="R68" s="830">
        <f>484+483+484+484+484+484+484+484+4110+4110</f>
        <v>12091</v>
      </c>
      <c r="S68" s="830">
        <f t="shared" si="39"/>
        <v>8273.5676428072693</v>
      </c>
      <c r="T68" s="830">
        <f t="shared" si="40"/>
        <v>4137</v>
      </c>
      <c r="U68" s="832">
        <f>'[14]FY2012-13 Final'!K71*90%</f>
        <v>2431.8000000000002</v>
      </c>
      <c r="V68" s="832">
        <f t="shared" si="55"/>
        <v>2431.8000000000002</v>
      </c>
      <c r="W68" s="1490">
        <f>'[20]Oct midyear LA Connections'!E67</f>
        <v>2</v>
      </c>
      <c r="X68" s="832">
        <f t="shared" si="41"/>
        <v>4863.6000000000004</v>
      </c>
      <c r="Y68" s="1490">
        <f>'[20]Feb midyear LA Connections'!E67</f>
        <v>1</v>
      </c>
      <c r="Z68" s="832">
        <f t="shared" si="42"/>
        <v>1215.9000000000001</v>
      </c>
      <c r="AA68" s="832">
        <f t="shared" si="43"/>
        <v>6079.5</v>
      </c>
      <c r="AB68" s="832">
        <f t="shared" si="44"/>
        <v>8511.2999999999993</v>
      </c>
      <c r="AC68" s="832">
        <f t="shared" si="45"/>
        <v>-21</v>
      </c>
      <c r="AD68" s="832">
        <f t="shared" si="46"/>
        <v>8490.2999999999993</v>
      </c>
      <c r="AE68" s="831">
        <v>0</v>
      </c>
      <c r="AF68" s="851">
        <f t="shared" si="47"/>
        <v>8490.2999999999993</v>
      </c>
      <c r="AG68" s="851">
        <f>199*8+1724+1724</f>
        <v>5040</v>
      </c>
      <c r="AH68" s="851">
        <f t="shared" si="48"/>
        <v>3450.2999999999993</v>
      </c>
      <c r="AI68" s="851">
        <f t="shared" si="49"/>
        <v>1725</v>
      </c>
      <c r="AJ68" s="833">
        <f t="shared" si="50"/>
        <v>28854.867642807269</v>
      </c>
      <c r="AK68" s="833">
        <f t="shared" si="51"/>
        <v>5862</v>
      </c>
      <c r="AM68" s="1543">
        <v>-6</v>
      </c>
      <c r="AN68" s="1543">
        <v>-15</v>
      </c>
      <c r="AP68" s="1543">
        <f t="shared" si="52"/>
        <v>0</v>
      </c>
    </row>
    <row r="69" spans="1:42" s="553" customFormat="1" ht="16.5" customHeight="1">
      <c r="A69" s="104">
        <v>65</v>
      </c>
      <c r="B69" s="806" t="s">
        <v>165</v>
      </c>
      <c r="C69" s="834">
        <f>'Table 8 2.1.12 MFP Funded'!W68</f>
        <v>2</v>
      </c>
      <c r="D69" s="835">
        <f>'Table 3 Levels 1&amp;2'!AL72*90%</f>
        <v>4125.5648109696658</v>
      </c>
      <c r="E69" s="835">
        <f t="shared" si="33"/>
        <v>8251.1296219393316</v>
      </c>
      <c r="F69" s="836">
        <f>'Table 4 Level 3'!P70*90%</f>
        <v>746.20799999999997</v>
      </c>
      <c r="G69" s="836">
        <f t="shared" si="34"/>
        <v>1492.4159999999999</v>
      </c>
      <c r="H69" s="836">
        <f t="shared" si="35"/>
        <v>9743.5456219393309</v>
      </c>
      <c r="I69" s="836">
        <f>(('Table 3 Levels 1&amp;2'!AL72-D69)*C69)</f>
        <v>916.79218021548149</v>
      </c>
      <c r="J69" s="836">
        <f>'[1]Oct midyear LA Connections'!K68</f>
        <v>-9743.5456219393309</v>
      </c>
      <c r="K69" s="836">
        <f>'[1]Feb midyear LA Connections'!K68</f>
        <v>9743.5456219393309</v>
      </c>
      <c r="L69" s="836">
        <f t="shared" si="36"/>
        <v>0</v>
      </c>
      <c r="M69" s="836">
        <f t="shared" ref="M69:M73" si="56">H69+L69</f>
        <v>9743.5456219393309</v>
      </c>
      <c r="N69" s="836">
        <f t="shared" si="37"/>
        <v>-24</v>
      </c>
      <c r="O69" s="837">
        <f t="shared" ref="O69:O73" si="57">M69+N69</f>
        <v>9719.5456219393309</v>
      </c>
      <c r="P69" s="837">
        <v>0</v>
      </c>
      <c r="Q69" s="838">
        <f t="shared" si="38"/>
        <v>9719.5456219393309</v>
      </c>
      <c r="R69" s="838">
        <f>813*8+812+812</f>
        <v>8128</v>
      </c>
      <c r="S69" s="838">
        <f t="shared" si="39"/>
        <v>1591.5456219393309</v>
      </c>
      <c r="T69" s="838">
        <f t="shared" si="40"/>
        <v>796</v>
      </c>
      <c r="U69" s="840">
        <f>'[14]FY2012-13 Final'!K72*90%</f>
        <v>4442.4000000000005</v>
      </c>
      <c r="V69" s="840">
        <f t="shared" ref="V69:V73" si="58">U69*C69</f>
        <v>8884.8000000000011</v>
      </c>
      <c r="W69" s="1491">
        <f>'[20]Oct midyear LA Connections'!E68</f>
        <v>-2</v>
      </c>
      <c r="X69" s="840">
        <f t="shared" si="41"/>
        <v>-8884.8000000000011</v>
      </c>
      <c r="Y69" s="1491">
        <f>'[20]Feb midyear LA Connections'!E68</f>
        <v>4</v>
      </c>
      <c r="Z69" s="840">
        <f t="shared" si="42"/>
        <v>8884.8000000000011</v>
      </c>
      <c r="AA69" s="840">
        <f t="shared" si="43"/>
        <v>0</v>
      </c>
      <c r="AB69" s="840">
        <f t="shared" si="44"/>
        <v>8884.8000000000011</v>
      </c>
      <c r="AC69" s="840">
        <f t="shared" si="45"/>
        <v>-22</v>
      </c>
      <c r="AD69" s="840">
        <f t="shared" si="46"/>
        <v>8862.8000000000011</v>
      </c>
      <c r="AE69" s="839">
        <v>0</v>
      </c>
      <c r="AF69" s="852">
        <f t="shared" si="47"/>
        <v>8862.8000000000011</v>
      </c>
      <c r="AG69" s="852">
        <f>693*8+774+774</f>
        <v>7092</v>
      </c>
      <c r="AH69" s="852">
        <f t="shared" si="48"/>
        <v>1770.8000000000011</v>
      </c>
      <c r="AI69" s="852">
        <f t="shared" si="49"/>
        <v>885</v>
      </c>
      <c r="AJ69" s="841">
        <f t="shared" si="50"/>
        <v>18582.345621939334</v>
      </c>
      <c r="AK69" s="841">
        <f t="shared" si="51"/>
        <v>1681</v>
      </c>
      <c r="AM69" s="1543">
        <v>-21</v>
      </c>
      <c r="AN69" s="1543">
        <v>-1</v>
      </c>
      <c r="AP69" s="1543">
        <f t="shared" si="52"/>
        <v>0</v>
      </c>
    </row>
    <row r="70" spans="1:42" s="553" customFormat="1" ht="16.5" customHeight="1">
      <c r="A70" s="103">
        <v>66</v>
      </c>
      <c r="B70" s="805" t="s">
        <v>166</v>
      </c>
      <c r="C70" s="818">
        <f>'Table 8 2.1.12 MFP Funded'!W69</f>
        <v>1</v>
      </c>
      <c r="D70" s="819">
        <f>'Table 3 Levels 1&amp;2'!AL73*90%</f>
        <v>5636.2306373483716</v>
      </c>
      <c r="E70" s="819">
        <f t="shared" ref="E70:E73" si="59">C70*D70</f>
        <v>5636.2306373483716</v>
      </c>
      <c r="F70" s="820">
        <f>'Table 4 Level 3'!P71*90%</f>
        <v>657.05399999999997</v>
      </c>
      <c r="G70" s="820">
        <f t="shared" ref="G70:G73" si="60">F70*C70</f>
        <v>657.05399999999997</v>
      </c>
      <c r="H70" s="820">
        <f t="shared" ref="H70:H73" si="61">E70+G70</f>
        <v>6293.2846373483717</v>
      </c>
      <c r="I70" s="820">
        <f>(('Table 3 Levels 1&amp;2'!AL73-D70)*C70)</f>
        <v>626.2478485942629</v>
      </c>
      <c r="J70" s="820">
        <f>'[1]Oct midyear LA Connections'!K69</f>
        <v>-6293.2846373483717</v>
      </c>
      <c r="K70" s="820">
        <f>'[1]Feb midyear LA Connections'!K69</f>
        <v>6293.2846373483717</v>
      </c>
      <c r="L70" s="820">
        <f t="shared" ref="L70:L73" si="62">J70+K70</f>
        <v>0</v>
      </c>
      <c r="M70" s="820">
        <f t="shared" si="56"/>
        <v>6293.2846373483717</v>
      </c>
      <c r="N70" s="820">
        <f t="shared" ref="N70:N73" si="63">ROUND(-0.25%*M70,0)</f>
        <v>-16</v>
      </c>
      <c r="O70" s="821">
        <f t="shared" si="57"/>
        <v>6277.2846373483717</v>
      </c>
      <c r="P70" s="821">
        <v>0</v>
      </c>
      <c r="Q70" s="822">
        <f t="shared" ref="Q70:Q73" si="64">SUM(O70:P70)</f>
        <v>6277.2846373483717</v>
      </c>
      <c r="R70" s="822">
        <f>522*8+521+521</f>
        <v>5218</v>
      </c>
      <c r="S70" s="822">
        <f t="shared" ref="S70:S73" si="65">Q70-R70</f>
        <v>1059.2846373483717</v>
      </c>
      <c r="T70" s="822">
        <f t="shared" ref="T70:T73" si="66">ROUND(S70/2,0)</f>
        <v>530</v>
      </c>
      <c r="U70" s="824">
        <f>'[14]FY2012-13 Final'!K73*90%</f>
        <v>3175.2000000000003</v>
      </c>
      <c r="V70" s="824">
        <f t="shared" si="58"/>
        <v>3175.2000000000003</v>
      </c>
      <c r="W70" s="1489">
        <f>'[20]Oct midyear LA Connections'!E69</f>
        <v>-1</v>
      </c>
      <c r="X70" s="824">
        <f t="shared" ref="X70:X73" si="67">W70*U70</f>
        <v>-3175.2000000000003</v>
      </c>
      <c r="Y70" s="1489">
        <f>'[20]Feb midyear LA Connections'!E69</f>
        <v>2</v>
      </c>
      <c r="Z70" s="824">
        <f t="shared" ref="Z70:Z73" si="68">Y70*(U70*0.5)</f>
        <v>3175.2000000000003</v>
      </c>
      <c r="AA70" s="824">
        <f t="shared" ref="AA70:AA73" si="69">X70+Z70</f>
        <v>0</v>
      </c>
      <c r="AB70" s="824">
        <f t="shared" ref="AB70:AB73" si="70">V70+AA70</f>
        <v>3175.2000000000003</v>
      </c>
      <c r="AC70" s="824">
        <f t="shared" ref="AC70:AC73" si="71">ROUND(AB70*-0.25%,0)</f>
        <v>-8</v>
      </c>
      <c r="AD70" s="824">
        <f t="shared" ref="AD70:AD73" si="72">SUM(AB70:AC70)</f>
        <v>3167.2000000000003</v>
      </c>
      <c r="AE70" s="823">
        <v>0</v>
      </c>
      <c r="AF70" s="850">
        <f t="shared" ref="AF70:AF73" si="73">SUM(AD70:AE70)</f>
        <v>3167.2000000000003</v>
      </c>
      <c r="AG70" s="850">
        <f>258*2+257+257+257+257+257+257+275+275</f>
        <v>2608</v>
      </c>
      <c r="AH70" s="850">
        <f t="shared" ref="AH70:AH73" si="74">AF70-AG70</f>
        <v>559.20000000000027</v>
      </c>
      <c r="AI70" s="850">
        <f t="shared" ref="AI70:AI73" si="75">ROUND(AH70/2,0)</f>
        <v>280</v>
      </c>
      <c r="AJ70" s="825">
        <f t="shared" ref="AJ70:AJ73" si="76">AF70+Q70</f>
        <v>9444.4846373483724</v>
      </c>
      <c r="AK70" s="825">
        <f t="shared" ref="AK70:AK73" si="77">T70+AI70</f>
        <v>810</v>
      </c>
      <c r="AM70" s="1543">
        <v>-8</v>
      </c>
      <c r="AN70" s="1543">
        <v>0</v>
      </c>
      <c r="AP70" s="1543">
        <f t="shared" ref="AP70:AP73" si="78">AC70-AM70-AN70</f>
        <v>0</v>
      </c>
    </row>
    <row r="71" spans="1:42" s="553" customFormat="1" ht="16.5" customHeight="1">
      <c r="A71" s="103">
        <v>67</v>
      </c>
      <c r="B71" s="805" t="s">
        <v>33</v>
      </c>
      <c r="C71" s="826">
        <f>'Table 8 2.1.12 MFP Funded'!W70</f>
        <v>4</v>
      </c>
      <c r="D71" s="827">
        <f>'Table 3 Levels 1&amp;2'!AL74*90%</f>
        <v>4553.4175826239371</v>
      </c>
      <c r="E71" s="827">
        <f t="shared" si="59"/>
        <v>18213.670330495748</v>
      </c>
      <c r="F71" s="828">
        <f>'Table 4 Level 3'!P72*90%</f>
        <v>644.04899999999998</v>
      </c>
      <c r="G71" s="828">
        <f t="shared" si="60"/>
        <v>2576.1959999999999</v>
      </c>
      <c r="H71" s="828">
        <f t="shared" si="61"/>
        <v>20789.866330495748</v>
      </c>
      <c r="I71" s="828">
        <f>(('Table 3 Levels 1&amp;2'!AL74-D71)*C71)</f>
        <v>2023.7411478328613</v>
      </c>
      <c r="J71" s="828">
        <f>'[1]Oct midyear LA Connections'!K70</f>
        <v>-20789.866330495748</v>
      </c>
      <c r="K71" s="828">
        <f>'[1]Feb midyear LA Connections'!K70</f>
        <v>7796.199873935906</v>
      </c>
      <c r="L71" s="828">
        <f t="shared" si="62"/>
        <v>-12993.666456559842</v>
      </c>
      <c r="M71" s="828">
        <f t="shared" si="56"/>
        <v>7796.199873935906</v>
      </c>
      <c r="N71" s="828">
        <f t="shared" si="63"/>
        <v>-19</v>
      </c>
      <c r="O71" s="829">
        <f t="shared" si="57"/>
        <v>7777.199873935906</v>
      </c>
      <c r="P71" s="829">
        <v>0</v>
      </c>
      <c r="Q71" s="830">
        <f t="shared" si="64"/>
        <v>7777.199873935906</v>
      </c>
      <c r="R71" s="830">
        <f>1725*8-1509-1509</f>
        <v>10782</v>
      </c>
      <c r="S71" s="830">
        <f t="shared" si="65"/>
        <v>-3004.800126064094</v>
      </c>
      <c r="T71" s="830">
        <f t="shared" si="66"/>
        <v>-1502</v>
      </c>
      <c r="U71" s="832">
        <f>'[14]FY2012-13 Final'!K74*90%</f>
        <v>4549.5</v>
      </c>
      <c r="V71" s="832">
        <f t="shared" si="58"/>
        <v>18198</v>
      </c>
      <c r="W71" s="1490">
        <f>'[20]Oct midyear LA Connections'!E70</f>
        <v>-4</v>
      </c>
      <c r="X71" s="832">
        <f t="shared" si="67"/>
        <v>-18198</v>
      </c>
      <c r="Y71" s="1490">
        <f>'[20]Feb midyear LA Connections'!E70</f>
        <v>3</v>
      </c>
      <c r="Z71" s="832">
        <f t="shared" si="68"/>
        <v>6824.25</v>
      </c>
      <c r="AA71" s="832">
        <f t="shared" si="69"/>
        <v>-11373.75</v>
      </c>
      <c r="AB71" s="832">
        <f t="shared" si="70"/>
        <v>6824.25</v>
      </c>
      <c r="AC71" s="832">
        <f t="shared" si="71"/>
        <v>-17</v>
      </c>
      <c r="AD71" s="832">
        <f t="shared" si="72"/>
        <v>6807.25</v>
      </c>
      <c r="AE71" s="831">
        <v>0</v>
      </c>
      <c r="AF71" s="851">
        <f t="shared" si="73"/>
        <v>6807.25</v>
      </c>
      <c r="AG71" s="851">
        <f>1347*8-993-993</f>
        <v>8790</v>
      </c>
      <c r="AH71" s="851">
        <f t="shared" si="74"/>
        <v>-1982.75</v>
      </c>
      <c r="AI71" s="851">
        <f t="shared" si="75"/>
        <v>-991</v>
      </c>
      <c r="AJ71" s="833">
        <f t="shared" si="76"/>
        <v>14584.449873935906</v>
      </c>
      <c r="AK71" s="833">
        <f t="shared" si="77"/>
        <v>-2493</v>
      </c>
      <c r="AM71" s="1543">
        <v>-41</v>
      </c>
      <c r="AN71" s="1543">
        <v>24</v>
      </c>
      <c r="AP71" s="1543">
        <f t="shared" si="78"/>
        <v>0</v>
      </c>
    </row>
    <row r="72" spans="1:42" s="553" customFormat="1" ht="16.5" customHeight="1">
      <c r="A72" s="103">
        <v>68</v>
      </c>
      <c r="B72" s="805" t="s">
        <v>31</v>
      </c>
      <c r="C72" s="826">
        <f>'Table 8 2.1.12 MFP Funded'!W71</f>
        <v>1</v>
      </c>
      <c r="D72" s="827">
        <f>'Table 3 Levels 1&amp;2'!AL75*90%</f>
        <v>5276.9534302186757</v>
      </c>
      <c r="E72" s="827">
        <f t="shared" si="59"/>
        <v>5276.9534302186757</v>
      </c>
      <c r="F72" s="828">
        <f>'Table 4 Level 3'!P73*90%</f>
        <v>718.83</v>
      </c>
      <c r="G72" s="828">
        <f t="shared" si="60"/>
        <v>718.83</v>
      </c>
      <c r="H72" s="828">
        <f t="shared" si="61"/>
        <v>5995.7834302186757</v>
      </c>
      <c r="I72" s="828">
        <f>(('Table 3 Levels 1&amp;2'!AL75-D72)*C72)</f>
        <v>586.32815891318569</v>
      </c>
      <c r="J72" s="828">
        <f>'[1]Oct midyear LA Connections'!K71</f>
        <v>-5995.7834302186757</v>
      </c>
      <c r="K72" s="828">
        <f>'[1]Feb midyear LA Connections'!K71</f>
        <v>32976.808866202715</v>
      </c>
      <c r="L72" s="828">
        <f t="shared" si="62"/>
        <v>26981.02543598404</v>
      </c>
      <c r="M72" s="828">
        <f t="shared" si="56"/>
        <v>32976.808866202715</v>
      </c>
      <c r="N72" s="828">
        <f t="shared" si="63"/>
        <v>-82</v>
      </c>
      <c r="O72" s="829">
        <f t="shared" si="57"/>
        <v>32894.808866202715</v>
      </c>
      <c r="P72" s="829">
        <v>0</v>
      </c>
      <c r="Q72" s="830">
        <f t="shared" si="64"/>
        <v>32894.808866202715</v>
      </c>
      <c r="R72" s="830">
        <f>498*8+7226+7226</f>
        <v>18436</v>
      </c>
      <c r="S72" s="830">
        <f t="shared" si="65"/>
        <v>14458.808866202715</v>
      </c>
      <c r="T72" s="830">
        <f t="shared" si="66"/>
        <v>7229</v>
      </c>
      <c r="U72" s="832">
        <f>'[14]FY2012-13 Final'!K75*90%</f>
        <v>2528.1</v>
      </c>
      <c r="V72" s="832">
        <f t="shared" si="58"/>
        <v>2528.1</v>
      </c>
      <c r="W72" s="1490">
        <f>'[20]Oct midyear LA Connections'!E71</f>
        <v>-1</v>
      </c>
      <c r="X72" s="832">
        <f t="shared" si="67"/>
        <v>-2528.1</v>
      </c>
      <c r="Y72" s="1490">
        <f>'[20]Feb midyear LA Connections'!E71</f>
        <v>11</v>
      </c>
      <c r="Z72" s="832">
        <f t="shared" si="68"/>
        <v>13904.55</v>
      </c>
      <c r="AA72" s="832">
        <f t="shared" si="69"/>
        <v>11376.449999999999</v>
      </c>
      <c r="AB72" s="832">
        <f t="shared" si="70"/>
        <v>13904.55</v>
      </c>
      <c r="AC72" s="832">
        <f t="shared" si="71"/>
        <v>-35</v>
      </c>
      <c r="AD72" s="832">
        <f t="shared" si="72"/>
        <v>13869.55</v>
      </c>
      <c r="AE72" s="831">
        <v>0</v>
      </c>
      <c r="AF72" s="851">
        <f t="shared" si="73"/>
        <v>13869.55</v>
      </c>
      <c r="AG72" s="851">
        <f>194+193+194+194+194+194+194+194+3023+3023</f>
        <v>7597</v>
      </c>
      <c r="AH72" s="851">
        <f t="shared" si="74"/>
        <v>6272.5499999999993</v>
      </c>
      <c r="AI72" s="851">
        <f t="shared" si="75"/>
        <v>3136</v>
      </c>
      <c r="AJ72" s="833">
        <f t="shared" si="76"/>
        <v>46764.358866202718</v>
      </c>
      <c r="AK72" s="833">
        <f t="shared" si="77"/>
        <v>10365</v>
      </c>
      <c r="AM72" s="1543">
        <v>-6</v>
      </c>
      <c r="AN72" s="1543">
        <v>-28</v>
      </c>
      <c r="AP72" s="1543">
        <f t="shared" si="78"/>
        <v>-1</v>
      </c>
    </row>
    <row r="73" spans="1:42" s="553" customFormat="1" ht="16.5" customHeight="1">
      <c r="A73" s="103">
        <v>69</v>
      </c>
      <c r="B73" s="805" t="s">
        <v>229</v>
      </c>
      <c r="C73" s="826">
        <f>'Table 8 2.1.12 MFP Funded'!W72</f>
        <v>1</v>
      </c>
      <c r="D73" s="827">
        <f>'Table 3 Levels 1&amp;2'!AL76*90%</f>
        <v>4968.7146656811774</v>
      </c>
      <c r="E73" s="827">
        <f t="shared" si="59"/>
        <v>4968.7146656811774</v>
      </c>
      <c r="F73" s="828">
        <f>'Table 4 Level 3'!P74*90%</f>
        <v>635.10299999999995</v>
      </c>
      <c r="G73" s="828">
        <f t="shared" si="60"/>
        <v>635.10299999999995</v>
      </c>
      <c r="H73" s="828">
        <f t="shared" si="61"/>
        <v>5603.8176656811775</v>
      </c>
      <c r="I73" s="828">
        <f>(('Table 3 Levels 1&amp;2'!AL76-D73)*C73)</f>
        <v>552.0794072979088</v>
      </c>
      <c r="J73" s="828">
        <f>'[1]Oct midyear LA Connections'!K72</f>
        <v>-5603.8176656811775</v>
      </c>
      <c r="K73" s="828">
        <f>'[1]Feb midyear LA Connections'!K72</f>
        <v>5603.8176656811775</v>
      </c>
      <c r="L73" s="828">
        <f t="shared" si="62"/>
        <v>0</v>
      </c>
      <c r="M73" s="828">
        <f t="shared" si="56"/>
        <v>5603.8176656811775</v>
      </c>
      <c r="N73" s="828">
        <f t="shared" si="63"/>
        <v>-14</v>
      </c>
      <c r="O73" s="829">
        <f t="shared" si="57"/>
        <v>5589.8176656811775</v>
      </c>
      <c r="P73" s="829">
        <v>0</v>
      </c>
      <c r="Q73" s="830">
        <f t="shared" si="64"/>
        <v>5589.8176656811775</v>
      </c>
      <c r="R73" s="830">
        <f>465*10</f>
        <v>4650</v>
      </c>
      <c r="S73" s="830">
        <f t="shared" si="65"/>
        <v>939.81766568117746</v>
      </c>
      <c r="T73" s="830">
        <f t="shared" si="66"/>
        <v>470</v>
      </c>
      <c r="U73" s="832">
        <f>'[14]FY2012-13 Final'!K76*90%</f>
        <v>2996.1</v>
      </c>
      <c r="V73" s="832">
        <f t="shared" si="58"/>
        <v>2996.1</v>
      </c>
      <c r="W73" s="1490">
        <f>'[20]Oct midyear LA Connections'!E72</f>
        <v>-1</v>
      </c>
      <c r="X73" s="832">
        <f t="shared" si="67"/>
        <v>-2996.1</v>
      </c>
      <c r="Y73" s="1490">
        <f>'[20]Feb midyear LA Connections'!E72</f>
        <v>2</v>
      </c>
      <c r="Z73" s="832">
        <f t="shared" si="68"/>
        <v>2996.1</v>
      </c>
      <c r="AA73" s="832">
        <f t="shared" si="69"/>
        <v>0</v>
      </c>
      <c r="AB73" s="832">
        <f t="shared" si="70"/>
        <v>2996.1</v>
      </c>
      <c r="AC73" s="832">
        <f t="shared" si="71"/>
        <v>-7</v>
      </c>
      <c r="AD73" s="832">
        <f t="shared" si="72"/>
        <v>2989.1</v>
      </c>
      <c r="AE73" s="831">
        <v>0</v>
      </c>
      <c r="AF73" s="851">
        <f t="shared" si="73"/>
        <v>2989.1</v>
      </c>
      <c r="AG73" s="851">
        <f>242*8+263+263</f>
        <v>2462</v>
      </c>
      <c r="AH73" s="851">
        <f t="shared" si="74"/>
        <v>527.09999999999991</v>
      </c>
      <c r="AI73" s="851">
        <f t="shared" si="75"/>
        <v>264</v>
      </c>
      <c r="AJ73" s="833">
        <f t="shared" si="76"/>
        <v>8578.9176656811778</v>
      </c>
      <c r="AK73" s="833">
        <f t="shared" si="77"/>
        <v>734</v>
      </c>
      <c r="AM73" s="1543">
        <v>-7</v>
      </c>
      <c r="AN73" s="1543">
        <v>0</v>
      </c>
      <c r="AP73" s="1543">
        <f t="shared" si="78"/>
        <v>0</v>
      </c>
    </row>
    <row r="74" spans="1:42" s="848" customFormat="1" ht="18" customHeight="1">
      <c r="A74" s="842"/>
      <c r="B74" s="807" t="s">
        <v>663</v>
      </c>
      <c r="C74" s="843">
        <f>SUM(C5:C73)</f>
        <v>594</v>
      </c>
      <c r="D74" s="844">
        <f>'Table 3 Levels 1&amp;2'!AL77*90%</f>
        <v>3902.8529032021102</v>
      </c>
      <c r="E74" s="844">
        <f t="shared" ref="E74:AK74" si="79">SUM(E5:E73)</f>
        <v>2406163.6796098868</v>
      </c>
      <c r="F74" s="845"/>
      <c r="G74" s="845">
        <f t="shared" si="79"/>
        <v>371530.70029107272</v>
      </c>
      <c r="H74" s="845">
        <f t="shared" si="79"/>
        <v>2777694.3799009575</v>
      </c>
      <c r="I74" s="845">
        <f t="shared" si="79"/>
        <v>267351.519956654</v>
      </c>
      <c r="J74" s="845">
        <f t="shared" ref="J74:M74" si="80">SUM(J5:J73)</f>
        <v>2647349.1906205984</v>
      </c>
      <c r="K74" s="845">
        <f t="shared" si="80"/>
        <v>51011.436840694347</v>
      </c>
      <c r="L74" s="845">
        <f t="shared" si="80"/>
        <v>2698360.6274612937</v>
      </c>
      <c r="M74" s="845">
        <f t="shared" si="80"/>
        <v>5476055.0073622549</v>
      </c>
      <c r="N74" s="845">
        <f t="shared" si="79"/>
        <v>-13688</v>
      </c>
      <c r="O74" s="846">
        <f t="shared" si="79"/>
        <v>5462367.0073622549</v>
      </c>
      <c r="P74" s="846">
        <f t="shared" si="79"/>
        <v>0</v>
      </c>
      <c r="Q74" s="847">
        <f t="shared" si="79"/>
        <v>5462367.0073622549</v>
      </c>
      <c r="R74" s="847">
        <f t="shared" si="79"/>
        <v>3646315</v>
      </c>
      <c r="S74" s="847">
        <f t="shared" si="79"/>
        <v>1816052.007362253</v>
      </c>
      <c r="T74" s="847">
        <f t="shared" si="79"/>
        <v>908030</v>
      </c>
      <c r="U74" s="809"/>
      <c r="V74" s="809">
        <f t="shared" si="79"/>
        <v>2235651.3000000007</v>
      </c>
      <c r="W74" s="1353">
        <f>SUM(W5:W73)</f>
        <v>606</v>
      </c>
      <c r="X74" s="809">
        <f t="shared" ref="X74:AB74" si="81">SUM(X5:X73)</f>
        <v>2655414.9000000008</v>
      </c>
      <c r="Y74" s="1492">
        <f>SUM(Y5:Y73)</f>
        <v>0</v>
      </c>
      <c r="Z74" s="1487">
        <f>SUM(Z5:Z73)</f>
        <v>-138377.70000000001</v>
      </c>
      <c r="AA74" s="1487">
        <f>SUM(AA5:AA73)</f>
        <v>2517037.2000000002</v>
      </c>
      <c r="AB74" s="809">
        <f t="shared" si="81"/>
        <v>4752688.4999999991</v>
      </c>
      <c r="AC74" s="809">
        <f t="shared" si="79"/>
        <v>-11884</v>
      </c>
      <c r="AD74" s="809">
        <f t="shared" si="79"/>
        <v>4740804.4999999991</v>
      </c>
      <c r="AE74" s="809">
        <f t="shared" si="79"/>
        <v>0</v>
      </c>
      <c r="AF74" s="853">
        <f t="shared" si="79"/>
        <v>4740804.4999999991</v>
      </c>
      <c r="AG74" s="853">
        <f t="shared" si="79"/>
        <v>3076146</v>
      </c>
      <c r="AH74" s="853">
        <f t="shared" si="79"/>
        <v>1664658.5000000002</v>
      </c>
      <c r="AI74" s="853">
        <f t="shared" si="79"/>
        <v>832336</v>
      </c>
      <c r="AJ74" s="810">
        <f t="shared" si="79"/>
        <v>10203171.507362256</v>
      </c>
      <c r="AK74" s="810">
        <f t="shared" si="79"/>
        <v>1740366</v>
      </c>
      <c r="AM74" s="1544">
        <f>SUM(AM5:AM73)</f>
        <v>-5473</v>
      </c>
      <c r="AN74" s="1544">
        <f>SUM(AN5:AN73)</f>
        <v>-6300</v>
      </c>
      <c r="AP74" s="1544">
        <f>SUM(AP5:AP73)</f>
        <v>-111</v>
      </c>
    </row>
    <row r="75" spans="1:42" s="1565" customFormat="1" ht="18.75" hidden="1" customHeight="1">
      <c r="A75" s="1559"/>
      <c r="B75" s="1560"/>
      <c r="C75" s="1561"/>
      <c r="D75" s="1562"/>
      <c r="E75" s="1562"/>
      <c r="F75" s="1562"/>
      <c r="G75" s="1562"/>
      <c r="H75" s="1562"/>
      <c r="I75" s="1562"/>
      <c r="J75" s="1562"/>
      <c r="K75" s="1562"/>
      <c r="L75" s="1562"/>
      <c r="M75" s="1562"/>
      <c r="N75" s="1562"/>
      <c r="O75" s="1562"/>
      <c r="P75" s="1562"/>
      <c r="Q75" s="1562"/>
      <c r="R75" s="1562"/>
      <c r="S75" s="1562"/>
      <c r="T75" s="1562"/>
      <c r="U75" s="1563"/>
      <c r="V75" s="1563"/>
      <c r="W75" s="1563"/>
      <c r="X75" s="1563"/>
      <c r="Y75" s="1563"/>
      <c r="Z75" s="1563"/>
      <c r="AA75" s="1563"/>
      <c r="AB75" s="1563"/>
      <c r="AC75" s="1564"/>
      <c r="AD75" s="1564"/>
      <c r="AE75" s="1564"/>
      <c r="AF75" s="1563"/>
      <c r="AG75" s="1563"/>
      <c r="AH75" s="1563"/>
      <c r="AI75" s="1563"/>
      <c r="AJ75" s="1563"/>
      <c r="AK75" s="1563"/>
      <c r="AN75" s="1703"/>
    </row>
    <row r="76" spans="1:42" s="1557" customFormat="1" ht="18.75" hidden="1" customHeight="1">
      <c r="B76" s="1566"/>
      <c r="C76" s="1567"/>
      <c r="D76" s="1568"/>
      <c r="E76" s="1568"/>
      <c r="F76" s="1568"/>
      <c r="G76" s="1568"/>
      <c r="H76" s="1568"/>
      <c r="I76" s="1568"/>
      <c r="J76" s="1568"/>
      <c r="K76" s="1568"/>
      <c r="L76" s="1568"/>
      <c r="M76" s="1568"/>
      <c r="N76" s="1557" t="s">
        <v>1416</v>
      </c>
      <c r="O76" s="1568">
        <f>N74</f>
        <v>-13688</v>
      </c>
      <c r="P76" s="1568"/>
      <c r="Q76" s="1568"/>
      <c r="R76" s="1568"/>
      <c r="S76" s="1568"/>
      <c r="T76" s="1568"/>
      <c r="U76" s="1569"/>
      <c r="V76" s="1569"/>
      <c r="W76" s="1569"/>
      <c r="X76" s="1569"/>
      <c r="Y76" s="1569"/>
      <c r="Z76" s="1569"/>
      <c r="AA76" s="1569"/>
      <c r="AB76" s="1569"/>
      <c r="AC76" s="1569"/>
      <c r="AD76" s="1569"/>
      <c r="AE76" s="1569"/>
      <c r="AF76" s="1569"/>
      <c r="AG76" s="1569"/>
      <c r="AH76" s="1569"/>
      <c r="AI76" s="1569"/>
      <c r="AJ76" s="1569"/>
      <c r="AK76" s="1569"/>
    </row>
    <row r="77" spans="1:42" s="1557" customFormat="1" ht="18.75" hidden="1" customHeight="1">
      <c r="B77" s="1566"/>
      <c r="C77" s="1567"/>
      <c r="D77" s="1568"/>
      <c r="E77" s="1568"/>
      <c r="F77" s="1568"/>
      <c r="G77" s="1568"/>
      <c r="H77" s="1568"/>
      <c r="I77" s="1568"/>
      <c r="J77" s="1568"/>
      <c r="K77" s="1568"/>
      <c r="L77" s="1568"/>
      <c r="M77" s="1568"/>
      <c r="N77" s="1577" t="s">
        <v>1274</v>
      </c>
      <c r="O77" s="1568">
        <f>-'[22]Table 5C3 - LA Connections EBR'!$O$76</f>
        <v>13657</v>
      </c>
      <c r="P77" s="1568"/>
      <c r="Q77" s="1568"/>
      <c r="R77" s="1568"/>
      <c r="S77" s="1568"/>
      <c r="T77" s="1568"/>
      <c r="U77" s="1569"/>
      <c r="V77" s="1569"/>
      <c r="W77" s="1569"/>
      <c r="X77" s="1569"/>
      <c r="Y77" s="1569"/>
      <c r="Z77" s="1569"/>
      <c r="AA77" s="1569"/>
      <c r="AB77" s="1569"/>
      <c r="AC77" s="1569"/>
      <c r="AD77" s="1569"/>
      <c r="AE77" s="1569"/>
      <c r="AF77" s="1569"/>
      <c r="AG77" s="1569"/>
      <c r="AH77" s="1569"/>
      <c r="AI77" s="1569"/>
      <c r="AJ77" s="1569"/>
      <c r="AK77" s="1569"/>
    </row>
    <row r="78" spans="1:42" s="1557" customFormat="1" ht="18.75" hidden="1" customHeight="1">
      <c r="B78" s="1570"/>
      <c r="C78" s="1571"/>
      <c r="D78" s="1572"/>
      <c r="E78" s="1572"/>
      <c r="F78" s="1572"/>
      <c r="G78" s="1572"/>
      <c r="H78" s="1572"/>
      <c r="I78" s="1572"/>
      <c r="J78" s="1572"/>
      <c r="K78" s="1572"/>
      <c r="L78" s="1572"/>
      <c r="M78" s="1572"/>
      <c r="N78" s="1577" t="s">
        <v>1275</v>
      </c>
      <c r="O78" s="1568">
        <f>-'[21]Table 5C3 - LA Connections EBR'!$J$73</f>
        <v>6930</v>
      </c>
      <c r="P78" s="1572"/>
      <c r="Q78" s="1572"/>
      <c r="R78" s="1572"/>
      <c r="S78" s="1572"/>
      <c r="T78" s="1572"/>
      <c r="U78" s="1573"/>
      <c r="V78" s="1573"/>
      <c r="W78" s="1573"/>
      <c r="X78" s="1573"/>
      <c r="Y78" s="1573"/>
      <c r="Z78" s="1573"/>
      <c r="AA78" s="1573"/>
      <c r="AB78" s="1573"/>
      <c r="AC78" s="1574"/>
      <c r="AD78" s="1574"/>
      <c r="AE78" s="1574"/>
      <c r="AF78" s="1573"/>
      <c r="AG78" s="1573"/>
      <c r="AH78" s="1573"/>
      <c r="AI78" s="1573"/>
      <c r="AJ78" s="1573"/>
      <c r="AK78" s="1573"/>
    </row>
    <row r="79" spans="1:42" s="1558" customFormat="1" ht="18.75" hidden="1" customHeight="1">
      <c r="B79" s="1575"/>
      <c r="C79" s="1571"/>
      <c r="D79" s="1572"/>
      <c r="E79" s="1572"/>
      <c r="F79" s="1572"/>
      <c r="G79" s="1572"/>
      <c r="H79" s="1572"/>
      <c r="I79" s="1572"/>
      <c r="J79" s="1572"/>
      <c r="K79" s="1572"/>
      <c r="L79" s="1572"/>
      <c r="M79" s="1572"/>
      <c r="N79" s="1577" t="s">
        <v>1276</v>
      </c>
      <c r="O79" s="1568">
        <f>SUM(O76:O77)</f>
        <v>-31</v>
      </c>
      <c r="P79" s="1572"/>
      <c r="Q79" s="1572"/>
      <c r="R79" s="1572"/>
      <c r="S79" s="1572"/>
      <c r="T79" s="1572"/>
      <c r="U79" s="1576"/>
      <c r="V79" s="1576"/>
      <c r="W79" s="1576"/>
      <c r="X79" s="1576"/>
      <c r="Y79" s="1576"/>
      <c r="Z79" s="1576"/>
      <c r="AA79" s="1576"/>
      <c r="AB79" s="1576"/>
      <c r="AC79" s="1576"/>
      <c r="AD79" s="1576"/>
      <c r="AE79" s="1576"/>
      <c r="AF79" s="1576"/>
      <c r="AG79" s="1576"/>
      <c r="AH79" s="1576"/>
      <c r="AI79" s="1576"/>
      <c r="AJ79" s="1576"/>
      <c r="AK79" s="1576"/>
    </row>
    <row r="80" spans="1:42" ht="18.75" hidden="1" customHeight="1">
      <c r="B80" s="554"/>
      <c r="C80" s="555"/>
      <c r="D80" s="556"/>
      <c r="E80" s="555"/>
      <c r="F80" s="555"/>
      <c r="G80" s="555"/>
      <c r="H80" s="557"/>
      <c r="I80" s="1699"/>
      <c r="J80" s="557"/>
      <c r="K80" s="557"/>
      <c r="L80" s="557"/>
      <c r="M80" s="557"/>
      <c r="N80" s="557"/>
      <c r="O80" s="557"/>
      <c r="P80" s="557"/>
      <c r="Q80" s="557"/>
      <c r="R80" s="557"/>
      <c r="S80" s="557"/>
      <c r="T80" s="557"/>
    </row>
    <row r="81" spans="2:20" ht="18.75" hidden="1" customHeight="1">
      <c r="C81" s="2081"/>
      <c r="D81" s="2081"/>
      <c r="E81" s="2081"/>
      <c r="F81" s="2081"/>
      <c r="G81" s="2081"/>
      <c r="H81" s="2081"/>
      <c r="I81" s="2081"/>
      <c r="J81" s="2081"/>
      <c r="K81" s="2081"/>
      <c r="L81" s="2081"/>
      <c r="M81" s="2081"/>
      <c r="N81" s="2081"/>
      <c r="O81" s="2081"/>
      <c r="P81" s="2081"/>
      <c r="Q81" s="2081"/>
      <c r="R81" s="2081"/>
      <c r="S81" s="2081"/>
      <c r="T81" s="2081"/>
    </row>
    <row r="82" spans="2:20" s="762" customFormat="1" ht="18.75" hidden="1" customHeight="1">
      <c r="C82" s="760"/>
      <c r="D82" s="761"/>
      <c r="E82" s="761"/>
      <c r="F82" s="761"/>
      <c r="G82" s="761">
        <f>(G79/90%)*10%</f>
        <v>0</v>
      </c>
      <c r="H82" s="761"/>
      <c r="I82" s="761"/>
      <c r="J82" s="761"/>
      <c r="K82" s="761"/>
      <c r="L82" s="761"/>
      <c r="M82" s="761"/>
      <c r="N82" s="761"/>
    </row>
    <row r="83" spans="2:20" s="762" customFormat="1" ht="18.75" hidden="1" customHeight="1">
      <c r="C83" s="2080"/>
      <c r="D83" s="2080"/>
      <c r="E83" s="2080"/>
      <c r="F83" s="2080"/>
      <c r="G83" s="2080"/>
      <c r="H83" s="2080"/>
      <c r="I83" s="2080"/>
      <c r="J83" s="2080"/>
      <c r="K83" s="2080"/>
      <c r="L83" s="2080"/>
      <c r="M83" s="2080"/>
      <c r="N83" s="2080"/>
      <c r="O83" s="2080"/>
      <c r="P83" s="2080"/>
      <c r="Q83" s="2080"/>
      <c r="R83" s="2080"/>
      <c r="S83" s="2080"/>
      <c r="T83" s="2080"/>
    </row>
    <row r="84" spans="2:20" ht="18.75" customHeight="1">
      <c r="C84" s="558"/>
    </row>
    <row r="85" spans="2:20" ht="18.75" customHeight="1">
      <c r="B85" s="559"/>
    </row>
    <row r="86" spans="2:20" ht="18.75" customHeight="1"/>
  </sheetData>
  <mergeCells count="44">
    <mergeCell ref="A2:A3"/>
    <mergeCell ref="B2:B3"/>
    <mergeCell ref="C2:C3"/>
    <mergeCell ref="D2:D3"/>
    <mergeCell ref="E2:E3"/>
    <mergeCell ref="AK2:AK3"/>
    <mergeCell ref="C81:T81"/>
    <mergeCell ref="U2:U3"/>
    <mergeCell ref="V2:V3"/>
    <mergeCell ref="AC2:AC3"/>
    <mergeCell ref="AD2:AD3"/>
    <mergeCell ref="AE2:AE3"/>
    <mergeCell ref="N2:N3"/>
    <mergeCell ref="O2:O3"/>
    <mergeCell ref="P2:P3"/>
    <mergeCell ref="Q2:Q3"/>
    <mergeCell ref="T2:T3"/>
    <mergeCell ref="X2:X3"/>
    <mergeCell ref="AB2:AB3"/>
    <mergeCell ref="F2:F3"/>
    <mergeCell ref="G2:G3"/>
    <mergeCell ref="W2:W3"/>
    <mergeCell ref="C83:T83"/>
    <mergeCell ref="AF2:AF3"/>
    <mergeCell ref="AI2:AI3"/>
    <mergeCell ref="AJ2:AJ3"/>
    <mergeCell ref="H2:H3"/>
    <mergeCell ref="I2:I3"/>
    <mergeCell ref="AN2:AN3"/>
    <mergeCell ref="AM2:AM3"/>
    <mergeCell ref="AP2:AP3"/>
    <mergeCell ref="J1:L1"/>
    <mergeCell ref="W1:AA1"/>
    <mergeCell ref="Y2:Y3"/>
    <mergeCell ref="Z2:Z3"/>
    <mergeCell ref="AA2:AA3"/>
    <mergeCell ref="AG2:AG3"/>
    <mergeCell ref="AH2:AH3"/>
    <mergeCell ref="J2:J3"/>
    <mergeCell ref="K2:K3"/>
    <mergeCell ref="L2:L3"/>
    <mergeCell ref="M2:M3"/>
    <mergeCell ref="R2:R3"/>
    <mergeCell ref="S2:S3"/>
  </mergeCells>
  <printOptions horizontalCentered="1"/>
  <pageMargins left="0.2" right="0.25" top="0.86" bottom="0.25" header="0.24" footer="0.25"/>
  <pageSetup paperSize="5" scale="60" firstPageNumber="69" orientation="portrait" useFirstPageNumber="1" r:id="rId1"/>
  <headerFooter alignWithMargins="0">
    <oddHeader>&amp;L&amp;"Arial,Bold"&amp;20Table 5C-3: FY2012-13 MFP Budget Letter
Type 2 Charter School Allocation (Louisiana Connections Academy) (May 2013)</oddHeader>
    <oddFooter>&amp;R&amp;P</oddFooter>
  </headerFooter>
  <colBreaks count="5" manualBreakCount="5">
    <brk id="9" max="73" man="1"/>
    <brk id="13" max="73" man="1"/>
    <brk id="20" max="73" man="1"/>
    <brk id="32" max="73" man="1"/>
    <brk id="37" max="73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K105"/>
  <sheetViews>
    <sheetView view="pageBreakPreview" zoomScale="90" zoomScaleNormal="85" zoomScaleSheetLayoutView="90" workbookViewId="0">
      <pane xSplit="2" ySplit="6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A2" sqref="A2:B4"/>
    </sheetView>
  </sheetViews>
  <sheetFormatPr defaultColWidth="12.5703125" defaultRowHeight="12.75"/>
  <cols>
    <col min="1" max="1" width="3.85546875" style="2" customWidth="1"/>
    <col min="2" max="2" width="20.85546875" style="2" customWidth="1"/>
    <col min="3" max="3" width="13.5703125" style="1" customWidth="1"/>
    <col min="4" max="4" width="15.5703125" style="1" customWidth="1"/>
    <col min="5" max="5" width="12.7109375" style="1" customWidth="1"/>
    <col min="6" max="6" width="16" style="1" customWidth="1"/>
    <col min="7" max="7" width="13.5703125" style="1" customWidth="1"/>
    <col min="8" max="8" width="15.5703125" style="646" hidden="1" customWidth="1"/>
    <col min="9" max="9" width="13.28515625" style="646" bestFit="1" customWidth="1"/>
    <col min="10" max="10" width="14" style="646" bestFit="1" customWidth="1"/>
    <col min="11" max="11" width="12.140625" style="646" bestFit="1" customWidth="1"/>
    <col min="12" max="12" width="16.42578125" style="646" bestFit="1" customWidth="1"/>
    <col min="13" max="13" width="13.42578125" style="646" bestFit="1" customWidth="1"/>
    <col min="14" max="14" width="13.5703125" style="646" bestFit="1" customWidth="1"/>
    <col min="15" max="16" width="13.5703125" style="646" customWidth="1"/>
    <col min="17" max="17" width="9.7109375" style="1" bestFit="1" customWidth="1"/>
    <col min="18" max="18" width="15.85546875" style="473" customWidth="1"/>
    <col min="19" max="19" width="12.5703125" style="1" customWidth="1"/>
    <col min="20" max="20" width="12.85546875" style="1" bestFit="1" customWidth="1"/>
    <col min="21" max="21" width="10.5703125" style="1" bestFit="1" customWidth="1"/>
    <col min="22" max="22" width="12.42578125" style="1" bestFit="1" customWidth="1"/>
    <col min="23" max="27" width="11.42578125" style="1494" bestFit="1" customWidth="1"/>
    <col min="28" max="28" width="13.7109375" style="1494" customWidth="1"/>
    <col min="29" max="29" width="13.7109375" style="1176" customWidth="1"/>
    <col min="30" max="30" width="14.42578125" style="1176" customWidth="1"/>
    <col min="31" max="32" width="14.42578125" style="1494" customWidth="1"/>
    <col min="33" max="33" width="10.85546875" style="1" bestFit="1" customWidth="1"/>
    <col min="34" max="34" width="12.5703125" style="2" customWidth="1"/>
    <col min="35" max="35" width="2.5703125" style="646" hidden="1" customWidth="1"/>
    <col min="36" max="36" width="37.85546875" style="646" hidden="1" customWidth="1"/>
    <col min="37" max="37" width="12.5703125" style="2" customWidth="1"/>
    <col min="38" max="16384" width="12.5703125" style="2"/>
  </cols>
  <sheetData>
    <row r="1" spans="1:37" ht="9" customHeight="1">
      <c r="B1" s="731"/>
      <c r="C1" s="732"/>
      <c r="D1" s="732"/>
    </row>
    <row r="2" spans="1:37" s="606" customFormat="1" ht="39.75" customHeight="1">
      <c r="A2" s="2091" t="s">
        <v>524</v>
      </c>
      <c r="B2" s="2092"/>
      <c r="C2" s="2100" t="s">
        <v>1078</v>
      </c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2102"/>
      <c r="R2" s="2103" t="s">
        <v>525</v>
      </c>
      <c r="S2" s="2104"/>
      <c r="T2" s="2104"/>
      <c r="U2" s="2104"/>
      <c r="V2" s="2104"/>
      <c r="W2" s="2104"/>
      <c r="X2" s="2104"/>
      <c r="Y2" s="2104"/>
      <c r="Z2" s="2104"/>
      <c r="AA2" s="2104"/>
      <c r="AB2" s="2104"/>
      <c r="AC2" s="2104"/>
      <c r="AD2" s="2104"/>
      <c r="AE2" s="2104"/>
      <c r="AF2" s="2104"/>
      <c r="AG2" s="2105"/>
      <c r="AH2" s="2082" t="s">
        <v>1143</v>
      </c>
      <c r="AI2" s="604"/>
      <c r="AJ2" s="605"/>
      <c r="AK2" s="2082" t="s">
        <v>1106</v>
      </c>
    </row>
    <row r="3" spans="1:37" ht="122.25" customHeight="1">
      <c r="A3" s="2093"/>
      <c r="B3" s="2094"/>
      <c r="C3" s="2097" t="s">
        <v>1225</v>
      </c>
      <c r="D3" s="2099" t="s">
        <v>740</v>
      </c>
      <c r="E3" s="607" t="s">
        <v>526</v>
      </c>
      <c r="F3" s="607" t="s">
        <v>527</v>
      </c>
      <c r="G3" s="2099" t="s">
        <v>1141</v>
      </c>
      <c r="H3" s="608"/>
      <c r="I3" s="2027" t="s">
        <v>1190</v>
      </c>
      <c r="J3" s="2027" t="s">
        <v>1206</v>
      </c>
      <c r="K3" s="2027" t="s">
        <v>1207</v>
      </c>
      <c r="L3" s="2099" t="s">
        <v>1223</v>
      </c>
      <c r="M3" s="1911" t="s">
        <v>990</v>
      </c>
      <c r="N3" s="1911" t="s">
        <v>1119</v>
      </c>
      <c r="O3" s="1496" t="s">
        <v>1329</v>
      </c>
      <c r="P3" s="1496" t="s">
        <v>1403</v>
      </c>
      <c r="Q3" s="2099" t="s">
        <v>1120</v>
      </c>
      <c r="R3" s="2086" t="s">
        <v>741</v>
      </c>
      <c r="S3" s="2088" t="s">
        <v>609</v>
      </c>
      <c r="T3" s="2088" t="s">
        <v>610</v>
      </c>
      <c r="U3" s="2088" t="s">
        <v>528</v>
      </c>
      <c r="V3" s="2088" t="s">
        <v>1142</v>
      </c>
      <c r="W3" s="1917" t="s">
        <v>1218</v>
      </c>
      <c r="X3" s="1917" t="s">
        <v>1196</v>
      </c>
      <c r="Y3" s="1917" t="s">
        <v>1226</v>
      </c>
      <c r="Z3" s="1917" t="s">
        <v>1220</v>
      </c>
      <c r="AA3" s="1917" t="s">
        <v>1194</v>
      </c>
      <c r="AB3" s="1917" t="s">
        <v>1199</v>
      </c>
      <c r="AC3" s="1917" t="s">
        <v>990</v>
      </c>
      <c r="AD3" s="1917" t="s">
        <v>1135</v>
      </c>
      <c r="AE3" s="1917" t="s">
        <v>1330</v>
      </c>
      <c r="AF3" s="1917" t="s">
        <v>1403</v>
      </c>
      <c r="AG3" s="2088" t="s">
        <v>1123</v>
      </c>
      <c r="AH3" s="2083"/>
      <c r="AI3" s="608"/>
      <c r="AJ3" s="609"/>
      <c r="AK3" s="2083"/>
    </row>
    <row r="4" spans="1:37" ht="35.25" customHeight="1">
      <c r="A4" s="2095"/>
      <c r="B4" s="2096"/>
      <c r="C4" s="2098"/>
      <c r="D4" s="2099"/>
      <c r="E4" s="610">
        <f>E83</f>
        <v>0.31638418079096048</v>
      </c>
      <c r="F4" s="611">
        <f>C102</f>
        <v>1470.3473918621949</v>
      </c>
      <c r="G4" s="2099"/>
      <c r="H4" s="608"/>
      <c r="I4" s="1827"/>
      <c r="J4" s="1827"/>
      <c r="K4" s="1827"/>
      <c r="L4" s="2099"/>
      <c r="M4" s="1912"/>
      <c r="N4" s="1912"/>
      <c r="O4" s="1497"/>
      <c r="P4" s="1497"/>
      <c r="Q4" s="2099"/>
      <c r="R4" s="2087"/>
      <c r="S4" s="2089"/>
      <c r="T4" s="2089"/>
      <c r="U4" s="2089"/>
      <c r="V4" s="2089"/>
      <c r="W4" s="1918"/>
      <c r="X4" s="1918"/>
      <c r="Y4" s="1918"/>
      <c r="Z4" s="1918"/>
      <c r="AA4" s="1918"/>
      <c r="AB4" s="1918"/>
      <c r="AC4" s="1918"/>
      <c r="AD4" s="1918"/>
      <c r="AE4" s="1918"/>
      <c r="AF4" s="1918"/>
      <c r="AG4" s="2089"/>
      <c r="AH4" s="2084"/>
      <c r="AI4" s="608"/>
      <c r="AJ4" s="609"/>
      <c r="AK4" s="2084"/>
    </row>
    <row r="5" spans="1:37" s="615" customFormat="1" ht="14.25" customHeight="1">
      <c r="A5" s="612"/>
      <c r="B5" s="613"/>
      <c r="C5" s="614">
        <v>1</v>
      </c>
      <c r="D5" s="614">
        <f t="shared" ref="D5:G5" si="0">C5+1</f>
        <v>2</v>
      </c>
      <c r="E5" s="614">
        <f t="shared" si="0"/>
        <v>3</v>
      </c>
      <c r="F5" s="614">
        <f t="shared" si="0"/>
        <v>4</v>
      </c>
      <c r="G5" s="614">
        <f t="shared" si="0"/>
        <v>5</v>
      </c>
      <c r="H5" s="614">
        <f t="shared" ref="H5" si="1">G5+1</f>
        <v>6</v>
      </c>
      <c r="I5" s="614">
        <f t="shared" ref="I5" si="2">H5+1</f>
        <v>7</v>
      </c>
      <c r="J5" s="614">
        <f t="shared" ref="J5" si="3">I5+1</f>
        <v>8</v>
      </c>
      <c r="K5" s="614">
        <f t="shared" ref="K5" si="4">J5+1</f>
        <v>9</v>
      </c>
      <c r="L5" s="614">
        <f t="shared" ref="L5" si="5">K5+1</f>
        <v>10</v>
      </c>
      <c r="M5" s="614">
        <f t="shared" ref="M5" si="6">L5+1</f>
        <v>11</v>
      </c>
      <c r="N5" s="614">
        <f t="shared" ref="N5" si="7">M5+1</f>
        <v>12</v>
      </c>
      <c r="O5" s="614">
        <f t="shared" ref="O5" si="8">N5+1</f>
        <v>13</v>
      </c>
      <c r="P5" s="614">
        <f t="shared" ref="P5" si="9">O5+1</f>
        <v>14</v>
      </c>
      <c r="Q5" s="614">
        <f t="shared" ref="Q5" si="10">P5+1</f>
        <v>15</v>
      </c>
      <c r="R5" s="614">
        <f t="shared" ref="R5" si="11">Q5+1</f>
        <v>16</v>
      </c>
      <c r="S5" s="614">
        <f t="shared" ref="S5" si="12">R5+1</f>
        <v>17</v>
      </c>
      <c r="T5" s="614">
        <f t="shared" ref="T5" si="13">S5+1</f>
        <v>18</v>
      </c>
      <c r="U5" s="614">
        <f t="shared" ref="U5" si="14">T5+1</f>
        <v>19</v>
      </c>
      <c r="V5" s="614">
        <f t="shared" ref="V5" si="15">U5+1</f>
        <v>20</v>
      </c>
      <c r="W5" s="614">
        <f t="shared" ref="W5" si="16">V5+1</f>
        <v>21</v>
      </c>
      <c r="X5" s="614">
        <f t="shared" ref="X5" si="17">W5+1</f>
        <v>22</v>
      </c>
      <c r="Y5" s="614">
        <f t="shared" ref="Y5" si="18">X5+1</f>
        <v>23</v>
      </c>
      <c r="Z5" s="614">
        <f t="shared" ref="Z5" si="19">Y5+1</f>
        <v>24</v>
      </c>
      <c r="AA5" s="614">
        <f t="shared" ref="AA5" si="20">Z5+1</f>
        <v>25</v>
      </c>
      <c r="AB5" s="614">
        <f t="shared" ref="AB5" si="21">AA5+1</f>
        <v>26</v>
      </c>
      <c r="AC5" s="614">
        <f t="shared" ref="AC5" si="22">AB5+1</f>
        <v>27</v>
      </c>
      <c r="AD5" s="614">
        <f t="shared" ref="AD5" si="23">AC5+1</f>
        <v>28</v>
      </c>
      <c r="AE5" s="614">
        <f t="shared" ref="AE5" si="24">AD5+1</f>
        <v>29</v>
      </c>
      <c r="AF5" s="614">
        <f t="shared" ref="AF5" si="25">AE5+1</f>
        <v>30</v>
      </c>
      <c r="AG5" s="614">
        <f t="shared" ref="AG5" si="26">AF5+1</f>
        <v>31</v>
      </c>
      <c r="AH5" s="614">
        <f t="shared" ref="AH5" si="27">AG5+1</f>
        <v>32</v>
      </c>
      <c r="AI5" s="614">
        <f t="shared" ref="AI5" si="28">AH5+1</f>
        <v>33</v>
      </c>
      <c r="AJ5" s="614">
        <f t="shared" ref="AJ5" si="29">AI5+1</f>
        <v>34</v>
      </c>
      <c r="AK5" s="614">
        <f t="shared" ref="AK5" si="30">AJ5+1</f>
        <v>35</v>
      </c>
    </row>
    <row r="6" spans="1:37" s="623" customFormat="1" ht="27" customHeight="1">
      <c r="A6" s="616"/>
      <c r="B6" s="617"/>
      <c r="C6" s="618" t="s">
        <v>611</v>
      </c>
      <c r="D6" s="619" t="s">
        <v>529</v>
      </c>
      <c r="E6" s="618" t="s">
        <v>530</v>
      </c>
      <c r="F6" s="618" t="s">
        <v>531</v>
      </c>
      <c r="G6" s="618" t="s">
        <v>532</v>
      </c>
      <c r="H6" s="618" t="s">
        <v>1224</v>
      </c>
      <c r="I6" s="618"/>
      <c r="J6" s="618"/>
      <c r="K6" s="618" t="s">
        <v>749</v>
      </c>
      <c r="L6" s="618" t="s">
        <v>1242</v>
      </c>
      <c r="M6" s="618"/>
      <c r="N6" s="618" t="s">
        <v>1233</v>
      </c>
      <c r="O6" s="618"/>
      <c r="P6" s="618" t="s">
        <v>1243</v>
      </c>
      <c r="Q6" s="618" t="s">
        <v>1409</v>
      </c>
      <c r="R6" s="622" t="s">
        <v>529</v>
      </c>
      <c r="S6" s="619" t="s">
        <v>533</v>
      </c>
      <c r="T6" s="619" t="s">
        <v>1244</v>
      </c>
      <c r="U6" s="619" t="s">
        <v>1245</v>
      </c>
      <c r="V6" s="619" t="s">
        <v>1221</v>
      </c>
      <c r="W6" s="619"/>
      <c r="X6" s="619" t="s">
        <v>1246</v>
      </c>
      <c r="Y6" s="619"/>
      <c r="Z6" s="619" t="s">
        <v>1247</v>
      </c>
      <c r="AA6" s="619" t="s">
        <v>1248</v>
      </c>
      <c r="AB6" s="619" t="s">
        <v>1222</v>
      </c>
      <c r="AC6" s="619"/>
      <c r="AD6" s="619" t="s">
        <v>1186</v>
      </c>
      <c r="AE6" s="619"/>
      <c r="AF6" s="619" t="s">
        <v>1187</v>
      </c>
      <c r="AG6" s="619" t="s">
        <v>1411</v>
      </c>
      <c r="AH6" s="619" t="s">
        <v>1410</v>
      </c>
      <c r="AI6" s="620"/>
      <c r="AJ6" s="621"/>
      <c r="AK6" s="619" t="s">
        <v>1249</v>
      </c>
    </row>
    <row r="7" spans="1:37">
      <c r="A7" s="624">
        <v>1</v>
      </c>
      <c r="B7" s="625" t="s">
        <v>102</v>
      </c>
      <c r="C7" s="626">
        <f>'[24]Summary for MFP'!$E7</f>
        <v>2.2890630000000001</v>
      </c>
      <c r="D7" s="627">
        <f>'Table 3 Levels 1&amp;2'!AP8</f>
        <v>5415.1251845889155</v>
      </c>
      <c r="E7" s="627">
        <f t="shared" ref="E7:E70" si="31">D7*(1+$E$4)</f>
        <v>7128.3851299955777</v>
      </c>
      <c r="F7" s="627">
        <f>E7+$F$4</f>
        <v>8598.7325218577716</v>
      </c>
      <c r="G7" s="628">
        <f>C7*F7</f>
        <v>19683.040462681318</v>
      </c>
      <c r="H7" s="629"/>
      <c r="I7" s="1498">
        <f>'[1]Oct midyear OJJ'!I7</f>
        <v>0</v>
      </c>
      <c r="J7" s="1498">
        <f>'[25]Feb midyear OJJ '!I7</f>
        <v>0</v>
      </c>
      <c r="K7" s="1498">
        <f>I7+J7</f>
        <v>0</v>
      </c>
      <c r="L7" s="627">
        <f>G7+K7</f>
        <v>19683.040462681318</v>
      </c>
      <c r="M7" s="1177">
        <f>'[23]Oct midyear adj_OJJ'!$I6</f>
        <v>0</v>
      </c>
      <c r="N7" s="1185">
        <f>SUM(L7:M7)</f>
        <v>19683.040462681318</v>
      </c>
      <c r="O7" s="972">
        <f>8*1636+1637+1637</f>
        <v>16362</v>
      </c>
      <c r="P7" s="1185">
        <f>N7-O7</f>
        <v>3321.0404626813179</v>
      </c>
      <c r="Q7" s="628">
        <f>ROUND(P7/2,0)</f>
        <v>1661</v>
      </c>
      <c r="R7" s="631">
        <f>'Table 3 Levels 1&amp;2'!AS8</f>
        <v>19122806.5</v>
      </c>
      <c r="S7" s="632">
        <f>'Table 3 Levels 1&amp;2'!C8</f>
        <v>9346</v>
      </c>
      <c r="T7" s="632">
        <f t="shared" ref="T7:T38" si="32">C7+S7</f>
        <v>9348.2890630000002</v>
      </c>
      <c r="U7" s="633">
        <f>R7/T7</f>
        <v>2045.594265552505</v>
      </c>
      <c r="V7" s="634">
        <f t="shared" ref="V7:V38" si="33">C7*U7</f>
        <v>4682.4941462884135</v>
      </c>
      <c r="W7" s="1545">
        <f>'[25]Oct midyear OJJ'!E7</f>
        <v>0</v>
      </c>
      <c r="X7" s="1186">
        <f>W7*U7</f>
        <v>0</v>
      </c>
      <c r="Y7" s="1545">
        <f>'[25]Feb midyear OJJ '!E7</f>
        <v>0</v>
      </c>
      <c r="Z7" s="1186">
        <f>Y7*(U7*0.5)</f>
        <v>0</v>
      </c>
      <c r="AA7" s="1186">
        <f>X7+Z7</f>
        <v>0</v>
      </c>
      <c r="AB7" s="1186">
        <f>V7+AA7</f>
        <v>4682.4941462884135</v>
      </c>
      <c r="AC7" s="1186">
        <f>'[23]Oct midyear adj_OJJ'!$K6</f>
        <v>0</v>
      </c>
      <c r="AD7" s="634">
        <f>SUM(AB7:AC7)</f>
        <v>4682.4941462884135</v>
      </c>
      <c r="AE7" s="634">
        <f>8*390+390+390</f>
        <v>3900</v>
      </c>
      <c r="AF7" s="634">
        <f>AD7-AE7</f>
        <v>782.4941462884135</v>
      </c>
      <c r="AG7" s="634">
        <f>ROUND(AF7/2,0)</f>
        <v>391</v>
      </c>
      <c r="AH7" s="635">
        <f>N7+AD7</f>
        <v>24365.53460896973</v>
      </c>
      <c r="AI7" s="629"/>
      <c r="AJ7" s="630"/>
      <c r="AK7" s="635">
        <f t="shared" ref="AK7:AK38" si="34">Q7+AG7</f>
        <v>2052</v>
      </c>
    </row>
    <row r="8" spans="1:37">
      <c r="A8" s="636">
        <v>2</v>
      </c>
      <c r="B8" s="637" t="s">
        <v>103</v>
      </c>
      <c r="C8" s="638">
        <f>'[24]Summary for MFP'!$E8</f>
        <v>0</v>
      </c>
      <c r="D8" s="639">
        <f>'Table 3 Levels 1&amp;2'!AP9</f>
        <v>6991.6358414998758</v>
      </c>
      <c r="E8" s="639">
        <f t="shared" si="31"/>
        <v>9203.6788196015314</v>
      </c>
      <c r="F8" s="639">
        <f t="shared" ref="F8:F71" si="35">E8+$F$4</f>
        <v>10674.026211463726</v>
      </c>
      <c r="G8" s="640">
        <f t="shared" ref="G8:G71" si="36">C8*F8</f>
        <v>0</v>
      </c>
      <c r="H8" s="629"/>
      <c r="I8" s="1499">
        <f>'[1]Oct midyear OJJ'!I8</f>
        <v>0</v>
      </c>
      <c r="J8" s="1499">
        <f>'[25]Feb midyear OJJ '!I8</f>
        <v>0</v>
      </c>
      <c r="K8" s="1499">
        <f t="shared" ref="K8:K71" si="37">I8+J8</f>
        <v>0</v>
      </c>
      <c r="L8" s="639">
        <f t="shared" ref="L8:L71" si="38">G8+K8</f>
        <v>0</v>
      </c>
      <c r="M8" s="1178">
        <f>'[23]Oct midyear adj_OJJ'!$I7</f>
        <v>0</v>
      </c>
      <c r="N8" s="640">
        <f t="shared" ref="N8:N71" si="39">SUM(L8:M8)</f>
        <v>0</v>
      </c>
      <c r="O8" s="1030">
        <f>8*0</f>
        <v>0</v>
      </c>
      <c r="P8" s="640">
        <f t="shared" ref="P8:P71" si="40">N8-O8</f>
        <v>0</v>
      </c>
      <c r="Q8" s="640">
        <f t="shared" ref="Q8:Q71" si="41">ROUND(P8/2,0)</f>
        <v>0</v>
      </c>
      <c r="R8" s="631">
        <f>'Table 3 Levels 1&amp;2'!AS9</f>
        <v>10537350</v>
      </c>
      <c r="S8" s="641">
        <f>'Table 3 Levels 1&amp;2'!C9</f>
        <v>4027</v>
      </c>
      <c r="T8" s="641">
        <f t="shared" si="32"/>
        <v>4027</v>
      </c>
      <c r="U8" s="642">
        <f t="shared" ref="U8:U71" si="42">R8/T8</f>
        <v>2616.6749441271418</v>
      </c>
      <c r="V8" s="643">
        <f t="shared" si="33"/>
        <v>0</v>
      </c>
      <c r="W8" s="1546">
        <f>'[25]Oct midyear OJJ'!E8</f>
        <v>0</v>
      </c>
      <c r="X8" s="1187">
        <f t="shared" ref="X8:X71" si="43">W8*U8</f>
        <v>0</v>
      </c>
      <c r="Y8" s="1546">
        <f>'[25]Feb midyear OJJ '!E8</f>
        <v>0</v>
      </c>
      <c r="Z8" s="1187">
        <f t="shared" ref="Z8:Z71" si="44">Y8*(U8*0.5)</f>
        <v>0</v>
      </c>
      <c r="AA8" s="1187">
        <f t="shared" ref="AA8:AA71" si="45">X8+Z8</f>
        <v>0</v>
      </c>
      <c r="AB8" s="1187">
        <f t="shared" ref="AB8:AB71" si="46">V8+AA8</f>
        <v>0</v>
      </c>
      <c r="AC8" s="1187">
        <f>'[23]Oct midyear adj_OJJ'!$K7</f>
        <v>0</v>
      </c>
      <c r="AD8" s="643">
        <f t="shared" ref="AD8:AD71" si="47">SUM(AB8:AC8)</f>
        <v>0</v>
      </c>
      <c r="AE8" s="643">
        <f>8*0</f>
        <v>0</v>
      </c>
      <c r="AF8" s="643">
        <f t="shared" ref="AF8:AF71" si="48">AD8-AE8</f>
        <v>0</v>
      </c>
      <c r="AG8" s="643">
        <f t="shared" ref="AG8:AG71" si="49">ROUND(AF8/2,0)</f>
        <v>0</v>
      </c>
      <c r="AH8" s="644">
        <f t="shared" ref="AH8:AH71" si="50">N8+AD8</f>
        <v>0</v>
      </c>
      <c r="AI8" s="629"/>
      <c r="AJ8" s="630"/>
      <c r="AK8" s="644">
        <f t="shared" si="34"/>
        <v>0</v>
      </c>
    </row>
    <row r="9" spans="1:37" ht="12.75" customHeight="1">
      <c r="A9" s="636">
        <v>3</v>
      </c>
      <c r="B9" s="637" t="s">
        <v>104</v>
      </c>
      <c r="C9" s="638">
        <f>'[24]Summary for MFP'!$E9</f>
        <v>2</v>
      </c>
      <c r="D9" s="639">
        <f>'Table 3 Levels 1&amp;2'!AP10</f>
        <v>4937.6496316001394</v>
      </c>
      <c r="E9" s="639">
        <f t="shared" si="31"/>
        <v>6499.8438653267367</v>
      </c>
      <c r="F9" s="639">
        <f t="shared" si="35"/>
        <v>7970.1912571889316</v>
      </c>
      <c r="G9" s="640">
        <f t="shared" si="36"/>
        <v>15940.382514377863</v>
      </c>
      <c r="H9" s="645" t="s">
        <v>267</v>
      </c>
      <c r="I9" s="1499">
        <f>'[1]Oct midyear OJJ'!I9</f>
        <v>-191.28459017253454</v>
      </c>
      <c r="J9" s="1499">
        <f>'[25]Feb midyear OJJ '!I9</f>
        <v>0</v>
      </c>
      <c r="K9" s="1499">
        <f t="shared" si="37"/>
        <v>-191.28459017253454</v>
      </c>
      <c r="L9" s="639">
        <f t="shared" si="38"/>
        <v>15749.097924205329</v>
      </c>
      <c r="M9" s="1178">
        <f>'[23]Oct midyear adj_OJJ'!$I8</f>
        <v>0</v>
      </c>
      <c r="N9" s="640">
        <f t="shared" si="39"/>
        <v>15749.097924205329</v>
      </c>
      <c r="O9" s="1030">
        <f>8*1325+1278+1278</f>
        <v>13156</v>
      </c>
      <c r="P9" s="640">
        <f t="shared" si="40"/>
        <v>2593.097924205329</v>
      </c>
      <c r="Q9" s="640">
        <f t="shared" si="41"/>
        <v>1297</v>
      </c>
      <c r="R9" s="631">
        <f>'Table 3 Levels 1&amp;2'!AS10</f>
        <v>67418500.599999994</v>
      </c>
      <c r="S9" s="641">
        <f>'Table 3 Levels 1&amp;2'!C10</f>
        <v>20127</v>
      </c>
      <c r="T9" s="641">
        <f t="shared" si="32"/>
        <v>20129</v>
      </c>
      <c r="U9" s="642">
        <f t="shared" si="42"/>
        <v>3349.3219037209992</v>
      </c>
      <c r="V9" s="643">
        <f t="shared" si="33"/>
        <v>6698.6438074419984</v>
      </c>
      <c r="W9" s="1546">
        <f>'[25]Oct midyear OJJ'!E9</f>
        <v>-2.4000000000000021E-2</v>
      </c>
      <c r="X9" s="1187">
        <f t="shared" si="43"/>
        <v>-80.383725689304057</v>
      </c>
      <c r="Y9" s="1546">
        <f>'[25]Feb midyear OJJ '!E9</f>
        <v>0</v>
      </c>
      <c r="Z9" s="1187">
        <f t="shared" si="44"/>
        <v>0</v>
      </c>
      <c r="AA9" s="1187">
        <f t="shared" si="45"/>
        <v>-80.383725689304057</v>
      </c>
      <c r="AB9" s="1187">
        <f t="shared" si="46"/>
        <v>6618.2600817526945</v>
      </c>
      <c r="AC9" s="1187">
        <f>'[23]Oct midyear adj_OJJ'!$K8</f>
        <v>0</v>
      </c>
      <c r="AD9" s="643">
        <f t="shared" si="47"/>
        <v>6618.2600817526945</v>
      </c>
      <c r="AE9" s="643">
        <f>8*560+539+539</f>
        <v>5558</v>
      </c>
      <c r="AF9" s="643">
        <f t="shared" si="48"/>
        <v>1060.2600817526945</v>
      </c>
      <c r="AG9" s="643">
        <f t="shared" si="49"/>
        <v>530</v>
      </c>
      <c r="AH9" s="644">
        <f t="shared" si="50"/>
        <v>22367.358005958024</v>
      </c>
      <c r="AI9" s="645" t="s">
        <v>267</v>
      </c>
      <c r="AJ9" s="2085" t="s">
        <v>534</v>
      </c>
      <c r="AK9" s="644">
        <f t="shared" si="34"/>
        <v>1827</v>
      </c>
    </row>
    <row r="10" spans="1:37" ht="12.75" customHeight="1">
      <c r="A10" s="636">
        <v>4</v>
      </c>
      <c r="B10" s="637" t="s">
        <v>105</v>
      </c>
      <c r="C10" s="638">
        <f>'[24]Summary for MFP'!$E10</f>
        <v>0.86</v>
      </c>
      <c r="D10" s="639">
        <f>'Table 3 Levels 1&amp;2'!AP11</f>
        <v>6662.9996238310832</v>
      </c>
      <c r="E10" s="639">
        <f t="shared" si="31"/>
        <v>8771.067301427358</v>
      </c>
      <c r="F10" s="639">
        <f t="shared" si="35"/>
        <v>10241.414693289553</v>
      </c>
      <c r="G10" s="640">
        <f t="shared" si="36"/>
        <v>8807.6166362290151</v>
      </c>
      <c r="I10" s="1499">
        <f>'[1]Oct midyear OJJ'!I10</f>
        <v>-532.55356405105613</v>
      </c>
      <c r="J10" s="1499">
        <f>'[25]Feb midyear OJJ '!I10</f>
        <v>0</v>
      </c>
      <c r="K10" s="1499">
        <f t="shared" si="37"/>
        <v>-532.55356405105613</v>
      </c>
      <c r="L10" s="639">
        <f t="shared" si="38"/>
        <v>8275.0630721779598</v>
      </c>
      <c r="M10" s="1178">
        <f>'[23]Oct midyear adj_OJJ'!$I9</f>
        <v>0</v>
      </c>
      <c r="N10" s="640">
        <f t="shared" si="39"/>
        <v>8275.0630721779598</v>
      </c>
      <c r="O10" s="1030">
        <f>8*733+600+600</f>
        <v>7064</v>
      </c>
      <c r="P10" s="640">
        <f t="shared" si="40"/>
        <v>1211.0630721779598</v>
      </c>
      <c r="Q10" s="640">
        <f t="shared" si="41"/>
        <v>606</v>
      </c>
      <c r="R10" s="631">
        <f>'Table 3 Levels 1&amp;2'!AS11</f>
        <v>11171333.4</v>
      </c>
      <c r="S10" s="641">
        <f>'Table 3 Levels 1&amp;2'!C11</f>
        <v>3571</v>
      </c>
      <c r="T10" s="641">
        <f t="shared" si="32"/>
        <v>3571.86</v>
      </c>
      <c r="U10" s="642">
        <f t="shared" si="42"/>
        <v>3127.5955384589543</v>
      </c>
      <c r="V10" s="643">
        <f t="shared" si="33"/>
        <v>2689.7321630747006</v>
      </c>
      <c r="W10" s="1546">
        <f>'[25]Oct midyear OJJ'!E10</f>
        <v>-5.1999999999999935E-2</v>
      </c>
      <c r="X10" s="1187">
        <f t="shared" si="43"/>
        <v>-162.63496799986541</v>
      </c>
      <c r="Y10" s="1546">
        <f>'[25]Feb midyear OJJ '!E10</f>
        <v>0</v>
      </c>
      <c r="Z10" s="1187">
        <f t="shared" si="44"/>
        <v>0</v>
      </c>
      <c r="AA10" s="1187">
        <f t="shared" si="45"/>
        <v>-162.63496799986541</v>
      </c>
      <c r="AB10" s="1187">
        <f t="shared" si="46"/>
        <v>2527.0971950748353</v>
      </c>
      <c r="AC10" s="1187">
        <f>'[23]Oct midyear adj_OJJ'!$K9</f>
        <v>0</v>
      </c>
      <c r="AD10" s="643">
        <f t="shared" si="47"/>
        <v>2527.0971950748353</v>
      </c>
      <c r="AE10" s="643">
        <f>8*225+183+183</f>
        <v>2166</v>
      </c>
      <c r="AF10" s="643">
        <f t="shared" si="48"/>
        <v>361.09719507483533</v>
      </c>
      <c r="AG10" s="643">
        <f t="shared" si="49"/>
        <v>181</v>
      </c>
      <c r="AH10" s="644">
        <f t="shared" si="50"/>
        <v>10802.160267252795</v>
      </c>
      <c r="AJ10" s="2085"/>
      <c r="AK10" s="644">
        <f t="shared" si="34"/>
        <v>787</v>
      </c>
    </row>
    <row r="11" spans="1:37">
      <c r="A11" s="647">
        <v>5</v>
      </c>
      <c r="B11" s="648" t="s">
        <v>106</v>
      </c>
      <c r="C11" s="649">
        <f>'[24]Summary for MFP'!$E11</f>
        <v>4.1400430000000004</v>
      </c>
      <c r="D11" s="650">
        <f>'Table 3 Levels 1&amp;2'!AP12</f>
        <v>5433.7588300451544</v>
      </c>
      <c r="E11" s="650">
        <f t="shared" si="31"/>
        <v>7152.9141661046378</v>
      </c>
      <c r="F11" s="650">
        <f t="shared" si="35"/>
        <v>8623.2615579668327</v>
      </c>
      <c r="G11" s="651">
        <f t="shared" si="36"/>
        <v>35700.673650229684</v>
      </c>
      <c r="H11" s="630"/>
      <c r="I11" s="1500">
        <f>'[1]Oct midyear OJJ'!I11</f>
        <v>0</v>
      </c>
      <c r="J11" s="1500">
        <f>'[25]Feb midyear OJJ '!I11</f>
        <v>0</v>
      </c>
      <c r="K11" s="1500">
        <f t="shared" si="37"/>
        <v>0</v>
      </c>
      <c r="L11" s="650">
        <f t="shared" si="38"/>
        <v>35700.673650229684</v>
      </c>
      <c r="M11" s="1179">
        <f>'[23]Oct midyear adj_OJJ'!$I10</f>
        <v>0</v>
      </c>
      <c r="N11" s="651">
        <f t="shared" si="39"/>
        <v>35700.673650229684</v>
      </c>
      <c r="O11" s="1033">
        <f>8*2941+2942+2942</f>
        <v>29412</v>
      </c>
      <c r="P11" s="651">
        <f t="shared" si="40"/>
        <v>6288.6736502296844</v>
      </c>
      <c r="Q11" s="651">
        <f t="shared" si="41"/>
        <v>3144</v>
      </c>
      <c r="R11" s="653">
        <f>'Table 3 Levels 1&amp;2'!AS12</f>
        <v>7620700.5</v>
      </c>
      <c r="S11" s="654">
        <f>'Table 3 Levels 1&amp;2'!C12</f>
        <v>5758</v>
      </c>
      <c r="T11" s="654">
        <f t="shared" si="32"/>
        <v>5762.1400430000003</v>
      </c>
      <c r="U11" s="655">
        <f t="shared" si="42"/>
        <v>1322.5469084629117</v>
      </c>
      <c r="V11" s="656">
        <f t="shared" si="33"/>
        <v>5475.4010705535184</v>
      </c>
      <c r="W11" s="1547">
        <f>'[25]Oct midyear OJJ'!E11</f>
        <v>0</v>
      </c>
      <c r="X11" s="1188">
        <f t="shared" si="43"/>
        <v>0</v>
      </c>
      <c r="Y11" s="1547">
        <f>'[25]Feb midyear OJJ '!E11</f>
        <v>0</v>
      </c>
      <c r="Z11" s="1188">
        <f t="shared" si="44"/>
        <v>0</v>
      </c>
      <c r="AA11" s="1188">
        <f t="shared" si="45"/>
        <v>0</v>
      </c>
      <c r="AB11" s="1188">
        <f t="shared" si="46"/>
        <v>5475.4010705535184</v>
      </c>
      <c r="AC11" s="1188">
        <f>'[23]Oct midyear adj_OJJ'!$K10</f>
        <v>0</v>
      </c>
      <c r="AD11" s="656">
        <f t="shared" si="47"/>
        <v>5475.4010705535184</v>
      </c>
      <c r="AE11" s="656">
        <f>8*408+409+409</f>
        <v>4082</v>
      </c>
      <c r="AF11" s="656">
        <f t="shared" si="48"/>
        <v>1393.4010705535184</v>
      </c>
      <c r="AG11" s="656">
        <f t="shared" si="49"/>
        <v>697</v>
      </c>
      <c r="AH11" s="657">
        <f t="shared" si="50"/>
        <v>41176.074720783203</v>
      </c>
      <c r="AI11" s="630"/>
      <c r="AJ11" s="652"/>
      <c r="AK11" s="657">
        <f t="shared" si="34"/>
        <v>3841</v>
      </c>
    </row>
    <row r="12" spans="1:37" ht="12.75" customHeight="1">
      <c r="A12" s="624">
        <v>6</v>
      </c>
      <c r="B12" s="625" t="s">
        <v>107</v>
      </c>
      <c r="C12" s="626">
        <f>'[24]Summary for MFP'!$E12</f>
        <v>1.6027</v>
      </c>
      <c r="D12" s="627">
        <f>'Table 3 Levels 1&amp;2'!AP13</f>
        <v>6095.4985041337968</v>
      </c>
      <c r="E12" s="627">
        <f t="shared" si="31"/>
        <v>8024.0178048766929</v>
      </c>
      <c r="F12" s="627">
        <f t="shared" si="35"/>
        <v>9494.3651967388869</v>
      </c>
      <c r="G12" s="628">
        <f t="shared" si="36"/>
        <v>15216.619100813414</v>
      </c>
      <c r="H12" s="629" t="s">
        <v>535</v>
      </c>
      <c r="I12" s="1498">
        <f>'[1]Oct midyear OJJ'!I12</f>
        <v>759.54921573911167</v>
      </c>
      <c r="J12" s="1498">
        <f>'[25]Feb midyear OJJ '!I12</f>
        <v>0</v>
      </c>
      <c r="K12" s="1498">
        <f t="shared" si="37"/>
        <v>759.54921573911167</v>
      </c>
      <c r="L12" s="627">
        <f t="shared" si="38"/>
        <v>15976.168316552525</v>
      </c>
      <c r="M12" s="1177">
        <f>'[23]Oct midyear adj_OJJ'!$I11</f>
        <v>0</v>
      </c>
      <c r="N12" s="628">
        <f t="shared" si="39"/>
        <v>15976.168316552525</v>
      </c>
      <c r="O12" s="972">
        <f>8*1266+1455+1455</f>
        <v>13038</v>
      </c>
      <c r="P12" s="628">
        <f t="shared" si="40"/>
        <v>2938.1683165525246</v>
      </c>
      <c r="Q12" s="628">
        <f t="shared" si="41"/>
        <v>1469</v>
      </c>
      <c r="R12" s="631">
        <f>'Table 3 Levels 1&amp;2'!AS13</f>
        <v>18569847.899999999</v>
      </c>
      <c r="S12" s="632">
        <f>'Table 3 Levels 1&amp;2'!C13</f>
        <v>6039</v>
      </c>
      <c r="T12" s="632">
        <f t="shared" si="32"/>
        <v>6040.6027000000004</v>
      </c>
      <c r="U12" s="633">
        <f t="shared" si="42"/>
        <v>3074.1713736611077</v>
      </c>
      <c r="V12" s="634">
        <f t="shared" si="33"/>
        <v>4926.9744605666574</v>
      </c>
      <c r="W12" s="1545">
        <f>'[25]Oct midyear OJJ'!E12</f>
        <v>8.0000000000000071E-2</v>
      </c>
      <c r="X12" s="1186">
        <f t="shared" si="43"/>
        <v>245.93370989288883</v>
      </c>
      <c r="Y12" s="1545">
        <f>'[25]Feb midyear OJJ '!E12</f>
        <v>0</v>
      </c>
      <c r="Z12" s="1186">
        <f t="shared" si="44"/>
        <v>0</v>
      </c>
      <c r="AA12" s="1186">
        <f t="shared" si="45"/>
        <v>245.93370989288883</v>
      </c>
      <c r="AB12" s="1186">
        <f t="shared" si="46"/>
        <v>5172.9081704595465</v>
      </c>
      <c r="AC12" s="1186">
        <f>'[23]Oct midyear adj_OJJ'!$K11</f>
        <v>0</v>
      </c>
      <c r="AD12" s="634">
        <f t="shared" si="47"/>
        <v>5172.9081704595465</v>
      </c>
      <c r="AE12" s="634">
        <f>8*412+472+472</f>
        <v>4240</v>
      </c>
      <c r="AF12" s="634">
        <f t="shared" si="48"/>
        <v>932.90817045954645</v>
      </c>
      <c r="AG12" s="634">
        <f t="shared" si="49"/>
        <v>466</v>
      </c>
      <c r="AH12" s="635">
        <f t="shared" si="50"/>
        <v>21149.076487012069</v>
      </c>
      <c r="AI12" s="629" t="s">
        <v>535</v>
      </c>
      <c r="AJ12" s="2090" t="s">
        <v>536</v>
      </c>
      <c r="AK12" s="635">
        <f t="shared" si="34"/>
        <v>1935</v>
      </c>
    </row>
    <row r="13" spans="1:37">
      <c r="A13" s="636">
        <v>7</v>
      </c>
      <c r="B13" s="637" t="s">
        <v>108</v>
      </c>
      <c r="C13" s="638">
        <f>'[24]Summary for MFP'!$E13</f>
        <v>0</v>
      </c>
      <c r="D13" s="639">
        <f>'Table 3 Levels 1&amp;2'!AP14</f>
        <v>2307.0793273219115</v>
      </c>
      <c r="E13" s="639">
        <f t="shared" si="31"/>
        <v>3037.0027303164143</v>
      </c>
      <c r="F13" s="639">
        <f t="shared" si="35"/>
        <v>4507.3501221786091</v>
      </c>
      <c r="G13" s="640">
        <f t="shared" si="36"/>
        <v>0</v>
      </c>
      <c r="H13" s="629"/>
      <c r="I13" s="1499">
        <f>'[1]Oct midyear OJJ'!I13</f>
        <v>0</v>
      </c>
      <c r="J13" s="1499">
        <f>'[25]Feb midyear OJJ '!I13</f>
        <v>0</v>
      </c>
      <c r="K13" s="1499">
        <f t="shared" si="37"/>
        <v>0</v>
      </c>
      <c r="L13" s="639">
        <f t="shared" si="38"/>
        <v>0</v>
      </c>
      <c r="M13" s="1178">
        <f>'[23]Oct midyear adj_OJJ'!$I12</f>
        <v>0</v>
      </c>
      <c r="N13" s="640">
        <f t="shared" si="39"/>
        <v>0</v>
      </c>
      <c r="O13" s="1030">
        <f>8*0</f>
        <v>0</v>
      </c>
      <c r="P13" s="640">
        <f t="shared" si="40"/>
        <v>0</v>
      </c>
      <c r="Q13" s="640">
        <f t="shared" si="41"/>
        <v>0</v>
      </c>
      <c r="R13" s="631">
        <f>'Table 3 Levels 1&amp;2'!AS14</f>
        <v>13614318</v>
      </c>
      <c r="S13" s="641">
        <f>'Table 3 Levels 1&amp;2'!C14</f>
        <v>2218</v>
      </c>
      <c r="T13" s="641">
        <f t="shared" si="32"/>
        <v>2218</v>
      </c>
      <c r="U13" s="642">
        <f t="shared" si="42"/>
        <v>6138.1055004508562</v>
      </c>
      <c r="V13" s="643">
        <f t="shared" si="33"/>
        <v>0</v>
      </c>
      <c r="W13" s="1546">
        <f>'[25]Oct midyear OJJ'!E13</f>
        <v>0</v>
      </c>
      <c r="X13" s="1187">
        <f t="shared" si="43"/>
        <v>0</v>
      </c>
      <c r="Y13" s="1546">
        <f>'[25]Feb midyear OJJ '!E13</f>
        <v>0</v>
      </c>
      <c r="Z13" s="1187">
        <f t="shared" si="44"/>
        <v>0</v>
      </c>
      <c r="AA13" s="1187">
        <f t="shared" si="45"/>
        <v>0</v>
      </c>
      <c r="AB13" s="1187">
        <f t="shared" si="46"/>
        <v>0</v>
      </c>
      <c r="AC13" s="1187">
        <f>'[23]Oct midyear adj_OJJ'!$K12</f>
        <v>0</v>
      </c>
      <c r="AD13" s="643">
        <f t="shared" si="47"/>
        <v>0</v>
      </c>
      <c r="AE13" s="643">
        <f>8*0</f>
        <v>0</v>
      </c>
      <c r="AF13" s="643">
        <f t="shared" si="48"/>
        <v>0</v>
      </c>
      <c r="AG13" s="643">
        <f t="shared" si="49"/>
        <v>0</v>
      </c>
      <c r="AH13" s="644">
        <f t="shared" si="50"/>
        <v>0</v>
      </c>
      <c r="AI13" s="629"/>
      <c r="AJ13" s="2090"/>
      <c r="AK13" s="644">
        <f t="shared" si="34"/>
        <v>0</v>
      </c>
    </row>
    <row r="14" spans="1:37">
      <c r="A14" s="636">
        <v>8</v>
      </c>
      <c r="B14" s="637" t="s">
        <v>109</v>
      </c>
      <c r="C14" s="638">
        <f>'[24]Summary for MFP'!$E14</f>
        <v>5.3072299999999997</v>
      </c>
      <c r="D14" s="639">
        <f>'Table 3 Levels 1&amp;2'!AP15</f>
        <v>4780.2720003627237</v>
      </c>
      <c r="E14" s="639">
        <f t="shared" si="31"/>
        <v>6292.67444115545</v>
      </c>
      <c r="F14" s="639">
        <f t="shared" si="35"/>
        <v>7763.0218330176449</v>
      </c>
      <c r="G14" s="640">
        <f t="shared" si="36"/>
        <v>41200.142362846236</v>
      </c>
      <c r="H14" s="629"/>
      <c r="I14" s="1499">
        <f>'[1]Oct midyear OJJ'!I14</f>
        <v>0</v>
      </c>
      <c r="J14" s="1499">
        <f>'[25]Feb midyear OJJ '!I14</f>
        <v>0</v>
      </c>
      <c r="K14" s="1499">
        <f t="shared" si="37"/>
        <v>0</v>
      </c>
      <c r="L14" s="639">
        <f t="shared" si="38"/>
        <v>41200.142362846236</v>
      </c>
      <c r="M14" s="1178">
        <f>'[23]Oct midyear adj_OJJ'!$I13</f>
        <v>0</v>
      </c>
      <c r="N14" s="640">
        <f t="shared" si="39"/>
        <v>41200.142362846236</v>
      </c>
      <c r="O14" s="1030">
        <f>8*3421+3421+3421</f>
        <v>34210</v>
      </c>
      <c r="P14" s="640">
        <f t="shared" si="40"/>
        <v>6990.1423628462362</v>
      </c>
      <c r="Q14" s="640">
        <f t="shared" si="41"/>
        <v>3495</v>
      </c>
      <c r="R14" s="631">
        <f>'Table 3 Levels 1&amp;2'!AS15</f>
        <v>73513296.599999994</v>
      </c>
      <c r="S14" s="641">
        <f>'Table 3 Levels 1&amp;2'!C15</f>
        <v>20785</v>
      </c>
      <c r="T14" s="641">
        <f t="shared" si="32"/>
        <v>20790.307229999999</v>
      </c>
      <c r="U14" s="642">
        <f t="shared" si="42"/>
        <v>3535.940849104999</v>
      </c>
      <c r="V14" s="643">
        <f t="shared" si="33"/>
        <v>18766.051352595521</v>
      </c>
      <c r="W14" s="1546">
        <f>'[25]Oct midyear OJJ'!E14</f>
        <v>0</v>
      </c>
      <c r="X14" s="1187">
        <f t="shared" si="43"/>
        <v>0</v>
      </c>
      <c r="Y14" s="1546">
        <f>'[25]Feb midyear OJJ '!E14</f>
        <v>0</v>
      </c>
      <c r="Z14" s="1187">
        <f t="shared" si="44"/>
        <v>0</v>
      </c>
      <c r="AA14" s="1187">
        <f t="shared" si="45"/>
        <v>0</v>
      </c>
      <c r="AB14" s="1187">
        <f t="shared" si="46"/>
        <v>18766.051352595521</v>
      </c>
      <c r="AC14" s="1187">
        <f>'[23]Oct midyear adj_OJJ'!$K13</f>
        <v>0</v>
      </c>
      <c r="AD14" s="643">
        <f t="shared" si="47"/>
        <v>18766.051352595521</v>
      </c>
      <c r="AE14" s="643">
        <f>8*1568+1569+1569</f>
        <v>15682</v>
      </c>
      <c r="AF14" s="643">
        <f t="shared" si="48"/>
        <v>3084.0513525955212</v>
      </c>
      <c r="AG14" s="643">
        <f t="shared" si="49"/>
        <v>1542</v>
      </c>
      <c r="AH14" s="644">
        <f t="shared" si="50"/>
        <v>59966.193715441754</v>
      </c>
      <c r="AI14" s="629"/>
      <c r="AJ14" s="2090"/>
      <c r="AK14" s="644">
        <f t="shared" si="34"/>
        <v>5037</v>
      </c>
    </row>
    <row r="15" spans="1:37">
      <c r="A15" s="636">
        <v>9</v>
      </c>
      <c r="B15" s="637" t="s">
        <v>110</v>
      </c>
      <c r="C15" s="638">
        <f>'[24]Summary for MFP'!$E15</f>
        <v>32.452984000000001</v>
      </c>
      <c r="D15" s="639">
        <f>'Table 3 Levels 1&amp;2'!AP16</f>
        <v>5031.6455322026895</v>
      </c>
      <c r="E15" s="639">
        <f t="shared" si="31"/>
        <v>6623.578581939134</v>
      </c>
      <c r="F15" s="639">
        <f t="shared" si="35"/>
        <v>8093.9259738013288</v>
      </c>
      <c r="G15" s="640">
        <f t="shared" si="36"/>
        <v>262672.05012495897</v>
      </c>
      <c r="H15" s="629"/>
      <c r="I15" s="1499">
        <f>'[1]Oct midyear OJJ'!I15</f>
        <v>550.38696621847282</v>
      </c>
      <c r="J15" s="1499">
        <f>'[25]Feb midyear OJJ '!I15</f>
        <v>0</v>
      </c>
      <c r="K15" s="1499">
        <f t="shared" si="37"/>
        <v>550.38696621847282</v>
      </c>
      <c r="L15" s="639">
        <f t="shared" si="38"/>
        <v>263222.43709117745</v>
      </c>
      <c r="M15" s="1178">
        <f>'[23]Oct midyear adj_OJJ'!$I14</f>
        <v>-1785.4483345036369</v>
      </c>
      <c r="N15" s="640">
        <f t="shared" si="39"/>
        <v>261436.98875667382</v>
      </c>
      <c r="O15" s="1030">
        <f>8*21674+21810+21810</f>
        <v>217012</v>
      </c>
      <c r="P15" s="640">
        <f t="shared" si="40"/>
        <v>44424.988756673818</v>
      </c>
      <c r="Q15" s="640">
        <f t="shared" si="41"/>
        <v>22212</v>
      </c>
      <c r="R15" s="631">
        <f>'Table 3 Levels 1&amp;2'!AS16</f>
        <v>145108728.30000001</v>
      </c>
      <c r="S15" s="641">
        <f>'Table 3 Levels 1&amp;2'!C16</f>
        <v>41429</v>
      </c>
      <c r="T15" s="641">
        <f t="shared" si="32"/>
        <v>41461.452984000003</v>
      </c>
      <c r="U15" s="642">
        <f t="shared" si="42"/>
        <v>3499.8466733907649</v>
      </c>
      <c r="V15" s="643">
        <f t="shared" si="33"/>
        <v>113580.46809400372</v>
      </c>
      <c r="W15" s="1546">
        <f>'[25]Oct midyear OJJ'!E15</f>
        <v>6.799999999999784E-2</v>
      </c>
      <c r="X15" s="1187">
        <f t="shared" si="43"/>
        <v>237.98957379056446</v>
      </c>
      <c r="Y15" s="1546">
        <f>'[25]Feb midyear OJJ '!E15</f>
        <v>0</v>
      </c>
      <c r="Z15" s="1187">
        <f t="shared" si="44"/>
        <v>0</v>
      </c>
      <c r="AA15" s="1187">
        <f t="shared" si="45"/>
        <v>237.98957379056446</v>
      </c>
      <c r="AB15" s="1187">
        <f t="shared" si="46"/>
        <v>113818.45766779428</v>
      </c>
      <c r="AC15" s="1187">
        <f>'[23]Oct midyear adj_OJJ'!$K14</f>
        <v>-753.35776342977704</v>
      </c>
      <c r="AD15" s="643">
        <f t="shared" si="47"/>
        <v>113065.0999043645</v>
      </c>
      <c r="AE15" s="643">
        <f>8*9428+9486+9486</f>
        <v>94396</v>
      </c>
      <c r="AF15" s="643">
        <f t="shared" si="48"/>
        <v>18669.099904364499</v>
      </c>
      <c r="AG15" s="643">
        <f t="shared" si="49"/>
        <v>9335</v>
      </c>
      <c r="AH15" s="644">
        <f t="shared" si="50"/>
        <v>374502.08866103832</v>
      </c>
      <c r="AI15" s="629"/>
      <c r="AK15" s="644">
        <f t="shared" si="34"/>
        <v>31547</v>
      </c>
    </row>
    <row r="16" spans="1:37">
      <c r="A16" s="647">
        <v>10</v>
      </c>
      <c r="B16" s="648" t="s">
        <v>111</v>
      </c>
      <c r="C16" s="649">
        <f>'[24]Summary for MFP'!$E16</f>
        <v>7.8530309999999997</v>
      </c>
      <c r="D16" s="650">
        <f>'Table 3 Levels 1&amp;2'!AP17</f>
        <v>4928.0533014559614</v>
      </c>
      <c r="E16" s="650">
        <f t="shared" si="31"/>
        <v>6487.2114081312939</v>
      </c>
      <c r="F16" s="650">
        <f t="shared" si="35"/>
        <v>7957.5587999934887</v>
      </c>
      <c r="G16" s="651">
        <f t="shared" si="36"/>
        <v>62490.955940671665</v>
      </c>
      <c r="H16" s="630"/>
      <c r="I16" s="1500">
        <f>'[1]Oct midyear OJJ'!I16</f>
        <v>159.15117599987346</v>
      </c>
      <c r="J16" s="1500">
        <f>'[25]Feb midyear OJJ '!I16</f>
        <v>0</v>
      </c>
      <c r="K16" s="1500">
        <f t="shared" si="37"/>
        <v>159.15117599987346</v>
      </c>
      <c r="L16" s="650">
        <f t="shared" si="38"/>
        <v>62650.107116671541</v>
      </c>
      <c r="M16" s="1179">
        <f>'[23]Oct midyear adj_OJJ'!$I15</f>
        <v>44.273852237876717</v>
      </c>
      <c r="N16" s="651">
        <f t="shared" si="39"/>
        <v>62694.38096890942</v>
      </c>
      <c r="O16" s="1033">
        <f>8*5194+5233+5233</f>
        <v>52018</v>
      </c>
      <c r="P16" s="651">
        <f t="shared" si="40"/>
        <v>10676.38096890942</v>
      </c>
      <c r="Q16" s="651">
        <f t="shared" si="41"/>
        <v>5338</v>
      </c>
      <c r="R16" s="653">
        <f>'Table 3 Levels 1&amp;2'!AS17</f>
        <v>120083073.59999999</v>
      </c>
      <c r="S16" s="654">
        <f>'Table 3 Levels 1&amp;2'!C17</f>
        <v>31697</v>
      </c>
      <c r="T16" s="654">
        <f t="shared" si="32"/>
        <v>31704.853030999999</v>
      </c>
      <c r="U16" s="655">
        <f t="shared" si="42"/>
        <v>3787.5297350404549</v>
      </c>
      <c r="V16" s="656">
        <f t="shared" si="33"/>
        <v>29743.588422694476</v>
      </c>
      <c r="W16" s="1547">
        <f>'[25]Oct midyear OJJ'!E16</f>
        <v>2.0000000000000462E-2</v>
      </c>
      <c r="X16" s="1188">
        <f t="shared" si="43"/>
        <v>75.750594700810851</v>
      </c>
      <c r="Y16" s="1547">
        <f>'[25]Feb midyear OJJ '!E16</f>
        <v>0</v>
      </c>
      <c r="Z16" s="1188">
        <f t="shared" si="44"/>
        <v>0</v>
      </c>
      <c r="AA16" s="1188">
        <f t="shared" si="45"/>
        <v>75.750594700810851</v>
      </c>
      <c r="AB16" s="1188">
        <f t="shared" si="46"/>
        <v>29819.339017395287</v>
      </c>
      <c r="AC16" s="1188">
        <f>'[23]Oct midyear adj_OJJ'!$K15</f>
        <v>21.194332043496722</v>
      </c>
      <c r="AD16" s="656">
        <f t="shared" si="47"/>
        <v>29840.533349438785</v>
      </c>
      <c r="AE16" s="656">
        <f>8*2487+2507+2507</f>
        <v>24910</v>
      </c>
      <c r="AF16" s="656">
        <f t="shared" si="48"/>
        <v>4930.5333494387851</v>
      </c>
      <c r="AG16" s="656">
        <f t="shared" si="49"/>
        <v>2465</v>
      </c>
      <c r="AH16" s="657">
        <f t="shared" si="50"/>
        <v>92534.914318348208</v>
      </c>
      <c r="AI16" s="630"/>
      <c r="AJ16" s="2085"/>
      <c r="AK16" s="657">
        <f t="shared" si="34"/>
        <v>7803</v>
      </c>
    </row>
    <row r="17" spans="1:37">
      <c r="A17" s="624">
        <v>11</v>
      </c>
      <c r="B17" s="625" t="s">
        <v>112</v>
      </c>
      <c r="C17" s="626">
        <f>'[24]Summary for MFP'!$E17</f>
        <v>0</v>
      </c>
      <c r="D17" s="627">
        <f>'Table 3 Levels 1&amp;2'!AP18</f>
        <v>7461.3102033117457</v>
      </c>
      <c r="E17" s="627">
        <f t="shared" si="31"/>
        <v>9821.9507196137674</v>
      </c>
      <c r="F17" s="627">
        <f t="shared" si="35"/>
        <v>11292.298111475962</v>
      </c>
      <c r="G17" s="628">
        <f t="shared" si="36"/>
        <v>0</v>
      </c>
      <c r="H17" s="629"/>
      <c r="I17" s="1498">
        <f>'[1]Oct midyear OJJ'!I17</f>
        <v>0</v>
      </c>
      <c r="J17" s="1498">
        <f>'[25]Feb midyear OJJ '!I17</f>
        <v>0</v>
      </c>
      <c r="K17" s="1498">
        <f t="shared" si="37"/>
        <v>0</v>
      </c>
      <c r="L17" s="627">
        <f t="shared" si="38"/>
        <v>0</v>
      </c>
      <c r="M17" s="1177">
        <f>'[23]Oct midyear adj_OJJ'!$I16</f>
        <v>0</v>
      </c>
      <c r="N17" s="628">
        <f t="shared" si="39"/>
        <v>0</v>
      </c>
      <c r="O17" s="972">
        <f>8*0</f>
        <v>0</v>
      </c>
      <c r="P17" s="628">
        <f t="shared" si="40"/>
        <v>0</v>
      </c>
      <c r="Q17" s="628">
        <f t="shared" si="41"/>
        <v>0</v>
      </c>
      <c r="R17" s="631">
        <f>'Table 3 Levels 1&amp;2'!AS18</f>
        <v>5064537.7</v>
      </c>
      <c r="S17" s="632">
        <f>'Table 3 Levels 1&amp;2'!C18</f>
        <v>1575</v>
      </c>
      <c r="T17" s="632">
        <f t="shared" si="32"/>
        <v>1575</v>
      </c>
      <c r="U17" s="633">
        <f t="shared" si="42"/>
        <v>3215.5794920634921</v>
      </c>
      <c r="V17" s="634">
        <f t="shared" si="33"/>
        <v>0</v>
      </c>
      <c r="W17" s="1545">
        <f>'[25]Oct midyear OJJ'!E17</f>
        <v>0</v>
      </c>
      <c r="X17" s="1186">
        <f t="shared" si="43"/>
        <v>0</v>
      </c>
      <c r="Y17" s="1545">
        <f>'[25]Feb midyear OJJ '!E17</f>
        <v>0</v>
      </c>
      <c r="Z17" s="1186">
        <f t="shared" si="44"/>
        <v>0</v>
      </c>
      <c r="AA17" s="1186">
        <f t="shared" si="45"/>
        <v>0</v>
      </c>
      <c r="AB17" s="1186">
        <f t="shared" si="46"/>
        <v>0</v>
      </c>
      <c r="AC17" s="1186">
        <f>'[23]Oct midyear adj_OJJ'!$K16</f>
        <v>0</v>
      </c>
      <c r="AD17" s="634">
        <f t="shared" si="47"/>
        <v>0</v>
      </c>
      <c r="AE17" s="634">
        <f>8*0</f>
        <v>0</v>
      </c>
      <c r="AF17" s="634">
        <f t="shared" si="48"/>
        <v>0</v>
      </c>
      <c r="AG17" s="634">
        <f t="shared" si="49"/>
        <v>0</v>
      </c>
      <c r="AH17" s="635">
        <f t="shared" si="50"/>
        <v>0</v>
      </c>
      <c r="AI17" s="629"/>
      <c r="AJ17" s="2085"/>
      <c r="AK17" s="635">
        <f t="shared" si="34"/>
        <v>0</v>
      </c>
    </row>
    <row r="18" spans="1:37">
      <c r="A18" s="636">
        <v>12</v>
      </c>
      <c r="B18" s="637" t="s">
        <v>113</v>
      </c>
      <c r="C18" s="638">
        <f>'[24]Summary for MFP'!$E18</f>
        <v>0</v>
      </c>
      <c r="D18" s="639">
        <f>'Table 3 Levels 1&amp;2'!AP19</f>
        <v>2871.1237453061226</v>
      </c>
      <c r="E18" s="639">
        <f t="shared" si="31"/>
        <v>3779.5018794142743</v>
      </c>
      <c r="F18" s="639">
        <f t="shared" si="35"/>
        <v>5249.8492712764692</v>
      </c>
      <c r="G18" s="640">
        <f t="shared" si="36"/>
        <v>0</v>
      </c>
      <c r="H18" s="629"/>
      <c r="I18" s="1499">
        <f>'[1]Oct midyear OJJ'!I18</f>
        <v>0</v>
      </c>
      <c r="J18" s="1499">
        <f>'[25]Feb midyear OJJ '!I18</f>
        <v>0</v>
      </c>
      <c r="K18" s="1499">
        <f t="shared" si="37"/>
        <v>0</v>
      </c>
      <c r="L18" s="639">
        <f t="shared" si="38"/>
        <v>0</v>
      </c>
      <c r="M18" s="1178">
        <f>'[23]Oct midyear adj_OJJ'!$I17</f>
        <v>0</v>
      </c>
      <c r="N18" s="640">
        <f t="shared" si="39"/>
        <v>0</v>
      </c>
      <c r="O18" s="1030">
        <f>8*0</f>
        <v>0</v>
      </c>
      <c r="P18" s="640">
        <f t="shared" si="40"/>
        <v>0</v>
      </c>
      <c r="Q18" s="640">
        <f t="shared" si="41"/>
        <v>0</v>
      </c>
      <c r="R18" s="631">
        <f>'Table 3 Levels 1&amp;2'!AS19</f>
        <v>7619897.5</v>
      </c>
      <c r="S18" s="641">
        <f>'Table 3 Levels 1&amp;2'!C19</f>
        <v>1225</v>
      </c>
      <c r="T18" s="641">
        <f t="shared" si="32"/>
        <v>1225</v>
      </c>
      <c r="U18" s="642">
        <f t="shared" si="42"/>
        <v>6220.3244897959185</v>
      </c>
      <c r="V18" s="643">
        <f t="shared" si="33"/>
        <v>0</v>
      </c>
      <c r="W18" s="1546">
        <f>'[25]Oct midyear OJJ'!E18</f>
        <v>0</v>
      </c>
      <c r="X18" s="1187">
        <f t="shared" si="43"/>
        <v>0</v>
      </c>
      <c r="Y18" s="1546">
        <f>'[25]Feb midyear OJJ '!E18</f>
        <v>0</v>
      </c>
      <c r="Z18" s="1187">
        <f t="shared" si="44"/>
        <v>0</v>
      </c>
      <c r="AA18" s="1187">
        <f t="shared" si="45"/>
        <v>0</v>
      </c>
      <c r="AB18" s="1187">
        <f t="shared" si="46"/>
        <v>0</v>
      </c>
      <c r="AC18" s="1187">
        <f>'[23]Oct midyear adj_OJJ'!$K17</f>
        <v>0</v>
      </c>
      <c r="AD18" s="643">
        <f t="shared" si="47"/>
        <v>0</v>
      </c>
      <c r="AE18" s="643">
        <f>8*0</f>
        <v>0</v>
      </c>
      <c r="AF18" s="643">
        <f t="shared" si="48"/>
        <v>0</v>
      </c>
      <c r="AG18" s="643">
        <f t="shared" si="49"/>
        <v>0</v>
      </c>
      <c r="AH18" s="644">
        <f t="shared" si="50"/>
        <v>0</v>
      </c>
      <c r="AI18" s="629"/>
      <c r="AJ18" s="2085"/>
      <c r="AK18" s="644">
        <f t="shared" si="34"/>
        <v>0</v>
      </c>
    </row>
    <row r="19" spans="1:37">
      <c r="A19" s="636">
        <v>13</v>
      </c>
      <c r="B19" s="637" t="s">
        <v>114</v>
      </c>
      <c r="C19" s="638">
        <f>'[24]Summary for MFP'!$E19</f>
        <v>0</v>
      </c>
      <c r="D19" s="639">
        <f>'Table 3 Levels 1&amp;2'!AP20</f>
        <v>6892.3984240421341</v>
      </c>
      <c r="E19" s="639">
        <f t="shared" si="31"/>
        <v>9073.0442531176122</v>
      </c>
      <c r="F19" s="639">
        <f t="shared" si="35"/>
        <v>10543.391644979807</v>
      </c>
      <c r="G19" s="640">
        <f t="shared" si="36"/>
        <v>0</v>
      </c>
      <c r="H19" s="629"/>
      <c r="I19" s="1499">
        <f>'[1]Oct midyear OJJ'!I19</f>
        <v>0</v>
      </c>
      <c r="J19" s="1499">
        <f>'[25]Feb midyear OJJ '!I19</f>
        <v>0</v>
      </c>
      <c r="K19" s="1499">
        <f t="shared" si="37"/>
        <v>0</v>
      </c>
      <c r="L19" s="639">
        <f t="shared" si="38"/>
        <v>0</v>
      </c>
      <c r="M19" s="1178">
        <f>'[23]Oct midyear adj_OJJ'!$I18</f>
        <v>0</v>
      </c>
      <c r="N19" s="640">
        <f t="shared" si="39"/>
        <v>0</v>
      </c>
      <c r="O19" s="1030">
        <f>8*0</f>
        <v>0</v>
      </c>
      <c r="P19" s="640">
        <f t="shared" si="40"/>
        <v>0</v>
      </c>
      <c r="Q19" s="640">
        <f t="shared" si="41"/>
        <v>0</v>
      </c>
      <c r="R19" s="631">
        <f>'Table 3 Levels 1&amp;2'!AS20</f>
        <v>3729922</v>
      </c>
      <c r="S19" s="641">
        <f>'Table 3 Levels 1&amp;2'!C20</f>
        <v>1519</v>
      </c>
      <c r="T19" s="641">
        <f t="shared" si="32"/>
        <v>1519</v>
      </c>
      <c r="U19" s="642">
        <f t="shared" si="42"/>
        <v>2455.5115207373274</v>
      </c>
      <c r="V19" s="643">
        <f t="shared" si="33"/>
        <v>0</v>
      </c>
      <c r="W19" s="1546">
        <f>'[25]Oct midyear OJJ'!E19</f>
        <v>0</v>
      </c>
      <c r="X19" s="1187">
        <f t="shared" si="43"/>
        <v>0</v>
      </c>
      <c r="Y19" s="1546">
        <f>'[25]Feb midyear OJJ '!E19</f>
        <v>0</v>
      </c>
      <c r="Z19" s="1187">
        <f t="shared" si="44"/>
        <v>0</v>
      </c>
      <c r="AA19" s="1187">
        <f t="shared" si="45"/>
        <v>0</v>
      </c>
      <c r="AB19" s="1187">
        <f t="shared" si="46"/>
        <v>0</v>
      </c>
      <c r="AC19" s="1187">
        <f>'[23]Oct midyear adj_OJJ'!$K18</f>
        <v>0</v>
      </c>
      <c r="AD19" s="643">
        <f t="shared" si="47"/>
        <v>0</v>
      </c>
      <c r="AE19" s="643">
        <f>8*0</f>
        <v>0</v>
      </c>
      <c r="AF19" s="643">
        <f t="shared" si="48"/>
        <v>0</v>
      </c>
      <c r="AG19" s="643">
        <f t="shared" si="49"/>
        <v>0</v>
      </c>
      <c r="AH19" s="644">
        <f t="shared" si="50"/>
        <v>0</v>
      </c>
      <c r="AI19" s="629"/>
      <c r="AJ19" s="658" t="s">
        <v>537</v>
      </c>
      <c r="AK19" s="644">
        <f t="shared" si="34"/>
        <v>0</v>
      </c>
    </row>
    <row r="20" spans="1:37" ht="12.75" customHeight="1">
      <c r="A20" s="636">
        <v>14</v>
      </c>
      <c r="B20" s="637" t="s">
        <v>115</v>
      </c>
      <c r="C20" s="638">
        <f>'[24]Summary for MFP'!$E20</f>
        <v>0</v>
      </c>
      <c r="D20" s="639">
        <f>'Table 3 Levels 1&amp;2'!AP21</f>
        <v>6114.1272405311538</v>
      </c>
      <c r="E20" s="639">
        <f t="shared" si="31"/>
        <v>8048.540378778298</v>
      </c>
      <c r="F20" s="639">
        <f t="shared" si="35"/>
        <v>9518.8877706404928</v>
      </c>
      <c r="G20" s="640">
        <f t="shared" si="36"/>
        <v>0</v>
      </c>
      <c r="H20" s="629"/>
      <c r="I20" s="1499">
        <f>'[1]Oct midyear OJJ'!I20</f>
        <v>0</v>
      </c>
      <c r="J20" s="1499">
        <f>'[25]Feb midyear OJJ '!I20</f>
        <v>0</v>
      </c>
      <c r="K20" s="1499">
        <f t="shared" si="37"/>
        <v>0</v>
      </c>
      <c r="L20" s="639">
        <f t="shared" si="38"/>
        <v>0</v>
      </c>
      <c r="M20" s="1178">
        <f>'[23]Oct midyear adj_OJJ'!$I19</f>
        <v>0</v>
      </c>
      <c r="N20" s="640">
        <f t="shared" si="39"/>
        <v>0</v>
      </c>
      <c r="O20" s="1030">
        <f>8*0</f>
        <v>0</v>
      </c>
      <c r="P20" s="640">
        <f t="shared" si="40"/>
        <v>0</v>
      </c>
      <c r="Q20" s="640">
        <f t="shared" si="41"/>
        <v>0</v>
      </c>
      <c r="R20" s="631">
        <f>'Table 3 Levels 1&amp;2'!AS21</f>
        <v>6889052</v>
      </c>
      <c r="S20" s="641">
        <f>'Table 3 Levels 1&amp;2'!C21</f>
        <v>1958</v>
      </c>
      <c r="T20" s="641">
        <f t="shared" si="32"/>
        <v>1958</v>
      </c>
      <c r="U20" s="642">
        <f t="shared" si="42"/>
        <v>3518.4126659856997</v>
      </c>
      <c r="V20" s="643">
        <f t="shared" si="33"/>
        <v>0</v>
      </c>
      <c r="W20" s="1546">
        <f>'[25]Oct midyear OJJ'!E20</f>
        <v>0</v>
      </c>
      <c r="X20" s="1187">
        <f t="shared" si="43"/>
        <v>0</v>
      </c>
      <c r="Y20" s="1546">
        <f>'[25]Feb midyear OJJ '!E20</f>
        <v>0</v>
      </c>
      <c r="Z20" s="1187">
        <f t="shared" si="44"/>
        <v>0</v>
      </c>
      <c r="AA20" s="1187">
        <f t="shared" si="45"/>
        <v>0</v>
      </c>
      <c r="AB20" s="1187">
        <f t="shared" si="46"/>
        <v>0</v>
      </c>
      <c r="AC20" s="1187">
        <f>'[23]Oct midyear adj_OJJ'!$K19</f>
        <v>0</v>
      </c>
      <c r="AD20" s="643">
        <f t="shared" si="47"/>
        <v>0</v>
      </c>
      <c r="AE20" s="643">
        <f>8*0</f>
        <v>0</v>
      </c>
      <c r="AF20" s="643">
        <f t="shared" si="48"/>
        <v>0</v>
      </c>
      <c r="AG20" s="643">
        <f t="shared" si="49"/>
        <v>0</v>
      </c>
      <c r="AH20" s="644">
        <f t="shared" si="50"/>
        <v>0</v>
      </c>
      <c r="AI20" s="629"/>
      <c r="AJ20" s="2090" t="s">
        <v>538</v>
      </c>
      <c r="AK20" s="644">
        <f t="shared" si="34"/>
        <v>0</v>
      </c>
    </row>
    <row r="21" spans="1:37">
      <c r="A21" s="647">
        <v>15</v>
      </c>
      <c r="B21" s="648" t="s">
        <v>116</v>
      </c>
      <c r="C21" s="649">
        <f>'[24]Summary for MFP'!$E21</f>
        <v>2.3279999999999998</v>
      </c>
      <c r="D21" s="650">
        <f>'Table 3 Levels 1&amp;2'!AP22</f>
        <v>5994.3672797220852</v>
      </c>
      <c r="E21" s="650">
        <f t="shared" si="31"/>
        <v>7890.890260877095</v>
      </c>
      <c r="F21" s="650">
        <f t="shared" si="35"/>
        <v>9361.2376527392898</v>
      </c>
      <c r="G21" s="651">
        <f t="shared" si="36"/>
        <v>21792.961255577065</v>
      </c>
      <c r="H21" s="630"/>
      <c r="I21" s="1500">
        <f>'[1]Oct midyear OJJ'!I21</f>
        <v>0</v>
      </c>
      <c r="J21" s="1500">
        <f>'[25]Feb midyear OJJ '!I21</f>
        <v>0</v>
      </c>
      <c r="K21" s="1500">
        <f t="shared" si="37"/>
        <v>0</v>
      </c>
      <c r="L21" s="650">
        <f t="shared" si="38"/>
        <v>21792.961255577065</v>
      </c>
      <c r="M21" s="1179">
        <f>'[23]Oct midyear adj_OJJ'!$I20</f>
        <v>0</v>
      </c>
      <c r="N21" s="651">
        <f t="shared" si="39"/>
        <v>21792.961255577065</v>
      </c>
      <c r="O21" s="1033">
        <f>8*1813+1813+1813</f>
        <v>18130</v>
      </c>
      <c r="P21" s="651">
        <f t="shared" si="40"/>
        <v>3662.9612555770655</v>
      </c>
      <c r="Q21" s="651">
        <f t="shared" si="41"/>
        <v>1831</v>
      </c>
      <c r="R21" s="653">
        <f>'Table 3 Levels 1&amp;2'!AS22</f>
        <v>9520648.5</v>
      </c>
      <c r="S21" s="654">
        <f>'Table 3 Levels 1&amp;2'!C22</f>
        <v>3627</v>
      </c>
      <c r="T21" s="654">
        <f t="shared" si="32"/>
        <v>3629.328</v>
      </c>
      <c r="U21" s="655">
        <f t="shared" si="42"/>
        <v>2623.2538089695945</v>
      </c>
      <c r="V21" s="656">
        <f t="shared" si="33"/>
        <v>6106.9348672812157</v>
      </c>
      <c r="W21" s="1547">
        <f>'[25]Oct midyear OJJ'!E21</f>
        <v>0</v>
      </c>
      <c r="X21" s="1188">
        <f t="shared" si="43"/>
        <v>0</v>
      </c>
      <c r="Y21" s="1547">
        <f>'[25]Feb midyear OJJ '!E21</f>
        <v>0</v>
      </c>
      <c r="Z21" s="1188">
        <f t="shared" si="44"/>
        <v>0</v>
      </c>
      <c r="AA21" s="1188">
        <f t="shared" si="45"/>
        <v>0</v>
      </c>
      <c r="AB21" s="1188">
        <f t="shared" si="46"/>
        <v>6106.9348672812157</v>
      </c>
      <c r="AC21" s="1188">
        <f>'[23]Oct midyear adj_OJJ'!$K20</f>
        <v>0</v>
      </c>
      <c r="AD21" s="656">
        <f t="shared" si="47"/>
        <v>6106.9348672812157</v>
      </c>
      <c r="AE21" s="656">
        <f>8*509+508+508</f>
        <v>5088</v>
      </c>
      <c r="AF21" s="656">
        <f t="shared" si="48"/>
        <v>1018.9348672812157</v>
      </c>
      <c r="AG21" s="656">
        <f t="shared" si="49"/>
        <v>509</v>
      </c>
      <c r="AH21" s="657">
        <f t="shared" si="50"/>
        <v>27899.896122858281</v>
      </c>
      <c r="AI21" s="630"/>
      <c r="AJ21" s="2090"/>
      <c r="AK21" s="657">
        <f t="shared" si="34"/>
        <v>2340</v>
      </c>
    </row>
    <row r="22" spans="1:37">
      <c r="A22" s="624">
        <v>16</v>
      </c>
      <c r="B22" s="625" t="s">
        <v>117</v>
      </c>
      <c r="C22" s="626">
        <f>'[24]Summary for MFP'!$E22</f>
        <v>2.242569</v>
      </c>
      <c r="D22" s="627">
        <f>'Table 3 Levels 1&amp;2'!AP23</f>
        <v>2194.7394689784833</v>
      </c>
      <c r="E22" s="627">
        <f t="shared" si="31"/>
        <v>2889.1203179208283</v>
      </c>
      <c r="F22" s="627">
        <f t="shared" si="35"/>
        <v>4359.4677097830227</v>
      </c>
      <c r="G22" s="628">
        <f t="shared" si="36"/>
        <v>9776.4071424604026</v>
      </c>
      <c r="H22" s="629"/>
      <c r="I22" s="1498">
        <f>'[1]Oct midyear OJJ'!I22</f>
        <v>0</v>
      </c>
      <c r="J22" s="1498">
        <f>'[25]Feb midyear OJJ '!I22</f>
        <v>0</v>
      </c>
      <c r="K22" s="1498">
        <f t="shared" si="37"/>
        <v>0</v>
      </c>
      <c r="L22" s="627">
        <f t="shared" si="38"/>
        <v>9776.4071424604026</v>
      </c>
      <c r="M22" s="1177">
        <f>'[23]Oct midyear adj_OJJ'!$I21</f>
        <v>0</v>
      </c>
      <c r="N22" s="628">
        <f t="shared" si="39"/>
        <v>9776.4071424604026</v>
      </c>
      <c r="O22" s="972">
        <f>8*813+813+813</f>
        <v>8130</v>
      </c>
      <c r="P22" s="628">
        <f t="shared" si="40"/>
        <v>1646.4071424604026</v>
      </c>
      <c r="Q22" s="628">
        <f t="shared" si="41"/>
        <v>823</v>
      </c>
      <c r="R22" s="631">
        <f>'Table 3 Levels 1&amp;2'!AS23</f>
        <v>28325344.949999999</v>
      </c>
      <c r="S22" s="632">
        <f>'Table 3 Levels 1&amp;2'!C23</f>
        <v>4787</v>
      </c>
      <c r="T22" s="632">
        <f t="shared" si="32"/>
        <v>4789.242569</v>
      </c>
      <c r="U22" s="633">
        <f t="shared" si="42"/>
        <v>5914.3684083461176</v>
      </c>
      <c r="V22" s="634">
        <f t="shared" si="33"/>
        <v>13263.379247136345</v>
      </c>
      <c r="W22" s="1545">
        <f>'[25]Oct midyear OJJ'!E22</f>
        <v>0</v>
      </c>
      <c r="X22" s="1186">
        <f t="shared" si="43"/>
        <v>0</v>
      </c>
      <c r="Y22" s="1545">
        <f>'[25]Feb midyear OJJ '!E22</f>
        <v>0</v>
      </c>
      <c r="Z22" s="1186">
        <f t="shared" si="44"/>
        <v>0</v>
      </c>
      <c r="AA22" s="1186">
        <f t="shared" si="45"/>
        <v>0</v>
      </c>
      <c r="AB22" s="1186">
        <f t="shared" si="46"/>
        <v>13263.379247136345</v>
      </c>
      <c r="AC22" s="1186">
        <f>'[23]Oct midyear adj_OJJ'!$K21</f>
        <v>0</v>
      </c>
      <c r="AD22" s="634">
        <f t="shared" si="47"/>
        <v>13263.379247136345</v>
      </c>
      <c r="AE22" s="634">
        <f>8*1105+1106+1106</f>
        <v>11052</v>
      </c>
      <c r="AF22" s="634">
        <f t="shared" si="48"/>
        <v>2211.3792471363449</v>
      </c>
      <c r="AG22" s="634">
        <f t="shared" si="49"/>
        <v>1106</v>
      </c>
      <c r="AH22" s="635">
        <f t="shared" si="50"/>
        <v>23039.786389596746</v>
      </c>
      <c r="AI22" s="629"/>
      <c r="AJ22" s="2090"/>
      <c r="AK22" s="635">
        <f t="shared" si="34"/>
        <v>1929</v>
      </c>
    </row>
    <row r="23" spans="1:37">
      <c r="A23" s="636">
        <v>17</v>
      </c>
      <c r="B23" s="637" t="s">
        <v>118</v>
      </c>
      <c r="C23" s="638">
        <f>'[24]Summary for MFP'!$E23</f>
        <v>39.355055</v>
      </c>
      <c r="D23" s="639">
        <f>'Table 3 Levels 1&amp;2'!AP24</f>
        <v>4196.9874513404984</v>
      </c>
      <c r="E23" s="639">
        <f t="shared" si="31"/>
        <v>5524.8478879228032</v>
      </c>
      <c r="F23" s="639">
        <f t="shared" si="35"/>
        <v>6995.1952797849981</v>
      </c>
      <c r="G23" s="640">
        <f t="shared" si="36"/>
        <v>275296.29497167899</v>
      </c>
      <c r="H23" s="629"/>
      <c r="I23" s="1499">
        <f>'[1]Oct midyear OJJ'!I23</f>
        <v>447.69249790624025</v>
      </c>
      <c r="J23" s="1499">
        <f>'[25]Feb midyear OJJ '!I23</f>
        <v>0</v>
      </c>
      <c r="K23" s="1499">
        <f t="shared" si="37"/>
        <v>447.69249790624025</v>
      </c>
      <c r="L23" s="639">
        <f t="shared" si="38"/>
        <v>275743.9874695852</v>
      </c>
      <c r="M23" s="1178">
        <f>'[23]Oct midyear adj_OJJ'!$I22</f>
        <v>249.81926343778414</v>
      </c>
      <c r="N23" s="640">
        <f t="shared" si="39"/>
        <v>275993.80673302297</v>
      </c>
      <c r="O23" s="1030">
        <f>8*22923+23034+23034+16908</f>
        <v>246360</v>
      </c>
      <c r="P23" s="640">
        <f t="shared" si="40"/>
        <v>29633.806733022968</v>
      </c>
      <c r="Q23" s="640">
        <f t="shared" si="41"/>
        <v>14817</v>
      </c>
      <c r="R23" s="631">
        <f>'Table 3 Levels 1&amp;2'!AS24</f>
        <v>198127963.90000001</v>
      </c>
      <c r="S23" s="641">
        <f>'Table 3 Levels 1&amp;2'!C24</f>
        <v>43685</v>
      </c>
      <c r="T23" s="641">
        <f t="shared" si="32"/>
        <v>43724.355055</v>
      </c>
      <c r="U23" s="642">
        <f t="shared" si="42"/>
        <v>4531.2952849911399</v>
      </c>
      <c r="V23" s="643">
        <f t="shared" si="33"/>
        <v>178329.37516206698</v>
      </c>
      <c r="W23" s="1546">
        <f>'[25]Oct midyear OJJ'!E23</f>
        <v>6.4000000000000057E-2</v>
      </c>
      <c r="X23" s="1187">
        <f t="shared" si="43"/>
        <v>290.00289823943319</v>
      </c>
      <c r="Y23" s="1546">
        <f>'[25]Feb midyear OJJ '!E23</f>
        <v>0</v>
      </c>
      <c r="Z23" s="1187">
        <f t="shared" si="44"/>
        <v>0</v>
      </c>
      <c r="AA23" s="1187">
        <f t="shared" si="45"/>
        <v>290.00289823943319</v>
      </c>
      <c r="AB23" s="1187">
        <f t="shared" si="46"/>
        <v>178619.37806030642</v>
      </c>
      <c r="AC23" s="1187">
        <f>'[23]Oct midyear adj_OJJ'!$K22</f>
        <v>169.18272097607019</v>
      </c>
      <c r="AD23" s="643">
        <f t="shared" si="47"/>
        <v>178788.56078128249</v>
      </c>
      <c r="AE23" s="643">
        <f>8*14917+14989+14989</f>
        <v>149314</v>
      </c>
      <c r="AF23" s="643">
        <f t="shared" si="48"/>
        <v>29474.560781282489</v>
      </c>
      <c r="AG23" s="643">
        <f t="shared" si="49"/>
        <v>14737</v>
      </c>
      <c r="AH23" s="644">
        <f t="shared" si="50"/>
        <v>454782.36751430546</v>
      </c>
      <c r="AI23" s="629"/>
      <c r="AJ23" s="630"/>
      <c r="AK23" s="644">
        <f t="shared" si="34"/>
        <v>29554</v>
      </c>
    </row>
    <row r="24" spans="1:37">
      <c r="A24" s="636">
        <v>18</v>
      </c>
      <c r="B24" s="637" t="s">
        <v>119</v>
      </c>
      <c r="C24" s="638">
        <f>'[24]Summary for MFP'!$E24</f>
        <v>1.629084</v>
      </c>
      <c r="D24" s="639">
        <f>'Table 3 Levels 1&amp;2'!AP25</f>
        <v>6657.7931260828191</v>
      </c>
      <c r="E24" s="639">
        <f t="shared" si="31"/>
        <v>8764.2135501542198</v>
      </c>
      <c r="F24" s="639">
        <f t="shared" si="35"/>
        <v>10234.560942016415</v>
      </c>
      <c r="G24" s="640">
        <f t="shared" si="36"/>
        <v>16672.95947766387</v>
      </c>
      <c r="H24" s="629"/>
      <c r="I24" s="1499">
        <f>'[1]Oct midyear OJJ'!I24</f>
        <v>0</v>
      </c>
      <c r="J24" s="1499">
        <f>'[25]Feb midyear OJJ '!I24</f>
        <v>0</v>
      </c>
      <c r="K24" s="1499">
        <f t="shared" si="37"/>
        <v>0</v>
      </c>
      <c r="L24" s="639">
        <f t="shared" si="38"/>
        <v>16672.95947766387</v>
      </c>
      <c r="M24" s="1178">
        <f>'[23]Oct midyear adj_OJJ'!$I23</f>
        <v>0</v>
      </c>
      <c r="N24" s="640">
        <f t="shared" si="39"/>
        <v>16672.95947766387</v>
      </c>
      <c r="O24" s="1030">
        <f>8*1386+1387+1387</f>
        <v>13862</v>
      </c>
      <c r="P24" s="640">
        <f t="shared" si="40"/>
        <v>2810.9594776638696</v>
      </c>
      <c r="Q24" s="640">
        <f t="shared" si="41"/>
        <v>1405</v>
      </c>
      <c r="R24" s="631">
        <f>'Table 3 Levels 1&amp;2'!AS25</f>
        <v>2070491.5</v>
      </c>
      <c r="S24" s="641">
        <f>'Table 3 Levels 1&amp;2'!C25</f>
        <v>1135</v>
      </c>
      <c r="T24" s="641">
        <f t="shared" si="32"/>
        <v>1136.6290839999999</v>
      </c>
      <c r="U24" s="642">
        <f t="shared" si="42"/>
        <v>1821.6070036793112</v>
      </c>
      <c r="V24" s="643">
        <f t="shared" si="33"/>
        <v>2967.5508239819069</v>
      </c>
      <c r="W24" s="1546">
        <f>'[25]Oct midyear OJJ'!E24</f>
        <v>0</v>
      </c>
      <c r="X24" s="1187">
        <f t="shared" si="43"/>
        <v>0</v>
      </c>
      <c r="Y24" s="1546">
        <f>'[25]Feb midyear OJJ '!E24</f>
        <v>0</v>
      </c>
      <c r="Z24" s="1187">
        <f t="shared" si="44"/>
        <v>0</v>
      </c>
      <c r="AA24" s="1187">
        <f t="shared" si="45"/>
        <v>0</v>
      </c>
      <c r="AB24" s="1187">
        <f t="shared" si="46"/>
        <v>2967.5508239819069</v>
      </c>
      <c r="AC24" s="1187">
        <f>'[23]Oct midyear adj_OJJ'!$K23</f>
        <v>0</v>
      </c>
      <c r="AD24" s="643">
        <f t="shared" si="47"/>
        <v>2967.5508239819069</v>
      </c>
      <c r="AE24" s="643">
        <f>8*245+245+245</f>
        <v>2450</v>
      </c>
      <c r="AF24" s="643">
        <f t="shared" si="48"/>
        <v>517.55082398190689</v>
      </c>
      <c r="AG24" s="643">
        <f t="shared" si="49"/>
        <v>259</v>
      </c>
      <c r="AH24" s="644">
        <f t="shared" si="50"/>
        <v>19640.510301645776</v>
      </c>
      <c r="AI24" s="629"/>
      <c r="AJ24" s="630"/>
      <c r="AK24" s="644">
        <f t="shared" si="34"/>
        <v>1664</v>
      </c>
    </row>
    <row r="25" spans="1:37">
      <c r="A25" s="636">
        <v>19</v>
      </c>
      <c r="B25" s="637" t="s">
        <v>120</v>
      </c>
      <c r="C25" s="638">
        <f>'[24]Summary for MFP'!$E25</f>
        <v>0.31707299999999999</v>
      </c>
      <c r="D25" s="639">
        <f>'Table 3 Levels 1&amp;2'!AP26</f>
        <v>6106.7782869969042</v>
      </c>
      <c r="E25" s="639">
        <f t="shared" si="31"/>
        <v>8038.8663326004444</v>
      </c>
      <c r="F25" s="639">
        <f t="shared" si="35"/>
        <v>9509.2137244626392</v>
      </c>
      <c r="G25" s="640">
        <f t="shared" si="36"/>
        <v>3015.1149232565422</v>
      </c>
      <c r="H25" s="629"/>
      <c r="I25" s="1499">
        <f>'[1]Oct midyear OJJ'!I25</f>
        <v>0</v>
      </c>
      <c r="J25" s="1499">
        <f>'[25]Feb midyear OJJ '!I25</f>
        <v>0</v>
      </c>
      <c r="K25" s="1499">
        <f t="shared" si="37"/>
        <v>0</v>
      </c>
      <c r="L25" s="639">
        <f t="shared" si="38"/>
        <v>3015.1149232565422</v>
      </c>
      <c r="M25" s="1178">
        <f>'[23]Oct midyear adj_OJJ'!$I24</f>
        <v>0</v>
      </c>
      <c r="N25" s="640">
        <f t="shared" si="39"/>
        <v>3015.1149232565422</v>
      </c>
      <c r="O25" s="1030">
        <f>8*252+252+252</f>
        <v>2520</v>
      </c>
      <c r="P25" s="640">
        <f t="shared" si="40"/>
        <v>495.11492325654217</v>
      </c>
      <c r="Q25" s="640">
        <f t="shared" si="41"/>
        <v>248</v>
      </c>
      <c r="R25" s="631">
        <f>'Table 3 Levels 1&amp;2'!AS26</f>
        <v>4434446</v>
      </c>
      <c r="S25" s="641">
        <f>'Table 3 Levels 1&amp;2'!C26</f>
        <v>1938</v>
      </c>
      <c r="T25" s="641">
        <f t="shared" si="32"/>
        <v>1938.3170729999999</v>
      </c>
      <c r="U25" s="642">
        <f t="shared" si="42"/>
        <v>2287.7815305710824</v>
      </c>
      <c r="V25" s="643">
        <f t="shared" si="33"/>
        <v>725.39375324276477</v>
      </c>
      <c r="W25" s="1546">
        <f>'[25]Oct midyear OJJ'!E25</f>
        <v>0</v>
      </c>
      <c r="X25" s="1187">
        <f t="shared" si="43"/>
        <v>0</v>
      </c>
      <c r="Y25" s="1546">
        <f>'[25]Feb midyear OJJ '!E25</f>
        <v>0</v>
      </c>
      <c r="Z25" s="1187">
        <f t="shared" si="44"/>
        <v>0</v>
      </c>
      <c r="AA25" s="1187">
        <f t="shared" si="45"/>
        <v>0</v>
      </c>
      <c r="AB25" s="1187">
        <f t="shared" si="46"/>
        <v>725.39375324276477</v>
      </c>
      <c r="AC25" s="1187">
        <f>'[23]Oct midyear adj_OJJ'!$K24</f>
        <v>0</v>
      </c>
      <c r="AD25" s="643">
        <f t="shared" si="47"/>
        <v>725.39375324276477</v>
      </c>
      <c r="AE25" s="643">
        <f>8*60+60+60</f>
        <v>600</v>
      </c>
      <c r="AF25" s="643">
        <f t="shared" si="48"/>
        <v>125.39375324276477</v>
      </c>
      <c r="AG25" s="643">
        <f t="shared" si="49"/>
        <v>63</v>
      </c>
      <c r="AH25" s="644">
        <f t="shared" si="50"/>
        <v>3740.5086764993071</v>
      </c>
      <c r="AI25" s="629"/>
      <c r="AJ25" s="630"/>
      <c r="AK25" s="644">
        <f t="shared" si="34"/>
        <v>311</v>
      </c>
    </row>
    <row r="26" spans="1:37">
      <c r="A26" s="647">
        <v>20</v>
      </c>
      <c r="B26" s="648" t="s">
        <v>121</v>
      </c>
      <c r="C26" s="649">
        <f>'[24]Summary for MFP'!$E26</f>
        <v>4.6866770000000004</v>
      </c>
      <c r="D26" s="650">
        <f>'Table 3 Levels 1&amp;2'!AP27</f>
        <v>6032.6858223871968</v>
      </c>
      <c r="E26" s="650">
        <f t="shared" si="31"/>
        <v>7941.3321842724117</v>
      </c>
      <c r="F26" s="650">
        <f t="shared" si="35"/>
        <v>9411.6795761346075</v>
      </c>
      <c r="G26" s="651">
        <f t="shared" si="36"/>
        <v>44109.502200839815</v>
      </c>
      <c r="H26" s="630"/>
      <c r="I26" s="1500">
        <f>'[1]Oct midyear OJJ'!I26</f>
        <v>715.28764778622667</v>
      </c>
      <c r="J26" s="1500">
        <f>'[25]Feb midyear OJJ '!I26</f>
        <v>0</v>
      </c>
      <c r="K26" s="1500">
        <f t="shared" si="37"/>
        <v>715.28764778622667</v>
      </c>
      <c r="L26" s="650">
        <f t="shared" si="38"/>
        <v>44824.789848626046</v>
      </c>
      <c r="M26" s="1179">
        <f>'[23]Oct midyear adj_OJJ'!$I25</f>
        <v>-909.54763781475037</v>
      </c>
      <c r="N26" s="651">
        <f t="shared" si="39"/>
        <v>43915.242210811295</v>
      </c>
      <c r="O26" s="1033">
        <f>8*3598+3775+3775</f>
        <v>36334</v>
      </c>
      <c r="P26" s="651">
        <f t="shared" si="40"/>
        <v>7581.2422108112951</v>
      </c>
      <c r="Q26" s="651">
        <f t="shared" si="41"/>
        <v>3791</v>
      </c>
      <c r="R26" s="653">
        <f>'Table 3 Levels 1&amp;2'!AS27</f>
        <v>13070209.5</v>
      </c>
      <c r="S26" s="654">
        <f>'Table 3 Levels 1&amp;2'!C27</f>
        <v>5811</v>
      </c>
      <c r="T26" s="654">
        <f t="shared" si="32"/>
        <v>5815.6866769999997</v>
      </c>
      <c r="U26" s="655">
        <f t="shared" si="42"/>
        <v>2247.4060632754408</v>
      </c>
      <c r="V26" s="656">
        <f t="shared" si="33"/>
        <v>10532.866306413554</v>
      </c>
      <c r="W26" s="1547">
        <f>'[25]Oct midyear OJJ'!E26</f>
        <v>7.5999999999999623E-2</v>
      </c>
      <c r="X26" s="1188">
        <f t="shared" si="43"/>
        <v>170.80286080893265</v>
      </c>
      <c r="Y26" s="1547">
        <f>'[25]Feb midyear OJJ '!E26</f>
        <v>0</v>
      </c>
      <c r="Z26" s="1188">
        <f t="shared" si="44"/>
        <v>0</v>
      </c>
      <c r="AA26" s="1188">
        <f t="shared" si="45"/>
        <v>170.80286080893265</v>
      </c>
      <c r="AB26" s="1188">
        <f t="shared" si="46"/>
        <v>10703.669167222488</v>
      </c>
      <c r="AC26" s="1188">
        <f>'[23]Oct midyear adj_OJJ'!$K25</f>
        <v>-216.87780754017336</v>
      </c>
      <c r="AD26" s="656">
        <f t="shared" si="47"/>
        <v>10486.791359682315</v>
      </c>
      <c r="AE26" s="656">
        <f>8*858+902+902</f>
        <v>8668</v>
      </c>
      <c r="AF26" s="656">
        <f t="shared" si="48"/>
        <v>1818.7913596823146</v>
      </c>
      <c r="AG26" s="656">
        <f t="shared" si="49"/>
        <v>909</v>
      </c>
      <c r="AH26" s="657">
        <f t="shared" si="50"/>
        <v>54402.033570493608</v>
      </c>
      <c r="AI26" s="630"/>
      <c r="AJ26" s="630"/>
      <c r="AK26" s="657">
        <f t="shared" si="34"/>
        <v>4700</v>
      </c>
    </row>
    <row r="27" spans="1:37">
      <c r="A27" s="624">
        <v>21</v>
      </c>
      <c r="B27" s="625" t="s">
        <v>122</v>
      </c>
      <c r="C27" s="626">
        <f>'[24]Summary for MFP'!$E27</f>
        <v>4.0270669999999997</v>
      </c>
      <c r="D27" s="627">
        <f>'Table 3 Levels 1&amp;2'!AP28</f>
        <v>6372.0815752189819</v>
      </c>
      <c r="E27" s="627">
        <f t="shared" si="31"/>
        <v>8388.1073843278118</v>
      </c>
      <c r="F27" s="627">
        <f t="shared" si="35"/>
        <v>9858.4547761900067</v>
      </c>
      <c r="G27" s="628">
        <f t="shared" si="36"/>
        <v>39700.657900187158</v>
      </c>
      <c r="H27" s="629"/>
      <c r="I27" s="1498">
        <f>'[1]Oct midyear OJJ'!I27</f>
        <v>0</v>
      </c>
      <c r="J27" s="1498">
        <f>'[25]Feb midyear OJJ '!I27</f>
        <v>0</v>
      </c>
      <c r="K27" s="1498">
        <f t="shared" si="37"/>
        <v>0</v>
      </c>
      <c r="L27" s="627">
        <f t="shared" si="38"/>
        <v>39700.657900187158</v>
      </c>
      <c r="M27" s="1177">
        <f>'[23]Oct midyear adj_OJJ'!$I26</f>
        <v>0</v>
      </c>
      <c r="N27" s="628">
        <f t="shared" si="39"/>
        <v>39700.657900187158</v>
      </c>
      <c r="O27" s="972">
        <f>8*3288+3289+3289</f>
        <v>32882</v>
      </c>
      <c r="P27" s="628">
        <f t="shared" si="40"/>
        <v>6818.6579001871578</v>
      </c>
      <c r="Q27" s="628">
        <f t="shared" si="41"/>
        <v>3409</v>
      </c>
      <c r="R27" s="631">
        <f>'Table 3 Levels 1&amp;2'!AS28</f>
        <v>6174410.5</v>
      </c>
      <c r="S27" s="632">
        <f>'Table 3 Levels 1&amp;2'!C28</f>
        <v>2950</v>
      </c>
      <c r="T27" s="632">
        <f t="shared" si="32"/>
        <v>2954.027067</v>
      </c>
      <c r="U27" s="633">
        <f t="shared" si="42"/>
        <v>2090.1672056344769</v>
      </c>
      <c r="V27" s="634">
        <f t="shared" si="33"/>
        <v>8417.2433782928147</v>
      </c>
      <c r="W27" s="1545">
        <f>'[25]Oct midyear OJJ'!E27</f>
        <v>0</v>
      </c>
      <c r="X27" s="1186">
        <f t="shared" si="43"/>
        <v>0</v>
      </c>
      <c r="Y27" s="1545">
        <f>'[25]Feb midyear OJJ '!E27</f>
        <v>0</v>
      </c>
      <c r="Z27" s="1186">
        <f t="shared" si="44"/>
        <v>0</v>
      </c>
      <c r="AA27" s="1186">
        <f t="shared" si="45"/>
        <v>0</v>
      </c>
      <c r="AB27" s="1186">
        <f t="shared" si="46"/>
        <v>8417.2433782928147</v>
      </c>
      <c r="AC27" s="1186">
        <f>'[23]Oct midyear adj_OJJ'!$K26</f>
        <v>0</v>
      </c>
      <c r="AD27" s="634">
        <f t="shared" si="47"/>
        <v>8417.2433782928147</v>
      </c>
      <c r="AE27" s="634">
        <f>8*681+681+681</f>
        <v>6810</v>
      </c>
      <c r="AF27" s="634">
        <f t="shared" si="48"/>
        <v>1607.2433782928147</v>
      </c>
      <c r="AG27" s="634">
        <f t="shared" si="49"/>
        <v>804</v>
      </c>
      <c r="AH27" s="635">
        <f t="shared" si="50"/>
        <v>48117.901278479971</v>
      </c>
      <c r="AI27" s="629"/>
      <c r="AJ27" s="630"/>
      <c r="AK27" s="635">
        <f t="shared" si="34"/>
        <v>4213</v>
      </c>
    </row>
    <row r="28" spans="1:37">
      <c r="A28" s="636">
        <v>22</v>
      </c>
      <c r="B28" s="637" t="s">
        <v>123</v>
      </c>
      <c r="C28" s="638">
        <f>'[24]Summary for MFP'!$E28</f>
        <v>0.22764200000000001</v>
      </c>
      <c r="D28" s="639">
        <f>'Table 3 Levels 1&amp;2'!AP29</f>
        <v>6708.8017836924009</v>
      </c>
      <c r="E28" s="639">
        <f t="shared" si="31"/>
        <v>8831.3605401148561</v>
      </c>
      <c r="F28" s="639">
        <f t="shared" si="35"/>
        <v>10301.707931977051</v>
      </c>
      <c r="G28" s="640">
        <f t="shared" si="36"/>
        <v>2345.1013970511199</v>
      </c>
      <c r="H28" s="629"/>
      <c r="I28" s="1499">
        <f>'[1]Oct midyear OJJ'!I28</f>
        <v>0</v>
      </c>
      <c r="J28" s="1499">
        <f>'[25]Feb midyear OJJ '!I28</f>
        <v>0</v>
      </c>
      <c r="K28" s="1499">
        <f t="shared" si="37"/>
        <v>0</v>
      </c>
      <c r="L28" s="639">
        <f t="shared" si="38"/>
        <v>2345.1013970511199</v>
      </c>
      <c r="M28" s="1178">
        <f>'[23]Oct midyear adj_OJJ'!$I27</f>
        <v>0</v>
      </c>
      <c r="N28" s="640">
        <f t="shared" si="39"/>
        <v>2345.1013970511199</v>
      </c>
      <c r="O28" s="1030">
        <f>8*195+195+195</f>
        <v>1950</v>
      </c>
      <c r="P28" s="640">
        <f t="shared" si="40"/>
        <v>395.10139705111987</v>
      </c>
      <c r="Q28" s="640">
        <f t="shared" si="41"/>
        <v>198</v>
      </c>
      <c r="R28" s="631">
        <f>'Table 3 Levels 1&amp;2'!AS29</f>
        <v>5165748</v>
      </c>
      <c r="S28" s="641">
        <f>'Table 3 Levels 1&amp;2'!C29</f>
        <v>3277</v>
      </c>
      <c r="T28" s="641">
        <f t="shared" si="32"/>
        <v>3277.2276419999998</v>
      </c>
      <c r="U28" s="642">
        <f t="shared" si="42"/>
        <v>1576.2554708733901</v>
      </c>
      <c r="V28" s="643">
        <f t="shared" si="33"/>
        <v>358.8219479005603</v>
      </c>
      <c r="W28" s="1546">
        <f>'[25]Oct midyear OJJ'!E28</f>
        <v>0</v>
      </c>
      <c r="X28" s="1187">
        <f t="shared" si="43"/>
        <v>0</v>
      </c>
      <c r="Y28" s="1546">
        <f>'[25]Feb midyear OJJ '!E28</f>
        <v>0</v>
      </c>
      <c r="Z28" s="1187">
        <f t="shared" si="44"/>
        <v>0</v>
      </c>
      <c r="AA28" s="1187">
        <f t="shared" si="45"/>
        <v>0</v>
      </c>
      <c r="AB28" s="1187">
        <f t="shared" si="46"/>
        <v>358.8219479005603</v>
      </c>
      <c r="AC28" s="1187">
        <f>'[23]Oct midyear adj_OJJ'!$K27</f>
        <v>0</v>
      </c>
      <c r="AD28" s="643">
        <f t="shared" si="47"/>
        <v>358.8219479005603</v>
      </c>
      <c r="AE28" s="643">
        <f>8*30+30+30</f>
        <v>300</v>
      </c>
      <c r="AF28" s="643">
        <f t="shared" si="48"/>
        <v>58.821947900560303</v>
      </c>
      <c r="AG28" s="643">
        <f t="shared" si="49"/>
        <v>29</v>
      </c>
      <c r="AH28" s="644">
        <f t="shared" si="50"/>
        <v>2703.9233449516801</v>
      </c>
      <c r="AI28" s="629"/>
      <c r="AJ28" s="630"/>
      <c r="AK28" s="644">
        <f t="shared" si="34"/>
        <v>227</v>
      </c>
    </row>
    <row r="29" spans="1:37">
      <c r="A29" s="636">
        <v>23</v>
      </c>
      <c r="B29" s="637" t="s">
        <v>124</v>
      </c>
      <c r="C29" s="638">
        <f>'[24]Summary for MFP'!$E29</f>
        <v>6.0642379999999996</v>
      </c>
      <c r="D29" s="639">
        <f>'Table 3 Levels 1&amp;2'!AP30</f>
        <v>5512.9785967060243</v>
      </c>
      <c r="E29" s="639">
        <f t="shared" si="31"/>
        <v>7257.1978137429587</v>
      </c>
      <c r="F29" s="639">
        <f t="shared" si="35"/>
        <v>8727.5452056051545</v>
      </c>
      <c r="G29" s="640">
        <f t="shared" si="36"/>
        <v>52925.911282548586</v>
      </c>
      <c r="H29" s="629"/>
      <c r="I29" s="1499">
        <f>'[1]Oct midyear OJJ'!I29</f>
        <v>0</v>
      </c>
      <c r="J29" s="1499">
        <f>'[25]Feb midyear OJJ '!I29</f>
        <v>0</v>
      </c>
      <c r="K29" s="1499">
        <f t="shared" si="37"/>
        <v>0</v>
      </c>
      <c r="L29" s="639">
        <f t="shared" si="38"/>
        <v>52925.911282548586</v>
      </c>
      <c r="M29" s="1178">
        <f>'[23]Oct midyear adj_OJJ'!$I28</f>
        <v>-26.321677658678428</v>
      </c>
      <c r="N29" s="640">
        <f t="shared" si="39"/>
        <v>52899.589604889909</v>
      </c>
      <c r="O29" s="1030">
        <f>8*4398+4397+4397</f>
        <v>43978</v>
      </c>
      <c r="P29" s="640">
        <f t="shared" si="40"/>
        <v>8921.5896048899085</v>
      </c>
      <c r="Q29" s="640">
        <f t="shared" si="41"/>
        <v>4461</v>
      </c>
      <c r="R29" s="631">
        <f>'Table 3 Levels 1&amp;2'!AS30</f>
        <v>41817240</v>
      </c>
      <c r="S29" s="641">
        <f>'Table 3 Levels 1&amp;2'!C30</f>
        <v>13280</v>
      </c>
      <c r="T29" s="641">
        <f t="shared" si="32"/>
        <v>13286.064238000001</v>
      </c>
      <c r="U29" s="642">
        <f t="shared" si="42"/>
        <v>3147.4512881246537</v>
      </c>
      <c r="V29" s="643">
        <f t="shared" si="33"/>
        <v>19086.893704594473</v>
      </c>
      <c r="W29" s="1546">
        <f>'[25]Oct midyear OJJ'!E29</f>
        <v>0</v>
      </c>
      <c r="X29" s="1187">
        <f t="shared" si="43"/>
        <v>0</v>
      </c>
      <c r="Y29" s="1546">
        <f>'[25]Feb midyear OJJ '!E29</f>
        <v>0</v>
      </c>
      <c r="Z29" s="1187">
        <f t="shared" si="44"/>
        <v>0</v>
      </c>
      <c r="AA29" s="1187">
        <f t="shared" si="45"/>
        <v>0</v>
      </c>
      <c r="AB29" s="1187">
        <f t="shared" si="46"/>
        <v>19086.893704594473</v>
      </c>
      <c r="AC29" s="1187">
        <f>'[23]Oct midyear adj_OJJ'!$K28</f>
        <v>-9.2579137328713692</v>
      </c>
      <c r="AD29" s="643">
        <f t="shared" si="47"/>
        <v>19077.635790861601</v>
      </c>
      <c r="AE29" s="643">
        <f>8*1579+1580+1580</f>
        <v>15792</v>
      </c>
      <c r="AF29" s="643">
        <f t="shared" si="48"/>
        <v>3285.635790861601</v>
      </c>
      <c r="AG29" s="643">
        <f t="shared" si="49"/>
        <v>1643</v>
      </c>
      <c r="AH29" s="644">
        <f t="shared" si="50"/>
        <v>71977.225395751506</v>
      </c>
      <c r="AI29" s="629"/>
      <c r="AJ29" s="630"/>
      <c r="AK29" s="644">
        <f t="shared" si="34"/>
        <v>6104</v>
      </c>
    </row>
    <row r="30" spans="1:37">
      <c r="A30" s="636">
        <v>24</v>
      </c>
      <c r="B30" s="637" t="s">
        <v>125</v>
      </c>
      <c r="C30" s="638">
        <f>'[24]Summary for MFP'!$E30</f>
        <v>1.872987</v>
      </c>
      <c r="D30" s="639">
        <f>'Table 3 Levels 1&amp;2'!AP31</f>
        <v>3508.5693357190785</v>
      </c>
      <c r="E30" s="639">
        <f t="shared" si="31"/>
        <v>4618.6251707488436</v>
      </c>
      <c r="F30" s="639">
        <f t="shared" si="35"/>
        <v>6088.9725626110385</v>
      </c>
      <c r="G30" s="640">
        <f t="shared" si="36"/>
        <v>11404.566453127161</v>
      </c>
      <c r="H30" s="629"/>
      <c r="I30" s="1499">
        <f>'[1]Oct midyear OJJ'!I30</f>
        <v>0</v>
      </c>
      <c r="J30" s="1499">
        <f>'[25]Feb midyear OJJ '!I30</f>
        <v>0</v>
      </c>
      <c r="K30" s="1499">
        <f t="shared" si="37"/>
        <v>0</v>
      </c>
      <c r="L30" s="639">
        <f t="shared" si="38"/>
        <v>11404.566453127161</v>
      </c>
      <c r="M30" s="1178">
        <f>'[23]Oct midyear adj_OJJ'!$I29</f>
        <v>0</v>
      </c>
      <c r="N30" s="640">
        <f t="shared" si="39"/>
        <v>11404.566453127161</v>
      </c>
      <c r="O30" s="1030">
        <f>8*949+950+950</f>
        <v>9492</v>
      </c>
      <c r="P30" s="640">
        <f t="shared" si="40"/>
        <v>1912.5664531271614</v>
      </c>
      <c r="Q30" s="640">
        <f t="shared" si="41"/>
        <v>956</v>
      </c>
      <c r="R30" s="631">
        <f>'Table 3 Levels 1&amp;2'!AS31</f>
        <v>23864330.699999999</v>
      </c>
      <c r="S30" s="641">
        <f>'Table 3 Levels 1&amp;2'!C31</f>
        <v>4471</v>
      </c>
      <c r="T30" s="641">
        <f t="shared" si="32"/>
        <v>4472.8729869999997</v>
      </c>
      <c r="U30" s="642">
        <f t="shared" si="42"/>
        <v>5335.3472744161336</v>
      </c>
      <c r="V30" s="643">
        <f t="shared" si="33"/>
        <v>9993.0360854668506</v>
      </c>
      <c r="W30" s="1546">
        <f>'[25]Oct midyear OJJ'!E30</f>
        <v>0</v>
      </c>
      <c r="X30" s="1187">
        <f t="shared" si="43"/>
        <v>0</v>
      </c>
      <c r="Y30" s="1546">
        <f>'[25]Feb midyear OJJ '!E30</f>
        <v>0</v>
      </c>
      <c r="Z30" s="1187">
        <f t="shared" si="44"/>
        <v>0</v>
      </c>
      <c r="AA30" s="1187">
        <f t="shared" si="45"/>
        <v>0</v>
      </c>
      <c r="AB30" s="1187">
        <f t="shared" si="46"/>
        <v>9993.0360854668506</v>
      </c>
      <c r="AC30" s="1187">
        <f>'[23]Oct midyear adj_OJJ'!$K29</f>
        <v>0</v>
      </c>
      <c r="AD30" s="643">
        <f t="shared" si="47"/>
        <v>9993.0360854668506</v>
      </c>
      <c r="AE30" s="643">
        <f>8*835+836+836</f>
        <v>8352</v>
      </c>
      <c r="AF30" s="643">
        <f t="shared" si="48"/>
        <v>1641.0360854668506</v>
      </c>
      <c r="AG30" s="643">
        <f t="shared" si="49"/>
        <v>821</v>
      </c>
      <c r="AH30" s="644">
        <f t="shared" si="50"/>
        <v>21397.602538594012</v>
      </c>
      <c r="AI30" s="629"/>
      <c r="AJ30" s="630"/>
      <c r="AK30" s="644">
        <f t="shared" si="34"/>
        <v>1777</v>
      </c>
    </row>
    <row r="31" spans="1:37">
      <c r="A31" s="647">
        <v>25</v>
      </c>
      <c r="B31" s="648" t="s">
        <v>126</v>
      </c>
      <c r="C31" s="649">
        <f>'[24]Summary for MFP'!$E31</f>
        <v>0.39566400000000002</v>
      </c>
      <c r="D31" s="650">
        <f>'Table 3 Levels 1&amp;2'!AP32</f>
        <v>4530.3319743221919</v>
      </c>
      <c r="E31" s="650">
        <f t="shared" si="31"/>
        <v>5963.657344729213</v>
      </c>
      <c r="F31" s="650">
        <f t="shared" si="35"/>
        <v>7434.0047365914079</v>
      </c>
      <c r="G31" s="651">
        <f t="shared" si="36"/>
        <v>2941.368050098703</v>
      </c>
      <c r="H31" s="630"/>
      <c r="I31" s="1500">
        <f>'[1]Oct midyear OJJ'!I31</f>
        <v>0</v>
      </c>
      <c r="J31" s="1500">
        <f>'[25]Feb midyear OJJ '!I31</f>
        <v>0</v>
      </c>
      <c r="K31" s="1500">
        <f t="shared" si="37"/>
        <v>0</v>
      </c>
      <c r="L31" s="650">
        <f t="shared" si="38"/>
        <v>2941.368050098703</v>
      </c>
      <c r="M31" s="1179">
        <f>'[23]Oct midyear adj_OJJ'!$I30</f>
        <v>0</v>
      </c>
      <c r="N31" s="651">
        <f t="shared" si="39"/>
        <v>2941.368050098703</v>
      </c>
      <c r="O31" s="1033">
        <f>8*244+244+244</f>
        <v>2440</v>
      </c>
      <c r="P31" s="651">
        <f t="shared" si="40"/>
        <v>501.36805009870295</v>
      </c>
      <c r="Q31" s="651">
        <f t="shared" si="41"/>
        <v>251</v>
      </c>
      <c r="R31" s="653">
        <f>'Table 3 Levels 1&amp;2'!AS32</f>
        <v>9686249.4000000004</v>
      </c>
      <c r="S31" s="654">
        <f>'Table 3 Levels 1&amp;2'!C32</f>
        <v>2226</v>
      </c>
      <c r="T31" s="654">
        <f t="shared" si="32"/>
        <v>2226.3956640000001</v>
      </c>
      <c r="U31" s="655">
        <f t="shared" si="42"/>
        <v>4350.6415129274164</v>
      </c>
      <c r="V31" s="656">
        <f t="shared" si="33"/>
        <v>1721.3922235709133</v>
      </c>
      <c r="W31" s="1547">
        <f>'[25]Oct midyear OJJ'!E31</f>
        <v>0</v>
      </c>
      <c r="X31" s="1188">
        <f t="shared" si="43"/>
        <v>0</v>
      </c>
      <c r="Y31" s="1547">
        <f>'[25]Feb midyear OJJ '!E31</f>
        <v>0</v>
      </c>
      <c r="Z31" s="1188">
        <f t="shared" si="44"/>
        <v>0</v>
      </c>
      <c r="AA31" s="1188">
        <f t="shared" si="45"/>
        <v>0</v>
      </c>
      <c r="AB31" s="1188">
        <f t="shared" si="46"/>
        <v>1721.3922235709133</v>
      </c>
      <c r="AC31" s="1188">
        <f>'[23]Oct midyear adj_OJJ'!$K30</f>
        <v>0</v>
      </c>
      <c r="AD31" s="656">
        <f t="shared" si="47"/>
        <v>1721.3922235709133</v>
      </c>
      <c r="AE31" s="656">
        <f>8*144+144+144</f>
        <v>1440</v>
      </c>
      <c r="AF31" s="656">
        <f t="shared" si="48"/>
        <v>281.3922235709133</v>
      </c>
      <c r="AG31" s="656">
        <f t="shared" si="49"/>
        <v>141</v>
      </c>
      <c r="AH31" s="657">
        <f t="shared" si="50"/>
        <v>4662.7602736696163</v>
      </c>
      <c r="AI31" s="630"/>
      <c r="AJ31" s="630"/>
      <c r="AK31" s="657">
        <f t="shared" si="34"/>
        <v>392</v>
      </c>
    </row>
    <row r="32" spans="1:37">
      <c r="A32" s="624">
        <v>26</v>
      </c>
      <c r="B32" s="625" t="s">
        <v>127</v>
      </c>
      <c r="C32" s="626">
        <f>'[24]Summary for MFP'!$E32</f>
        <v>34.762673999999997</v>
      </c>
      <c r="D32" s="627">
        <f>'Table 3 Levels 1&amp;2'!AP33</f>
        <v>3967.4693486320971</v>
      </c>
      <c r="E32" s="627">
        <f t="shared" si="31"/>
        <v>5222.7138883123089</v>
      </c>
      <c r="F32" s="627">
        <f t="shared" si="35"/>
        <v>6693.0612801745037</v>
      </c>
      <c r="G32" s="628">
        <f t="shared" si="36"/>
        <v>232668.70734472893</v>
      </c>
      <c r="H32" s="629"/>
      <c r="I32" s="1498">
        <f>'[1]Oct midyear OJJ'!I32</f>
        <v>-481.90041217253497</v>
      </c>
      <c r="J32" s="1498">
        <f>'[25]Feb midyear OJJ '!I32</f>
        <v>0</v>
      </c>
      <c r="K32" s="1498">
        <f t="shared" si="37"/>
        <v>-481.90041217253497</v>
      </c>
      <c r="L32" s="627">
        <f t="shared" si="38"/>
        <v>232186.80693255638</v>
      </c>
      <c r="M32" s="1177">
        <f>'[23]Oct midyear adj_OJJ'!$I31</f>
        <v>1750.7460820959707</v>
      </c>
      <c r="N32" s="628">
        <f t="shared" si="39"/>
        <v>233937.55301465237</v>
      </c>
      <c r="O32" s="972">
        <f>8*19588+19468+19468</f>
        <v>195640</v>
      </c>
      <c r="P32" s="628">
        <f t="shared" si="40"/>
        <v>38297.553014652367</v>
      </c>
      <c r="Q32" s="628">
        <f t="shared" si="41"/>
        <v>19149</v>
      </c>
      <c r="R32" s="631">
        <f>'Table 3 Levels 1&amp;2'!AS33</f>
        <v>213245080.80000001</v>
      </c>
      <c r="S32" s="632">
        <f>'Table 3 Levels 1&amp;2'!C33</f>
        <v>43806</v>
      </c>
      <c r="T32" s="632">
        <f t="shared" si="32"/>
        <v>43840.762673999998</v>
      </c>
      <c r="U32" s="633">
        <f t="shared" si="42"/>
        <v>4864.0823697728729</v>
      </c>
      <c r="V32" s="634">
        <f t="shared" si="33"/>
        <v>169088.50972956183</v>
      </c>
      <c r="W32" s="1545">
        <f>'[25]Oct midyear OJJ'!E32</f>
        <v>-7.1999999999995623E-2</v>
      </c>
      <c r="X32" s="1186">
        <f t="shared" si="43"/>
        <v>-350.21393062362557</v>
      </c>
      <c r="Y32" s="1545">
        <f>'[25]Feb midyear OJJ '!E32</f>
        <v>0</v>
      </c>
      <c r="Z32" s="1186">
        <f t="shared" si="44"/>
        <v>0</v>
      </c>
      <c r="AA32" s="1186">
        <f t="shared" si="45"/>
        <v>-350.21393062362557</v>
      </c>
      <c r="AB32" s="1186">
        <f t="shared" si="46"/>
        <v>168738.2957989382</v>
      </c>
      <c r="AC32" s="1186">
        <f>'[23]Oct midyear adj_OJJ'!$K31</f>
        <v>1273.2061128002128</v>
      </c>
      <c r="AD32" s="634">
        <f t="shared" si="47"/>
        <v>170011.50191173842</v>
      </c>
      <c r="AE32" s="634">
        <f>8*14130+14042+14042</f>
        <v>141124</v>
      </c>
      <c r="AF32" s="634">
        <f t="shared" si="48"/>
        <v>28887.501911738422</v>
      </c>
      <c r="AG32" s="634">
        <f t="shared" si="49"/>
        <v>14444</v>
      </c>
      <c r="AH32" s="635">
        <f t="shared" si="50"/>
        <v>403949.05492639076</v>
      </c>
      <c r="AI32" s="629"/>
      <c r="AJ32" s="630"/>
      <c r="AK32" s="635">
        <f t="shared" si="34"/>
        <v>33593</v>
      </c>
    </row>
    <row r="33" spans="1:37">
      <c r="A33" s="636">
        <v>27</v>
      </c>
      <c r="B33" s="637" t="s">
        <v>128</v>
      </c>
      <c r="C33" s="659">
        <f>'[24]Summary for MFP'!$E33</f>
        <v>2.64</v>
      </c>
      <c r="D33" s="660">
        <f>'Table 3 Levels 1&amp;2'!AP34</f>
        <v>6366.2339475481112</v>
      </c>
      <c r="E33" s="660">
        <f t="shared" si="31"/>
        <v>8380.4096597667231</v>
      </c>
      <c r="F33" s="660">
        <f t="shared" si="35"/>
        <v>9850.7570516289179</v>
      </c>
      <c r="G33" s="661">
        <f t="shared" si="36"/>
        <v>26005.998616300345</v>
      </c>
      <c r="H33" s="662"/>
      <c r="I33" s="1501">
        <f>'[1]Oct midyear OJJ'!I33</f>
        <v>0</v>
      </c>
      <c r="J33" s="1501">
        <f>'[25]Feb midyear OJJ '!I33</f>
        <v>0</v>
      </c>
      <c r="K33" s="1501">
        <f t="shared" si="37"/>
        <v>0</v>
      </c>
      <c r="L33" s="660">
        <f t="shared" si="38"/>
        <v>26005.998616300345</v>
      </c>
      <c r="M33" s="1180">
        <f>'[23]Oct midyear adj_OJJ'!$I32</f>
        <v>0</v>
      </c>
      <c r="N33" s="661">
        <f t="shared" si="39"/>
        <v>26005.998616300345</v>
      </c>
      <c r="O33" s="1526">
        <f>8*2161+2162+2162</f>
        <v>21612</v>
      </c>
      <c r="P33" s="661">
        <f t="shared" si="40"/>
        <v>4393.998616300345</v>
      </c>
      <c r="Q33" s="661">
        <f t="shared" si="41"/>
        <v>2197</v>
      </c>
      <c r="R33" s="631">
        <f>'Table 3 Levels 1&amp;2'!AS34</f>
        <v>17151807</v>
      </c>
      <c r="S33" s="664">
        <f>'Table 3 Levels 1&amp;2'!C34</f>
        <v>5612</v>
      </c>
      <c r="T33" s="664">
        <f t="shared" si="32"/>
        <v>5614.64</v>
      </c>
      <c r="U33" s="642">
        <f t="shared" si="42"/>
        <v>3054.8364632460853</v>
      </c>
      <c r="V33" s="643">
        <f t="shared" si="33"/>
        <v>8064.7682629696656</v>
      </c>
      <c r="W33" s="1546">
        <f>'[25]Oct midyear OJJ'!E33</f>
        <v>0</v>
      </c>
      <c r="X33" s="1187">
        <f t="shared" si="43"/>
        <v>0</v>
      </c>
      <c r="Y33" s="1546">
        <f>'[25]Feb midyear OJJ '!E33</f>
        <v>0</v>
      </c>
      <c r="Z33" s="1187">
        <f t="shared" si="44"/>
        <v>0</v>
      </c>
      <c r="AA33" s="1187">
        <f t="shared" si="45"/>
        <v>0</v>
      </c>
      <c r="AB33" s="1187">
        <f t="shared" si="46"/>
        <v>8064.7682629696656</v>
      </c>
      <c r="AC33" s="1187">
        <f>'[23]Oct midyear adj_OJJ'!$K32</f>
        <v>0</v>
      </c>
      <c r="AD33" s="643">
        <f t="shared" si="47"/>
        <v>8064.7682629696656</v>
      </c>
      <c r="AE33" s="643">
        <f>8*672+671+671</f>
        <v>6718</v>
      </c>
      <c r="AF33" s="643">
        <f t="shared" si="48"/>
        <v>1346.7682629696656</v>
      </c>
      <c r="AG33" s="643">
        <f t="shared" si="49"/>
        <v>673</v>
      </c>
      <c r="AH33" s="644">
        <f t="shared" si="50"/>
        <v>34070.766879270013</v>
      </c>
      <c r="AI33" s="662"/>
      <c r="AJ33" s="663"/>
      <c r="AK33" s="644">
        <f t="shared" si="34"/>
        <v>2870</v>
      </c>
    </row>
    <row r="34" spans="1:37">
      <c r="A34" s="636">
        <v>28</v>
      </c>
      <c r="B34" s="637" t="s">
        <v>129</v>
      </c>
      <c r="C34" s="659">
        <f>'[24]Summary for MFP'!$E34</f>
        <v>7.5385470000000003</v>
      </c>
      <c r="D34" s="660">
        <f>'Table 3 Levels 1&amp;2'!AP35</f>
        <v>3919.9181074272333</v>
      </c>
      <c r="E34" s="660">
        <f t="shared" si="31"/>
        <v>5160.1181866132501</v>
      </c>
      <c r="F34" s="660">
        <f t="shared" si="35"/>
        <v>6630.465578475445</v>
      </c>
      <c r="G34" s="661">
        <f t="shared" si="36"/>
        <v>49984.07639521933</v>
      </c>
      <c r="H34" s="662"/>
      <c r="I34" s="1501">
        <f>'[1]Oct midyear OJJ'!I34</f>
        <v>0</v>
      </c>
      <c r="J34" s="1501">
        <f>'[25]Feb midyear OJJ '!I34</f>
        <v>0</v>
      </c>
      <c r="K34" s="1501">
        <f t="shared" si="37"/>
        <v>0</v>
      </c>
      <c r="L34" s="660">
        <f t="shared" si="38"/>
        <v>49984.07639521933</v>
      </c>
      <c r="M34" s="1180">
        <f>'[23]Oct midyear adj_OJJ'!$I33</f>
        <v>0</v>
      </c>
      <c r="N34" s="661">
        <f t="shared" si="39"/>
        <v>49984.07639521933</v>
      </c>
      <c r="O34" s="1526">
        <f>8*4145+4144+4144</f>
        <v>41448</v>
      </c>
      <c r="P34" s="661">
        <f t="shared" si="40"/>
        <v>8536.0763952193302</v>
      </c>
      <c r="Q34" s="661">
        <f t="shared" si="41"/>
        <v>4268</v>
      </c>
      <c r="R34" s="631">
        <f>'Table 3 Levels 1&amp;2'!AS35</f>
        <v>123133339.59999999</v>
      </c>
      <c r="S34" s="664">
        <f>'Table 3 Levels 1&amp;2'!C35</f>
        <v>29640</v>
      </c>
      <c r="T34" s="664">
        <f t="shared" si="32"/>
        <v>29647.538547</v>
      </c>
      <c r="U34" s="642">
        <f t="shared" si="42"/>
        <v>4153.2398854899111</v>
      </c>
      <c r="V34" s="643">
        <f t="shared" si="33"/>
        <v>31309.394079040314</v>
      </c>
      <c r="W34" s="1546">
        <f>'[25]Oct midyear OJJ'!E34</f>
        <v>0</v>
      </c>
      <c r="X34" s="1187">
        <f t="shared" si="43"/>
        <v>0</v>
      </c>
      <c r="Y34" s="1546">
        <f>'[25]Feb midyear OJJ '!E34</f>
        <v>0</v>
      </c>
      <c r="Z34" s="1187">
        <f t="shared" si="44"/>
        <v>0</v>
      </c>
      <c r="AA34" s="1187">
        <f t="shared" si="45"/>
        <v>0</v>
      </c>
      <c r="AB34" s="1187">
        <f t="shared" si="46"/>
        <v>31309.394079040314</v>
      </c>
      <c r="AC34" s="1187">
        <f>'[23]Oct midyear adj_OJJ'!$K33</f>
        <v>0</v>
      </c>
      <c r="AD34" s="643">
        <f t="shared" si="47"/>
        <v>31309.394079040314</v>
      </c>
      <c r="AE34" s="643">
        <f>8*2617+2617+2617</f>
        <v>26170</v>
      </c>
      <c r="AF34" s="643">
        <f t="shared" si="48"/>
        <v>5139.394079040314</v>
      </c>
      <c r="AG34" s="643">
        <f t="shared" si="49"/>
        <v>2570</v>
      </c>
      <c r="AH34" s="644">
        <f t="shared" si="50"/>
        <v>81293.470474259637</v>
      </c>
      <c r="AI34" s="662"/>
      <c r="AJ34" s="663"/>
      <c r="AK34" s="644">
        <f t="shared" si="34"/>
        <v>6838</v>
      </c>
    </row>
    <row r="35" spans="1:37">
      <c r="A35" s="636">
        <v>29</v>
      </c>
      <c r="B35" s="637" t="s">
        <v>130</v>
      </c>
      <c r="C35" s="659">
        <f>'[24]Summary for MFP'!$E35</f>
        <v>18.863023999999999</v>
      </c>
      <c r="D35" s="660">
        <f>'Table 3 Levels 1&amp;2'!AP36</f>
        <v>4710.6068884029264</v>
      </c>
      <c r="E35" s="660">
        <f t="shared" si="31"/>
        <v>6200.9683898185413</v>
      </c>
      <c r="F35" s="660">
        <f t="shared" si="35"/>
        <v>7671.3157816807361</v>
      </c>
      <c r="G35" s="661">
        <f t="shared" si="36"/>
        <v>144704.21370142247</v>
      </c>
      <c r="H35" s="662"/>
      <c r="I35" s="1501">
        <f>'[1]Oct midyear OJJ'!I35</f>
        <v>0</v>
      </c>
      <c r="J35" s="1501">
        <f>'[25]Feb midyear OJJ '!I35</f>
        <v>0</v>
      </c>
      <c r="K35" s="1501">
        <f t="shared" si="37"/>
        <v>0</v>
      </c>
      <c r="L35" s="660">
        <f t="shared" si="38"/>
        <v>144704.21370142247</v>
      </c>
      <c r="M35" s="1180">
        <f>'[23]Oct midyear adj_OJJ'!$I34</f>
        <v>-306.57326769710357</v>
      </c>
      <c r="N35" s="661">
        <f t="shared" si="39"/>
        <v>144397.64043372538</v>
      </c>
      <c r="O35" s="1526">
        <f>8*12010+12010+12010</f>
        <v>120100</v>
      </c>
      <c r="P35" s="661">
        <f t="shared" si="40"/>
        <v>24297.640433725377</v>
      </c>
      <c r="Q35" s="661">
        <f t="shared" si="41"/>
        <v>12149</v>
      </c>
      <c r="R35" s="631">
        <f>'Table 3 Levels 1&amp;2'!AS36</f>
        <v>48609258</v>
      </c>
      <c r="S35" s="664">
        <f>'Table 3 Levels 1&amp;2'!C36</f>
        <v>13531</v>
      </c>
      <c r="T35" s="664">
        <f t="shared" si="32"/>
        <v>13549.863024</v>
      </c>
      <c r="U35" s="642">
        <f t="shared" si="42"/>
        <v>3587.4353795238781</v>
      </c>
      <c r="V35" s="643">
        <f t="shared" si="33"/>
        <v>67669.879662408013</v>
      </c>
      <c r="W35" s="1546">
        <f>'[25]Oct midyear OJJ'!E35</f>
        <v>0</v>
      </c>
      <c r="X35" s="1187">
        <f t="shared" si="43"/>
        <v>0</v>
      </c>
      <c r="Y35" s="1546">
        <f>'[25]Feb midyear OJJ '!E35</f>
        <v>0</v>
      </c>
      <c r="Z35" s="1187">
        <f t="shared" si="44"/>
        <v>0</v>
      </c>
      <c r="AA35" s="1187">
        <f t="shared" si="45"/>
        <v>0</v>
      </c>
      <c r="AB35" s="1187">
        <f t="shared" si="46"/>
        <v>67669.879662408013</v>
      </c>
      <c r="AC35" s="1187">
        <f>'[23]Oct midyear adj_OJJ'!$K34</f>
        <v>-132.57561638622104</v>
      </c>
      <c r="AD35" s="643">
        <f t="shared" si="47"/>
        <v>67537.304046021789</v>
      </c>
      <c r="AE35" s="643">
        <f>8*5632+5633+5633</f>
        <v>56322</v>
      </c>
      <c r="AF35" s="643">
        <f t="shared" si="48"/>
        <v>11215.304046021789</v>
      </c>
      <c r="AG35" s="643">
        <f t="shared" si="49"/>
        <v>5608</v>
      </c>
      <c r="AH35" s="644">
        <f t="shared" si="50"/>
        <v>211934.94447974715</v>
      </c>
      <c r="AI35" s="662"/>
      <c r="AJ35" s="663"/>
      <c r="AK35" s="644">
        <f t="shared" si="34"/>
        <v>17757</v>
      </c>
    </row>
    <row r="36" spans="1:37">
      <c r="A36" s="647">
        <v>30</v>
      </c>
      <c r="B36" s="648" t="s">
        <v>131</v>
      </c>
      <c r="C36" s="665">
        <f>'[24]Summary for MFP'!$E36</f>
        <v>0</v>
      </c>
      <c r="D36" s="666">
        <f>'Table 3 Levels 1&amp;2'!AP37</f>
        <v>6336.6866936689939</v>
      </c>
      <c r="E36" s="666">
        <f t="shared" si="31"/>
        <v>8341.5141221744379</v>
      </c>
      <c r="F36" s="666">
        <f t="shared" si="35"/>
        <v>9811.8615140366328</v>
      </c>
      <c r="G36" s="667">
        <f t="shared" si="36"/>
        <v>0</v>
      </c>
      <c r="H36" s="663"/>
      <c r="I36" s="1502">
        <f>'[1]Oct midyear OJJ'!I36</f>
        <v>0</v>
      </c>
      <c r="J36" s="1502">
        <f>'[25]Feb midyear OJJ '!I36</f>
        <v>0</v>
      </c>
      <c r="K36" s="1502">
        <f t="shared" si="37"/>
        <v>0</v>
      </c>
      <c r="L36" s="666">
        <f t="shared" si="38"/>
        <v>0</v>
      </c>
      <c r="M36" s="1181">
        <f>'[23]Oct midyear adj_OJJ'!$I35</f>
        <v>0</v>
      </c>
      <c r="N36" s="667">
        <f t="shared" si="39"/>
        <v>0</v>
      </c>
      <c r="O36" s="1527">
        <f>8*0</f>
        <v>0</v>
      </c>
      <c r="P36" s="667">
        <f t="shared" si="40"/>
        <v>0</v>
      </c>
      <c r="Q36" s="667">
        <f t="shared" si="41"/>
        <v>0</v>
      </c>
      <c r="R36" s="653">
        <f>'Table 3 Levels 1&amp;2'!AS37</f>
        <v>7275926</v>
      </c>
      <c r="S36" s="668">
        <f>'Table 3 Levels 1&amp;2'!C37</f>
        <v>2435</v>
      </c>
      <c r="T36" s="668">
        <f t="shared" si="32"/>
        <v>2435</v>
      </c>
      <c r="U36" s="655">
        <f t="shared" si="42"/>
        <v>2988.0599589322383</v>
      </c>
      <c r="V36" s="656">
        <f t="shared" si="33"/>
        <v>0</v>
      </c>
      <c r="W36" s="1547">
        <f>'[25]Oct midyear OJJ'!E36</f>
        <v>0</v>
      </c>
      <c r="X36" s="1188">
        <f t="shared" si="43"/>
        <v>0</v>
      </c>
      <c r="Y36" s="1547">
        <f>'[25]Feb midyear OJJ '!E36</f>
        <v>0</v>
      </c>
      <c r="Z36" s="1188">
        <f t="shared" si="44"/>
        <v>0</v>
      </c>
      <c r="AA36" s="1188">
        <f t="shared" si="45"/>
        <v>0</v>
      </c>
      <c r="AB36" s="1188">
        <f t="shared" si="46"/>
        <v>0</v>
      </c>
      <c r="AC36" s="1188">
        <f>'[23]Oct midyear adj_OJJ'!$K35</f>
        <v>0</v>
      </c>
      <c r="AD36" s="656">
        <f t="shared" si="47"/>
        <v>0</v>
      </c>
      <c r="AE36" s="656">
        <f>8*0</f>
        <v>0</v>
      </c>
      <c r="AF36" s="656">
        <f t="shared" si="48"/>
        <v>0</v>
      </c>
      <c r="AG36" s="656">
        <f t="shared" si="49"/>
        <v>0</v>
      </c>
      <c r="AH36" s="657">
        <f t="shared" si="50"/>
        <v>0</v>
      </c>
      <c r="AI36" s="663"/>
      <c r="AJ36" s="663"/>
      <c r="AK36" s="657">
        <f t="shared" si="34"/>
        <v>0</v>
      </c>
    </row>
    <row r="37" spans="1:37">
      <c r="A37" s="624">
        <v>31</v>
      </c>
      <c r="B37" s="625" t="s">
        <v>132</v>
      </c>
      <c r="C37" s="669">
        <f>'[24]Summary for MFP'!$E37</f>
        <v>1.496</v>
      </c>
      <c r="D37" s="670">
        <f>'Table 3 Levels 1&amp;2'!AP38</f>
        <v>4794.8948910447334</v>
      </c>
      <c r="E37" s="670">
        <f t="shared" si="31"/>
        <v>6311.9237831266828</v>
      </c>
      <c r="F37" s="670">
        <f t="shared" si="35"/>
        <v>7782.2711749888776</v>
      </c>
      <c r="G37" s="671">
        <f t="shared" si="36"/>
        <v>11642.277677783361</v>
      </c>
      <c r="H37" s="662"/>
      <c r="I37" s="1503">
        <f>'[1]Oct midyear OJJ'!I37</f>
        <v>0</v>
      </c>
      <c r="J37" s="1503">
        <f>'[25]Feb midyear OJJ '!I37</f>
        <v>0</v>
      </c>
      <c r="K37" s="1503">
        <f t="shared" si="37"/>
        <v>0</v>
      </c>
      <c r="L37" s="670">
        <f t="shared" si="38"/>
        <v>11642.277677783361</v>
      </c>
      <c r="M37" s="1182">
        <f>'[23]Oct midyear adj_OJJ'!$I36</f>
        <v>-712.28452504350162</v>
      </c>
      <c r="N37" s="671">
        <f t="shared" si="39"/>
        <v>10929.993152739858</v>
      </c>
      <c r="O37" s="1528">
        <f>8*908+909+909</f>
        <v>9082</v>
      </c>
      <c r="P37" s="671">
        <f t="shared" si="40"/>
        <v>1847.9931527398585</v>
      </c>
      <c r="Q37" s="671">
        <f t="shared" si="41"/>
        <v>924</v>
      </c>
      <c r="R37" s="631">
        <f>'Table 3 Levels 1&amp;2'!AS38</f>
        <v>24170145.399999999</v>
      </c>
      <c r="S37" s="672">
        <f>'Table 3 Levels 1&amp;2'!C38</f>
        <v>6456</v>
      </c>
      <c r="T37" s="672">
        <f t="shared" si="32"/>
        <v>6457.4960000000001</v>
      </c>
      <c r="U37" s="633">
        <f t="shared" si="42"/>
        <v>3742.9594071757842</v>
      </c>
      <c r="V37" s="634">
        <f t="shared" si="33"/>
        <v>5599.4672731349729</v>
      </c>
      <c r="W37" s="1545">
        <f>'[25]Oct midyear OJJ'!E37</f>
        <v>0</v>
      </c>
      <c r="X37" s="1186">
        <f t="shared" si="43"/>
        <v>0</v>
      </c>
      <c r="Y37" s="1545">
        <f>'[25]Feb midyear OJJ '!E37</f>
        <v>0</v>
      </c>
      <c r="Z37" s="1186">
        <f t="shared" si="44"/>
        <v>0</v>
      </c>
      <c r="AA37" s="1186">
        <f t="shared" si="45"/>
        <v>0</v>
      </c>
      <c r="AB37" s="1186">
        <f t="shared" si="46"/>
        <v>5599.4672731349729</v>
      </c>
      <c r="AC37" s="1186">
        <f>'[23]Oct midyear adj_OJJ'!$K36</f>
        <v>-337.6427002562337</v>
      </c>
      <c r="AD37" s="634">
        <f t="shared" si="47"/>
        <v>5261.8245728787388</v>
      </c>
      <c r="AE37" s="634">
        <f>8*440+439+439</f>
        <v>4398</v>
      </c>
      <c r="AF37" s="634">
        <f t="shared" si="48"/>
        <v>863.82457287873876</v>
      </c>
      <c r="AG37" s="634">
        <f t="shared" si="49"/>
        <v>432</v>
      </c>
      <c r="AH37" s="635">
        <f t="shared" si="50"/>
        <v>16191.817725618597</v>
      </c>
      <c r="AI37" s="662"/>
      <c r="AJ37" s="663"/>
      <c r="AK37" s="635">
        <f t="shared" si="34"/>
        <v>1356</v>
      </c>
    </row>
    <row r="38" spans="1:37">
      <c r="A38" s="636">
        <v>32</v>
      </c>
      <c r="B38" s="637" t="s">
        <v>133</v>
      </c>
      <c r="C38" s="659">
        <f>'[24]Summary for MFP'!$E38</f>
        <v>3.2524009999999999</v>
      </c>
      <c r="D38" s="660">
        <f>'Table 3 Levels 1&amp;2'!AP39</f>
        <v>6045.765792777268</v>
      </c>
      <c r="E38" s="660">
        <f t="shared" si="31"/>
        <v>7958.5504503791153</v>
      </c>
      <c r="F38" s="660">
        <f t="shared" si="35"/>
        <v>9428.8978422413093</v>
      </c>
      <c r="G38" s="661">
        <f t="shared" si="36"/>
        <v>30666.556771003474</v>
      </c>
      <c r="H38" s="662"/>
      <c r="I38" s="1501">
        <f>'[1]Oct midyear OJJ'!I38</f>
        <v>0</v>
      </c>
      <c r="J38" s="1501">
        <f>'[25]Feb midyear OJJ '!I38</f>
        <v>0</v>
      </c>
      <c r="K38" s="1501">
        <f t="shared" si="37"/>
        <v>0</v>
      </c>
      <c r="L38" s="660">
        <f t="shared" si="38"/>
        <v>30666.556771003474</v>
      </c>
      <c r="M38" s="1180">
        <f>'[23]Oct midyear adj_OJJ'!$I37</f>
        <v>0</v>
      </c>
      <c r="N38" s="661">
        <f t="shared" si="39"/>
        <v>30666.556771003474</v>
      </c>
      <c r="O38" s="1526">
        <f>8*2552+2551+2551</f>
        <v>25518</v>
      </c>
      <c r="P38" s="661">
        <f t="shared" si="40"/>
        <v>5148.5567710034738</v>
      </c>
      <c r="Q38" s="661">
        <f t="shared" si="41"/>
        <v>2574</v>
      </c>
      <c r="R38" s="631">
        <f>'Table 3 Levels 1&amp;2'!AS39</f>
        <v>47078718.5</v>
      </c>
      <c r="S38" s="664">
        <f>'Table 3 Levels 1&amp;2'!C39</f>
        <v>24424</v>
      </c>
      <c r="T38" s="664">
        <f t="shared" si="32"/>
        <v>24427.252401000002</v>
      </c>
      <c r="U38" s="642">
        <f t="shared" si="42"/>
        <v>1927.3030681941409</v>
      </c>
      <c r="V38" s="643">
        <f t="shared" si="33"/>
        <v>6268.3624262976919</v>
      </c>
      <c r="W38" s="1546">
        <f>'[25]Oct midyear OJJ'!E38</f>
        <v>0</v>
      </c>
      <c r="X38" s="1187">
        <f t="shared" si="43"/>
        <v>0</v>
      </c>
      <c r="Y38" s="1546">
        <f>'[25]Feb midyear OJJ '!E38</f>
        <v>0</v>
      </c>
      <c r="Z38" s="1187">
        <f t="shared" si="44"/>
        <v>0</v>
      </c>
      <c r="AA38" s="1187">
        <f t="shared" si="45"/>
        <v>0</v>
      </c>
      <c r="AB38" s="1187">
        <f t="shared" si="46"/>
        <v>6268.3624262976919</v>
      </c>
      <c r="AC38" s="1187">
        <f>'[23]Oct midyear adj_OJJ'!$K37</f>
        <v>0</v>
      </c>
      <c r="AD38" s="643">
        <f t="shared" si="47"/>
        <v>6268.3624262976919</v>
      </c>
      <c r="AE38" s="643">
        <f>8*522+521+521</f>
        <v>5218</v>
      </c>
      <c r="AF38" s="643">
        <f t="shared" si="48"/>
        <v>1050.3624262976919</v>
      </c>
      <c r="AG38" s="643">
        <f t="shared" si="49"/>
        <v>525</v>
      </c>
      <c r="AH38" s="644">
        <f t="shared" si="50"/>
        <v>36934.919197301162</v>
      </c>
      <c r="AI38" s="662"/>
      <c r="AJ38" s="663"/>
      <c r="AK38" s="644">
        <f t="shared" si="34"/>
        <v>3099</v>
      </c>
    </row>
    <row r="39" spans="1:37">
      <c r="A39" s="636">
        <v>33</v>
      </c>
      <c r="B39" s="637" t="s">
        <v>134</v>
      </c>
      <c r="C39" s="659">
        <f>'[24]Summary for MFP'!$E39</f>
        <v>5.1424180000000002</v>
      </c>
      <c r="D39" s="660">
        <f>'Table 3 Levels 1&amp;2'!AP40</f>
        <v>6048.9816020235803</v>
      </c>
      <c r="E39" s="660">
        <f t="shared" si="31"/>
        <v>7962.7836907994024</v>
      </c>
      <c r="F39" s="660">
        <f t="shared" si="35"/>
        <v>9433.1310826615972</v>
      </c>
      <c r="G39" s="661">
        <f t="shared" si="36"/>
        <v>48509.103075838488</v>
      </c>
      <c r="H39" s="662"/>
      <c r="I39" s="1501">
        <f>'[1]Oct midyear OJJ'!I39</f>
        <v>0</v>
      </c>
      <c r="J39" s="1501">
        <f>'[25]Feb midyear OJJ '!I39</f>
        <v>0</v>
      </c>
      <c r="K39" s="1501">
        <f t="shared" si="37"/>
        <v>0</v>
      </c>
      <c r="L39" s="660">
        <f t="shared" si="38"/>
        <v>48509.103075838488</v>
      </c>
      <c r="M39" s="1180">
        <f>'[23]Oct midyear adj_OJJ'!$I38</f>
        <v>0</v>
      </c>
      <c r="N39" s="661">
        <f t="shared" si="39"/>
        <v>48509.103075838488</v>
      </c>
      <c r="O39" s="1526">
        <f>8*4040+4040+4040</f>
        <v>40400</v>
      </c>
      <c r="P39" s="661">
        <f t="shared" si="40"/>
        <v>8109.1030758384877</v>
      </c>
      <c r="Q39" s="661">
        <f t="shared" si="41"/>
        <v>4055</v>
      </c>
      <c r="R39" s="631">
        <f>'Table 3 Levels 1&amp;2'!AS40</f>
        <v>5533546.5</v>
      </c>
      <c r="S39" s="664">
        <f>'Table 3 Levels 1&amp;2'!C40</f>
        <v>1866</v>
      </c>
      <c r="T39" s="664">
        <f t="shared" ref="T39:T70" si="51">C39+S39</f>
        <v>1871.1424179999999</v>
      </c>
      <c r="U39" s="642">
        <f t="shared" si="42"/>
        <v>2957.3090999212227</v>
      </c>
      <c r="V39" s="643">
        <f t="shared" ref="V39:V70" si="52">C39*U39</f>
        <v>15207.719546998695</v>
      </c>
      <c r="W39" s="1546">
        <f>'[25]Oct midyear OJJ'!E39</f>
        <v>0</v>
      </c>
      <c r="X39" s="1187">
        <f t="shared" si="43"/>
        <v>0</v>
      </c>
      <c r="Y39" s="1546">
        <f>'[25]Feb midyear OJJ '!E39</f>
        <v>0</v>
      </c>
      <c r="Z39" s="1187">
        <f t="shared" si="44"/>
        <v>0</v>
      </c>
      <c r="AA39" s="1187">
        <f t="shared" si="45"/>
        <v>0</v>
      </c>
      <c r="AB39" s="1187">
        <f t="shared" si="46"/>
        <v>15207.719546998695</v>
      </c>
      <c r="AC39" s="1187">
        <f>'[23]Oct midyear adj_OJJ'!$K38</f>
        <v>0</v>
      </c>
      <c r="AD39" s="643">
        <f t="shared" si="47"/>
        <v>15207.719546998695</v>
      </c>
      <c r="AE39" s="643">
        <f>8*1183+1184+1184</f>
        <v>11832</v>
      </c>
      <c r="AF39" s="643">
        <f t="shared" si="48"/>
        <v>3375.7195469986946</v>
      </c>
      <c r="AG39" s="643">
        <f t="shared" si="49"/>
        <v>1688</v>
      </c>
      <c r="AH39" s="644">
        <f t="shared" si="50"/>
        <v>63716.822622837179</v>
      </c>
      <c r="AI39" s="662"/>
      <c r="AJ39" s="663"/>
      <c r="AK39" s="644">
        <f t="shared" ref="AK39:AK75" si="53">Q39+AG39</f>
        <v>5743</v>
      </c>
    </row>
    <row r="40" spans="1:37">
      <c r="A40" s="636">
        <v>34</v>
      </c>
      <c r="B40" s="637" t="s">
        <v>135</v>
      </c>
      <c r="C40" s="659">
        <f>'[24]Summary for MFP'!$E40</f>
        <v>2.077636</v>
      </c>
      <c r="D40" s="660">
        <f>'Table 3 Levels 1&amp;2'!AP41</f>
        <v>6508.2564974979196</v>
      </c>
      <c r="E40" s="660">
        <f t="shared" si="31"/>
        <v>8567.3658978362437</v>
      </c>
      <c r="F40" s="660">
        <f t="shared" si="35"/>
        <v>10037.713289698439</v>
      </c>
      <c r="G40" s="661">
        <f t="shared" si="36"/>
        <v>20854.714488355905</v>
      </c>
      <c r="H40" s="662"/>
      <c r="I40" s="1501">
        <f>'[1]Oct midyear OJJ'!I40</f>
        <v>0</v>
      </c>
      <c r="J40" s="1501">
        <f>'[25]Feb midyear OJJ '!I40</f>
        <v>0</v>
      </c>
      <c r="K40" s="1501">
        <f t="shared" si="37"/>
        <v>0</v>
      </c>
      <c r="L40" s="660">
        <f t="shared" si="38"/>
        <v>20854.714488355905</v>
      </c>
      <c r="M40" s="1180">
        <f>'[23]Oct midyear adj_OJJ'!$I39</f>
        <v>0</v>
      </c>
      <c r="N40" s="661">
        <f t="shared" si="39"/>
        <v>20854.714488355905</v>
      </c>
      <c r="O40" s="1526">
        <f>8*1733+1734+1734</f>
        <v>17332</v>
      </c>
      <c r="P40" s="661">
        <f t="shared" si="40"/>
        <v>3522.7144883559049</v>
      </c>
      <c r="Q40" s="661">
        <f t="shared" si="41"/>
        <v>1761</v>
      </c>
      <c r="R40" s="631">
        <f>'Table 3 Levels 1&amp;2'!AS41</f>
        <v>12102443</v>
      </c>
      <c r="S40" s="664">
        <f>'Table 3 Levels 1&amp;2'!C41</f>
        <v>4326</v>
      </c>
      <c r="T40" s="664">
        <f t="shared" si="51"/>
        <v>4328.077636</v>
      </c>
      <c r="U40" s="642">
        <f t="shared" si="42"/>
        <v>2796.2629180527019</v>
      </c>
      <c r="V40" s="643">
        <f t="shared" si="52"/>
        <v>5809.6165040113437</v>
      </c>
      <c r="W40" s="1546">
        <f>'[25]Oct midyear OJJ'!E40</f>
        <v>0</v>
      </c>
      <c r="X40" s="1187">
        <f t="shared" si="43"/>
        <v>0</v>
      </c>
      <c r="Y40" s="1546">
        <f>'[25]Feb midyear OJJ '!E40</f>
        <v>0</v>
      </c>
      <c r="Z40" s="1187">
        <f t="shared" si="44"/>
        <v>0</v>
      </c>
      <c r="AA40" s="1187">
        <f t="shared" si="45"/>
        <v>0</v>
      </c>
      <c r="AB40" s="1187">
        <f t="shared" si="46"/>
        <v>5809.6165040113437</v>
      </c>
      <c r="AC40" s="1187">
        <f>'[23]Oct midyear adj_OJJ'!$K39</f>
        <v>0</v>
      </c>
      <c r="AD40" s="643">
        <f t="shared" si="47"/>
        <v>5809.6165040113437</v>
      </c>
      <c r="AE40" s="643">
        <f>8*483+484+484</f>
        <v>4832</v>
      </c>
      <c r="AF40" s="643">
        <f t="shared" si="48"/>
        <v>977.61650401134375</v>
      </c>
      <c r="AG40" s="643">
        <f t="shared" si="49"/>
        <v>489</v>
      </c>
      <c r="AH40" s="644">
        <f t="shared" si="50"/>
        <v>26664.33099236725</v>
      </c>
      <c r="AI40" s="662"/>
      <c r="AJ40" s="663"/>
      <c r="AK40" s="644">
        <f t="shared" si="53"/>
        <v>2250</v>
      </c>
    </row>
    <row r="41" spans="1:37">
      <c r="A41" s="647">
        <v>35</v>
      </c>
      <c r="B41" s="648" t="s">
        <v>136</v>
      </c>
      <c r="C41" s="665">
        <f>'[24]Summary for MFP'!$E41</f>
        <v>1.296</v>
      </c>
      <c r="D41" s="666">
        <f>'Table 3 Levels 1&amp;2'!AP42</f>
        <v>5386.6530787736137</v>
      </c>
      <c r="E41" s="666">
        <f t="shared" si="31"/>
        <v>7090.9049003065084</v>
      </c>
      <c r="F41" s="666">
        <f t="shared" si="35"/>
        <v>8561.2522921687032</v>
      </c>
      <c r="G41" s="667">
        <f t="shared" si="36"/>
        <v>11095.38297065064</v>
      </c>
      <c r="H41" s="663"/>
      <c r="I41" s="1502">
        <f>'[1]Oct midyear OJJ'!I41</f>
        <v>513.6751375301227</v>
      </c>
      <c r="J41" s="1502">
        <f>'[25]Feb midyear OJJ '!I41</f>
        <v>0</v>
      </c>
      <c r="K41" s="1502">
        <f t="shared" si="37"/>
        <v>513.6751375301227</v>
      </c>
      <c r="L41" s="666">
        <f t="shared" si="38"/>
        <v>11609.058108180763</v>
      </c>
      <c r="M41" s="1181">
        <f>'[23]Oct midyear adj_OJJ'!$I40</f>
        <v>0</v>
      </c>
      <c r="N41" s="667">
        <f t="shared" si="39"/>
        <v>11609.058108180763</v>
      </c>
      <c r="O41" s="1527">
        <f>8*922+1050+1050</f>
        <v>9476</v>
      </c>
      <c r="P41" s="667">
        <f t="shared" si="40"/>
        <v>2133.0581081807632</v>
      </c>
      <c r="Q41" s="667">
        <f t="shared" si="41"/>
        <v>1067</v>
      </c>
      <c r="R41" s="653">
        <f>'Table 3 Levels 1&amp;2'!AS42</f>
        <v>21012488</v>
      </c>
      <c r="S41" s="668">
        <f>'Table 3 Levels 1&amp;2'!C42</f>
        <v>6458</v>
      </c>
      <c r="T41" s="668">
        <f t="shared" si="51"/>
        <v>6459.2960000000003</v>
      </c>
      <c r="U41" s="655">
        <f t="shared" si="42"/>
        <v>3253.061633961348</v>
      </c>
      <c r="V41" s="656">
        <f t="shared" si="52"/>
        <v>4215.9678776139071</v>
      </c>
      <c r="W41" s="1547">
        <f>'[25]Oct midyear OJJ'!E41</f>
        <v>6.0000000000000053E-2</v>
      </c>
      <c r="X41" s="1188">
        <f t="shared" si="43"/>
        <v>195.18369803768104</v>
      </c>
      <c r="Y41" s="1547">
        <f>'[25]Feb midyear OJJ '!E41</f>
        <v>0</v>
      </c>
      <c r="Z41" s="1188">
        <f t="shared" si="44"/>
        <v>0</v>
      </c>
      <c r="AA41" s="1188">
        <f t="shared" si="45"/>
        <v>195.18369803768104</v>
      </c>
      <c r="AB41" s="1188">
        <f t="shared" si="46"/>
        <v>4411.1515756515882</v>
      </c>
      <c r="AC41" s="1188">
        <f>'[23]Oct midyear adj_OJJ'!$K40</f>
        <v>0</v>
      </c>
      <c r="AD41" s="656">
        <f t="shared" si="47"/>
        <v>4411.1515756515882</v>
      </c>
      <c r="AE41" s="656">
        <f>8*351+400+400</f>
        <v>3608</v>
      </c>
      <c r="AF41" s="656">
        <f t="shared" si="48"/>
        <v>803.15157565158825</v>
      </c>
      <c r="AG41" s="656">
        <f t="shared" si="49"/>
        <v>402</v>
      </c>
      <c r="AH41" s="657">
        <f t="shared" si="50"/>
        <v>16020.209683832352</v>
      </c>
      <c r="AI41" s="663"/>
      <c r="AJ41" s="663"/>
      <c r="AK41" s="657">
        <f t="shared" si="53"/>
        <v>1469</v>
      </c>
    </row>
    <row r="42" spans="1:37">
      <c r="A42" s="624">
        <v>36</v>
      </c>
      <c r="B42" s="625" t="s">
        <v>137</v>
      </c>
      <c r="C42" s="669">
        <f>'[24]Summary for MFP'!$E42</f>
        <v>33.180213000000002</v>
      </c>
      <c r="D42" s="670">
        <f>'Table 3 Levels 1&amp;2'!AP43</f>
        <v>4182.1938916541503</v>
      </c>
      <c r="E42" s="670">
        <f t="shared" si="31"/>
        <v>5505.3738799741077</v>
      </c>
      <c r="F42" s="670">
        <f t="shared" si="35"/>
        <v>6975.7212718363025</v>
      </c>
      <c r="G42" s="671">
        <f t="shared" si="36"/>
        <v>231455.91762815943</v>
      </c>
      <c r="H42" s="662"/>
      <c r="I42" s="1503">
        <f>'[1]Oct midyear OJJ'!I42</f>
        <v>223.22308069873711</v>
      </c>
      <c r="J42" s="1503">
        <f>'[25]Feb midyear OJJ '!I42</f>
        <v>0</v>
      </c>
      <c r="K42" s="1503">
        <f t="shared" si="37"/>
        <v>223.22308069873711</v>
      </c>
      <c r="L42" s="670">
        <f t="shared" si="38"/>
        <v>231679.14070885818</v>
      </c>
      <c r="M42" s="1182">
        <f>'[23]Oct midyear adj_OJJ'!$I41</f>
        <v>-202.58416683958689</v>
      </c>
      <c r="N42" s="671">
        <f t="shared" si="39"/>
        <v>231476.5565420186</v>
      </c>
      <c r="O42" s="1528">
        <f>8*19455+19511+19511</f>
        <v>194662</v>
      </c>
      <c r="P42" s="671">
        <f t="shared" si="40"/>
        <v>36814.556542018603</v>
      </c>
      <c r="Q42" s="671">
        <f t="shared" si="41"/>
        <v>18407</v>
      </c>
      <c r="R42" s="631">
        <f>'Table 3 Levels 1&amp;2'!AS43</f>
        <v>180928198.09999999</v>
      </c>
      <c r="S42" s="672">
        <f>'Table 3 Levels 1&amp;2'!C43</f>
        <v>41738</v>
      </c>
      <c r="T42" s="672">
        <f t="shared" si="51"/>
        <v>41771.180213</v>
      </c>
      <c r="U42" s="633">
        <f t="shared" si="42"/>
        <v>4331.4121644973693</v>
      </c>
      <c r="V42" s="634">
        <f t="shared" si="52"/>
        <v>143717.17820881377</v>
      </c>
      <c r="W42" s="1545">
        <f>'[25]Oct midyear OJJ'!E42</f>
        <v>3.1999999999996476E-2</v>
      </c>
      <c r="X42" s="1186">
        <f t="shared" si="43"/>
        <v>138.60518926390054</v>
      </c>
      <c r="Y42" s="1545">
        <f>'[25]Feb midyear OJJ '!E42</f>
        <v>0</v>
      </c>
      <c r="Z42" s="1186">
        <f t="shared" si="44"/>
        <v>0</v>
      </c>
      <c r="AA42" s="1186">
        <f t="shared" si="45"/>
        <v>138.60518926390054</v>
      </c>
      <c r="AB42" s="1186">
        <f t="shared" si="46"/>
        <v>143855.78339807768</v>
      </c>
      <c r="AC42" s="1186">
        <f>'[23]Oct midyear adj_OJJ'!$K41</f>
        <v>-134.68491346585924</v>
      </c>
      <c r="AD42" s="634">
        <f t="shared" si="47"/>
        <v>143721.09848461181</v>
      </c>
      <c r="AE42" s="634">
        <f>8*11839+11872+11872</f>
        <v>118456</v>
      </c>
      <c r="AF42" s="634">
        <f t="shared" si="48"/>
        <v>25265.098484611808</v>
      </c>
      <c r="AG42" s="634">
        <f t="shared" si="49"/>
        <v>12633</v>
      </c>
      <c r="AH42" s="635">
        <f t="shared" si="50"/>
        <v>375197.65502663038</v>
      </c>
      <c r="AI42" s="662"/>
      <c r="AJ42" s="663"/>
      <c r="AK42" s="635">
        <f t="shared" si="53"/>
        <v>31040</v>
      </c>
    </row>
    <row r="43" spans="1:37">
      <c r="A43" s="636">
        <v>37</v>
      </c>
      <c r="B43" s="637" t="s">
        <v>138</v>
      </c>
      <c r="C43" s="659">
        <f>'[24]Summary for MFP'!$E43</f>
        <v>2.6449859999999998</v>
      </c>
      <c r="D43" s="660">
        <f>'Table 3 Levels 1&amp;2'!AP44</f>
        <v>6145.562339769358</v>
      </c>
      <c r="E43" s="660">
        <f t="shared" si="31"/>
        <v>8089.921046137064</v>
      </c>
      <c r="F43" s="660">
        <f t="shared" si="35"/>
        <v>9560.2684379992588</v>
      </c>
      <c r="G43" s="661">
        <f t="shared" si="36"/>
        <v>25286.776174749906</v>
      </c>
      <c r="H43" s="662"/>
      <c r="I43" s="1501">
        <f>'[1]Oct midyear OJJ'!I43</f>
        <v>0</v>
      </c>
      <c r="J43" s="1501">
        <f>'[25]Feb midyear OJJ '!I43</f>
        <v>0</v>
      </c>
      <c r="K43" s="1501">
        <f t="shared" si="37"/>
        <v>0</v>
      </c>
      <c r="L43" s="660">
        <f t="shared" si="38"/>
        <v>25286.776174749906</v>
      </c>
      <c r="M43" s="1180">
        <f>'[23]Oct midyear adj_OJJ'!$I42</f>
        <v>-359.43545318330757</v>
      </c>
      <c r="N43" s="661">
        <f t="shared" si="39"/>
        <v>24927.340721566597</v>
      </c>
      <c r="O43" s="1526">
        <f>8*2075+2075+2075</f>
        <v>20750</v>
      </c>
      <c r="P43" s="661">
        <f t="shared" si="40"/>
        <v>4177.3407215665975</v>
      </c>
      <c r="Q43" s="661">
        <f t="shared" si="41"/>
        <v>2089</v>
      </c>
      <c r="R43" s="631">
        <f>'Table 3 Levels 1&amp;2'!AS44</f>
        <v>55190390.799999997</v>
      </c>
      <c r="S43" s="664">
        <f>'Table 3 Levels 1&amp;2'!C44</f>
        <v>19261</v>
      </c>
      <c r="T43" s="664">
        <f t="shared" si="51"/>
        <v>19263.644985999999</v>
      </c>
      <c r="U43" s="642">
        <f t="shared" si="42"/>
        <v>2865.0024873335256</v>
      </c>
      <c r="V43" s="643">
        <f t="shared" si="52"/>
        <v>7577.8914689623516</v>
      </c>
      <c r="W43" s="1546">
        <f>'[25]Oct midyear OJJ'!E43</f>
        <v>0</v>
      </c>
      <c r="X43" s="1187">
        <f t="shared" si="43"/>
        <v>0</v>
      </c>
      <c r="Y43" s="1546">
        <f>'[25]Feb midyear OJJ '!E43</f>
        <v>0</v>
      </c>
      <c r="Z43" s="1187">
        <f t="shared" si="44"/>
        <v>0</v>
      </c>
      <c r="AA43" s="1187">
        <f t="shared" si="45"/>
        <v>0</v>
      </c>
      <c r="AB43" s="1187">
        <f t="shared" si="46"/>
        <v>7577.8914689623516</v>
      </c>
      <c r="AC43" s="1187">
        <f>'[23]Oct midyear adj_OJJ'!$K42</f>
        <v>-106.74967995699511</v>
      </c>
      <c r="AD43" s="643">
        <f t="shared" si="47"/>
        <v>7471.1417890053563</v>
      </c>
      <c r="AE43" s="643">
        <f>8*622+621+621</f>
        <v>6218</v>
      </c>
      <c r="AF43" s="643">
        <f t="shared" si="48"/>
        <v>1253.1417890053563</v>
      </c>
      <c r="AG43" s="643">
        <f t="shared" si="49"/>
        <v>627</v>
      </c>
      <c r="AH43" s="644">
        <f t="shared" si="50"/>
        <v>32398.482510571954</v>
      </c>
      <c r="AI43" s="662"/>
      <c r="AJ43" s="663"/>
      <c r="AK43" s="644">
        <f t="shared" si="53"/>
        <v>2716</v>
      </c>
    </row>
    <row r="44" spans="1:37">
      <c r="A44" s="636">
        <v>38</v>
      </c>
      <c r="B44" s="637" t="s">
        <v>139</v>
      </c>
      <c r="C44" s="659">
        <f>'[24]Summary for MFP'!$E44</f>
        <v>0.49322500000000002</v>
      </c>
      <c r="D44" s="660">
        <f>'Table 3 Levels 1&amp;2'!AP45</f>
        <v>3126.7537408885346</v>
      </c>
      <c r="E44" s="660">
        <f t="shared" si="31"/>
        <v>4116.0091617346243</v>
      </c>
      <c r="F44" s="660">
        <f t="shared" si="35"/>
        <v>5586.3565535968191</v>
      </c>
      <c r="G44" s="661">
        <f t="shared" si="36"/>
        <v>2755.3307111477911</v>
      </c>
      <c r="H44" s="662"/>
      <c r="I44" s="1501">
        <f>'[1]Oct midyear OJJ'!I44</f>
        <v>0</v>
      </c>
      <c r="J44" s="1501">
        <f>'[25]Feb midyear OJJ '!I44</f>
        <v>0</v>
      </c>
      <c r="K44" s="1501">
        <f t="shared" si="37"/>
        <v>0</v>
      </c>
      <c r="L44" s="660">
        <f t="shared" si="38"/>
        <v>2755.3307111477911</v>
      </c>
      <c r="M44" s="1180">
        <f>'[23]Oct midyear adj_OJJ'!$I43</f>
        <v>0</v>
      </c>
      <c r="N44" s="661">
        <f t="shared" si="39"/>
        <v>2755.3307111477911</v>
      </c>
      <c r="O44" s="1526">
        <f>8*224+223+223</f>
        <v>2238</v>
      </c>
      <c r="P44" s="661">
        <f t="shared" si="40"/>
        <v>517.33071114779113</v>
      </c>
      <c r="Q44" s="661">
        <f t="shared" si="41"/>
        <v>259</v>
      </c>
      <c r="R44" s="631">
        <f>'Table 3 Levels 1&amp;2'!AS45</f>
        <v>23144340.600000001</v>
      </c>
      <c r="S44" s="664">
        <f>'Table 3 Levels 1&amp;2'!C45</f>
        <v>3759</v>
      </c>
      <c r="T44" s="664">
        <f t="shared" si="51"/>
        <v>3759.4932250000002</v>
      </c>
      <c r="U44" s="642">
        <f t="shared" si="42"/>
        <v>6156.2394756011299</v>
      </c>
      <c r="V44" s="643">
        <f t="shared" si="52"/>
        <v>3036.4112153533674</v>
      </c>
      <c r="W44" s="1546">
        <f>'[25]Oct midyear OJJ'!E44</f>
        <v>0</v>
      </c>
      <c r="X44" s="1187">
        <f t="shared" si="43"/>
        <v>0</v>
      </c>
      <c r="Y44" s="1546">
        <f>'[25]Feb midyear OJJ '!E44</f>
        <v>0</v>
      </c>
      <c r="Z44" s="1187">
        <f t="shared" si="44"/>
        <v>0</v>
      </c>
      <c r="AA44" s="1187">
        <f t="shared" si="45"/>
        <v>0</v>
      </c>
      <c r="AB44" s="1187">
        <f t="shared" si="46"/>
        <v>3036.4112153533674</v>
      </c>
      <c r="AC44" s="1187">
        <f>'[23]Oct midyear adj_OJJ'!$K43</f>
        <v>0</v>
      </c>
      <c r="AD44" s="643">
        <f t="shared" si="47"/>
        <v>3036.4112153533674</v>
      </c>
      <c r="AE44" s="643">
        <f>8*250+249+249</f>
        <v>2498</v>
      </c>
      <c r="AF44" s="643">
        <f t="shared" si="48"/>
        <v>538.41121535336742</v>
      </c>
      <c r="AG44" s="643">
        <f t="shared" si="49"/>
        <v>269</v>
      </c>
      <c r="AH44" s="644">
        <f t="shared" si="50"/>
        <v>5791.7419265011586</v>
      </c>
      <c r="AI44" s="662"/>
      <c r="AJ44" s="663"/>
      <c r="AK44" s="644">
        <f t="shared" si="53"/>
        <v>528</v>
      </c>
    </row>
    <row r="45" spans="1:37">
      <c r="A45" s="636">
        <v>39</v>
      </c>
      <c r="B45" s="637" t="s">
        <v>140</v>
      </c>
      <c r="C45" s="659">
        <f>'[24]Summary for MFP'!$E45</f>
        <v>1.88697</v>
      </c>
      <c r="D45" s="660">
        <f>'Table 3 Levels 1&amp;2'!AP46</f>
        <v>4471.8949753547986</v>
      </c>
      <c r="E45" s="660">
        <f t="shared" si="31"/>
        <v>5886.7318037156383</v>
      </c>
      <c r="F45" s="660">
        <f t="shared" si="35"/>
        <v>7357.0791955778332</v>
      </c>
      <c r="G45" s="661">
        <f t="shared" si="36"/>
        <v>13882.587729679504</v>
      </c>
      <c r="H45" s="662"/>
      <c r="I45" s="1501">
        <f>'[1]Oct midyear OJJ'!I45</f>
        <v>0</v>
      </c>
      <c r="J45" s="1501">
        <f>'[25]Feb midyear OJJ '!I45</f>
        <v>0</v>
      </c>
      <c r="K45" s="1501">
        <f t="shared" si="37"/>
        <v>0</v>
      </c>
      <c r="L45" s="660">
        <f t="shared" si="38"/>
        <v>13882.587729679504</v>
      </c>
      <c r="M45" s="1180">
        <f>'[23]Oct midyear adj_OJJ'!$I44</f>
        <v>0</v>
      </c>
      <c r="N45" s="661">
        <f t="shared" si="39"/>
        <v>13882.587729679504</v>
      </c>
      <c r="O45" s="1526">
        <f>8*1156+1155+1155</f>
        <v>11558</v>
      </c>
      <c r="P45" s="661">
        <f t="shared" si="40"/>
        <v>2324.5877296795043</v>
      </c>
      <c r="Q45" s="661">
        <f t="shared" si="41"/>
        <v>1162</v>
      </c>
      <c r="R45" s="631">
        <f>'Table 3 Levels 1&amp;2'!AS46</f>
        <v>11927659</v>
      </c>
      <c r="S45" s="664">
        <f>'Table 3 Levels 1&amp;2'!C46</f>
        <v>2872</v>
      </c>
      <c r="T45" s="664">
        <f t="shared" si="51"/>
        <v>2873.88697</v>
      </c>
      <c r="U45" s="642">
        <f t="shared" si="42"/>
        <v>4150.357729622192</v>
      </c>
      <c r="V45" s="643">
        <f t="shared" si="52"/>
        <v>7831.6005250651879</v>
      </c>
      <c r="W45" s="1546">
        <f>'[25]Oct midyear OJJ'!E45</f>
        <v>0</v>
      </c>
      <c r="X45" s="1187">
        <f t="shared" si="43"/>
        <v>0</v>
      </c>
      <c r="Y45" s="1546">
        <f>'[25]Feb midyear OJJ '!E45</f>
        <v>0</v>
      </c>
      <c r="Z45" s="1187">
        <f t="shared" si="44"/>
        <v>0</v>
      </c>
      <c r="AA45" s="1187">
        <f t="shared" si="45"/>
        <v>0</v>
      </c>
      <c r="AB45" s="1187">
        <f t="shared" si="46"/>
        <v>7831.6005250651879</v>
      </c>
      <c r="AC45" s="1187">
        <f>'[23]Oct midyear adj_OJJ'!$K44</f>
        <v>0</v>
      </c>
      <c r="AD45" s="643">
        <f t="shared" si="47"/>
        <v>7831.6005250651879</v>
      </c>
      <c r="AE45" s="643">
        <f>8*650+651+651</f>
        <v>6502</v>
      </c>
      <c r="AF45" s="643">
        <f t="shared" si="48"/>
        <v>1329.6005250651879</v>
      </c>
      <c r="AG45" s="643">
        <f t="shared" si="49"/>
        <v>665</v>
      </c>
      <c r="AH45" s="644">
        <f t="shared" si="50"/>
        <v>21714.188254744691</v>
      </c>
      <c r="AI45" s="662"/>
      <c r="AJ45" s="663"/>
      <c r="AK45" s="644">
        <f t="shared" si="53"/>
        <v>1827</v>
      </c>
    </row>
    <row r="46" spans="1:37">
      <c r="A46" s="647">
        <v>40</v>
      </c>
      <c r="B46" s="648" t="s">
        <v>141</v>
      </c>
      <c r="C46" s="665">
        <f>'[24]Summary for MFP'!$E46</f>
        <v>3.7218420000000001</v>
      </c>
      <c r="D46" s="666">
        <f>'Table 3 Levels 1&amp;2'!AP47</f>
        <v>5597.4112455953718</v>
      </c>
      <c r="E46" s="666">
        <f t="shared" si="31"/>
        <v>7368.3436170831728</v>
      </c>
      <c r="F46" s="666">
        <f t="shared" si="35"/>
        <v>8838.6910089453668</v>
      </c>
      <c r="G46" s="667">
        <f t="shared" si="36"/>
        <v>32896.211422115244</v>
      </c>
      <c r="H46" s="663"/>
      <c r="I46" s="1502">
        <f>'[1]Oct midyear OJJ'!I46</f>
        <v>-848.514336858756</v>
      </c>
      <c r="J46" s="1502">
        <f>'[25]Feb midyear OJJ '!I46</f>
        <v>0</v>
      </c>
      <c r="K46" s="1502">
        <f t="shared" si="37"/>
        <v>-848.514336858756</v>
      </c>
      <c r="L46" s="666">
        <f t="shared" si="38"/>
        <v>32047.697085256488</v>
      </c>
      <c r="M46" s="1181">
        <f>'[23]Oct midyear adj_OJJ'!$I45</f>
        <v>-5180.8949039852941</v>
      </c>
      <c r="N46" s="667">
        <f t="shared" si="39"/>
        <v>26866.802181271196</v>
      </c>
      <c r="O46" s="1527">
        <f>8*2302+2091+2091</f>
        <v>22598</v>
      </c>
      <c r="P46" s="667">
        <f t="shared" si="40"/>
        <v>4268.8021812711959</v>
      </c>
      <c r="Q46" s="667">
        <f t="shared" si="41"/>
        <v>2134</v>
      </c>
      <c r="R46" s="653">
        <f>'Table 3 Levels 1&amp;2'!AS47</f>
        <v>66859423.5</v>
      </c>
      <c r="S46" s="668">
        <f>'Table 3 Levels 1&amp;2'!C47</f>
        <v>22989</v>
      </c>
      <c r="T46" s="668">
        <f t="shared" si="51"/>
        <v>22992.721841999999</v>
      </c>
      <c r="U46" s="655">
        <f t="shared" si="42"/>
        <v>2907.8516218932477</v>
      </c>
      <c r="V46" s="656">
        <f t="shared" si="52"/>
        <v>10822.564296130409</v>
      </c>
      <c r="W46" s="1547">
        <f>'[25]Oct midyear OJJ'!E46</f>
        <v>-9.6000000000000085E-2</v>
      </c>
      <c r="X46" s="1188">
        <f t="shared" si="43"/>
        <v>-279.153755701752</v>
      </c>
      <c r="Y46" s="1547">
        <f>'[25]Feb midyear OJJ '!E46</f>
        <v>0</v>
      </c>
      <c r="Z46" s="1188">
        <f t="shared" si="44"/>
        <v>0</v>
      </c>
      <c r="AA46" s="1188">
        <f t="shared" si="45"/>
        <v>-279.153755701752</v>
      </c>
      <c r="AB46" s="1188">
        <f t="shared" si="46"/>
        <v>10543.410540428657</v>
      </c>
      <c r="AC46" s="1188">
        <f>'[23]Oct midyear adj_OJJ'!$K45</f>
        <v>-1691.485293720702</v>
      </c>
      <c r="AD46" s="656">
        <f t="shared" si="47"/>
        <v>8851.925246707955</v>
      </c>
      <c r="AE46" s="656">
        <f>8*760+689+689</f>
        <v>7458</v>
      </c>
      <c r="AF46" s="656">
        <f t="shared" si="48"/>
        <v>1393.925246707955</v>
      </c>
      <c r="AG46" s="656">
        <f t="shared" si="49"/>
        <v>697</v>
      </c>
      <c r="AH46" s="657">
        <f t="shared" si="50"/>
        <v>35718.727427979153</v>
      </c>
      <c r="AI46" s="663"/>
      <c r="AJ46" s="663"/>
      <c r="AK46" s="657">
        <f t="shared" si="53"/>
        <v>2831</v>
      </c>
    </row>
    <row r="47" spans="1:37">
      <c r="A47" s="624">
        <v>41</v>
      </c>
      <c r="B47" s="625" t="s">
        <v>142</v>
      </c>
      <c r="C47" s="669">
        <f>'[24]Summary for MFP'!$E47</f>
        <v>0.752</v>
      </c>
      <c r="D47" s="670">
        <f>'Table 3 Levels 1&amp;2'!AP48</f>
        <v>2499.079425925926</v>
      </c>
      <c r="E47" s="670">
        <f t="shared" si="31"/>
        <v>3289.7486228290436</v>
      </c>
      <c r="F47" s="670">
        <f t="shared" si="35"/>
        <v>4760.0960146912385</v>
      </c>
      <c r="G47" s="671">
        <f t="shared" si="36"/>
        <v>3579.5922030478114</v>
      </c>
      <c r="H47" s="662"/>
      <c r="I47" s="1503">
        <f>'[1]Oct midyear OJJ'!I47</f>
        <v>456.96921741035879</v>
      </c>
      <c r="J47" s="1503">
        <f>'[25]Feb midyear OJJ '!I47</f>
        <v>0</v>
      </c>
      <c r="K47" s="1503">
        <f t="shared" si="37"/>
        <v>456.96921741035879</v>
      </c>
      <c r="L47" s="670">
        <f t="shared" si="38"/>
        <v>4036.5614204581702</v>
      </c>
      <c r="M47" s="1182">
        <f>'[23]Oct midyear adj_OJJ'!$I46</f>
        <v>0</v>
      </c>
      <c r="N47" s="671">
        <f t="shared" si="39"/>
        <v>4036.5614204581702</v>
      </c>
      <c r="O47" s="1528">
        <f>8*298+412+412</f>
        <v>3208</v>
      </c>
      <c r="P47" s="671">
        <f t="shared" si="40"/>
        <v>828.56142045817023</v>
      </c>
      <c r="Q47" s="671">
        <f t="shared" si="41"/>
        <v>414</v>
      </c>
      <c r="R47" s="631">
        <f>'Table 3 Levels 1&amp;2'!AS48</f>
        <v>9000576.9000000004</v>
      </c>
      <c r="S47" s="672">
        <f>'Table 3 Levels 1&amp;2'!C48</f>
        <v>1404</v>
      </c>
      <c r="T47" s="672">
        <f t="shared" si="51"/>
        <v>1404.752</v>
      </c>
      <c r="U47" s="633">
        <f t="shared" si="42"/>
        <v>6407.2355120334414</v>
      </c>
      <c r="V47" s="634">
        <f t="shared" si="52"/>
        <v>4818.2411050491482</v>
      </c>
      <c r="W47" s="1545">
        <f>'[25]Oct midyear OJJ'!E47</f>
        <v>9.5999999999999974E-2</v>
      </c>
      <c r="X47" s="1186">
        <f t="shared" si="43"/>
        <v>615.09460915521026</v>
      </c>
      <c r="Y47" s="1545">
        <f>'[25]Feb midyear OJJ '!E47</f>
        <v>0</v>
      </c>
      <c r="Z47" s="1186">
        <f t="shared" si="44"/>
        <v>0</v>
      </c>
      <c r="AA47" s="1186">
        <f t="shared" si="45"/>
        <v>615.09460915521026</v>
      </c>
      <c r="AB47" s="1186">
        <f t="shared" si="46"/>
        <v>5433.3357142043587</v>
      </c>
      <c r="AC47" s="1186">
        <f>'[23]Oct midyear adj_OJJ'!$K46</f>
        <v>0</v>
      </c>
      <c r="AD47" s="634">
        <f t="shared" si="47"/>
        <v>5433.3357142043587</v>
      </c>
      <c r="AE47" s="634">
        <f>8*402+557+557</f>
        <v>4330</v>
      </c>
      <c r="AF47" s="634">
        <f t="shared" si="48"/>
        <v>1103.3357142043587</v>
      </c>
      <c r="AG47" s="634">
        <f t="shared" si="49"/>
        <v>552</v>
      </c>
      <c r="AH47" s="635">
        <f t="shared" si="50"/>
        <v>9469.8971346625294</v>
      </c>
      <c r="AI47" s="662"/>
      <c r="AJ47" s="663"/>
      <c r="AK47" s="635">
        <f t="shared" si="53"/>
        <v>966</v>
      </c>
    </row>
    <row r="48" spans="1:37">
      <c r="A48" s="636">
        <v>42</v>
      </c>
      <c r="B48" s="637" t="s">
        <v>143</v>
      </c>
      <c r="C48" s="659">
        <f>'[24]Summary for MFP'!$E48</f>
        <v>2.6233050000000002</v>
      </c>
      <c r="D48" s="660">
        <f>'Table 3 Levels 1&amp;2'!AP49</f>
        <v>5793.4926662439593</v>
      </c>
      <c r="E48" s="660">
        <f t="shared" si="31"/>
        <v>7626.4620973719911</v>
      </c>
      <c r="F48" s="660">
        <f t="shared" si="35"/>
        <v>9096.8094892341869</v>
      </c>
      <c r="G48" s="661">
        <f t="shared" si="36"/>
        <v>23863.705817155489</v>
      </c>
      <c r="H48" s="662"/>
      <c r="I48" s="1501">
        <f>'[1]Oct midyear OJJ'!I48</f>
        <v>0</v>
      </c>
      <c r="J48" s="1501">
        <f>'[25]Feb midyear OJJ '!I48</f>
        <v>0</v>
      </c>
      <c r="K48" s="1501">
        <f t="shared" si="37"/>
        <v>0</v>
      </c>
      <c r="L48" s="660">
        <f t="shared" si="38"/>
        <v>23863.705817155489</v>
      </c>
      <c r="M48" s="1180">
        <f>'[23]Oct midyear adj_OJJ'!$I47</f>
        <v>0</v>
      </c>
      <c r="N48" s="661">
        <f t="shared" si="39"/>
        <v>23863.705817155489</v>
      </c>
      <c r="O48" s="1526">
        <f>8*1989+1988+1988</f>
        <v>19888</v>
      </c>
      <c r="P48" s="661">
        <f t="shared" si="40"/>
        <v>3975.7058171554891</v>
      </c>
      <c r="Q48" s="661">
        <f t="shared" si="41"/>
        <v>1988</v>
      </c>
      <c r="R48" s="631">
        <f>'Table 3 Levels 1&amp;2'!AS49</f>
        <v>10455819.5</v>
      </c>
      <c r="S48" s="664">
        <f>'Table 3 Levels 1&amp;2'!C49</f>
        <v>3435</v>
      </c>
      <c r="T48" s="664">
        <f t="shared" si="51"/>
        <v>3437.6233050000001</v>
      </c>
      <c r="U48" s="642">
        <f t="shared" si="42"/>
        <v>3041.5838421830804</v>
      </c>
      <c r="V48" s="643">
        <f t="shared" si="52"/>
        <v>7979.0021011180861</v>
      </c>
      <c r="W48" s="1546">
        <f>'[25]Oct midyear OJJ'!E48</f>
        <v>0</v>
      </c>
      <c r="X48" s="1187">
        <f t="shared" si="43"/>
        <v>0</v>
      </c>
      <c r="Y48" s="1546">
        <f>'[25]Feb midyear OJJ '!E48</f>
        <v>0</v>
      </c>
      <c r="Z48" s="1187">
        <f t="shared" si="44"/>
        <v>0</v>
      </c>
      <c r="AA48" s="1187">
        <f t="shared" si="45"/>
        <v>0</v>
      </c>
      <c r="AB48" s="1187">
        <f t="shared" si="46"/>
        <v>7979.0021011180861</v>
      </c>
      <c r="AC48" s="1187">
        <f>'[23]Oct midyear adj_OJJ'!$K47</f>
        <v>0</v>
      </c>
      <c r="AD48" s="643">
        <f t="shared" si="47"/>
        <v>7979.0021011180861</v>
      </c>
      <c r="AE48" s="643">
        <f>8*596+596+596</f>
        <v>5960</v>
      </c>
      <c r="AF48" s="643">
        <f t="shared" si="48"/>
        <v>2019.0021011180861</v>
      </c>
      <c r="AG48" s="643">
        <f t="shared" si="49"/>
        <v>1010</v>
      </c>
      <c r="AH48" s="644">
        <f t="shared" si="50"/>
        <v>31842.707918273576</v>
      </c>
      <c r="AI48" s="662"/>
      <c r="AJ48" s="663"/>
      <c r="AK48" s="644">
        <f t="shared" si="53"/>
        <v>2998</v>
      </c>
    </row>
    <row r="49" spans="1:37">
      <c r="A49" s="636">
        <v>43</v>
      </c>
      <c r="B49" s="637" t="s">
        <v>144</v>
      </c>
      <c r="C49" s="659">
        <f>'[24]Summary for MFP'!$E49</f>
        <v>0.22026000000000001</v>
      </c>
      <c r="D49" s="660">
        <f>'Table 3 Levels 1&amp;2'!AP50</f>
        <v>6177.0298114211737</v>
      </c>
      <c r="E49" s="660">
        <f t="shared" si="31"/>
        <v>8131.3443280290021</v>
      </c>
      <c r="F49" s="660">
        <f t="shared" si="35"/>
        <v>9601.6917198911979</v>
      </c>
      <c r="G49" s="661">
        <f t="shared" si="36"/>
        <v>2114.8686182232354</v>
      </c>
      <c r="H49" s="662"/>
      <c r="I49" s="1501">
        <f>'[1]Oct midyear OJJ'!I49</f>
        <v>0</v>
      </c>
      <c r="J49" s="1501">
        <f>'[25]Feb midyear OJJ '!I49</f>
        <v>0</v>
      </c>
      <c r="K49" s="1501">
        <f t="shared" si="37"/>
        <v>0</v>
      </c>
      <c r="L49" s="660">
        <f t="shared" si="38"/>
        <v>2114.8686182232354</v>
      </c>
      <c r="M49" s="1180">
        <f>'[23]Oct midyear adj_OJJ'!$I48</f>
        <v>0</v>
      </c>
      <c r="N49" s="661">
        <f t="shared" si="39"/>
        <v>2114.8686182232354</v>
      </c>
      <c r="O49" s="1526">
        <f>8*176+176+176</f>
        <v>1760</v>
      </c>
      <c r="P49" s="661">
        <f t="shared" si="40"/>
        <v>354.86861822323544</v>
      </c>
      <c r="Q49" s="661">
        <f t="shared" si="41"/>
        <v>177</v>
      </c>
      <c r="R49" s="631">
        <f>'Table 3 Levels 1&amp;2'!AS50</f>
        <v>13359637.6</v>
      </c>
      <c r="S49" s="664">
        <f>'Table 3 Levels 1&amp;2'!C50</f>
        <v>3986</v>
      </c>
      <c r="T49" s="664">
        <f t="shared" si="51"/>
        <v>3986.2202600000001</v>
      </c>
      <c r="U49" s="642">
        <f t="shared" si="42"/>
        <v>3351.4549444390209</v>
      </c>
      <c r="V49" s="643">
        <f t="shared" si="52"/>
        <v>738.19146606213883</v>
      </c>
      <c r="W49" s="1546">
        <f>'[25]Oct midyear OJJ'!E49</f>
        <v>0</v>
      </c>
      <c r="X49" s="1187">
        <f t="shared" si="43"/>
        <v>0</v>
      </c>
      <c r="Y49" s="1546">
        <f>'[25]Feb midyear OJJ '!E49</f>
        <v>0</v>
      </c>
      <c r="Z49" s="1187">
        <f t="shared" si="44"/>
        <v>0</v>
      </c>
      <c r="AA49" s="1187">
        <f t="shared" si="45"/>
        <v>0</v>
      </c>
      <c r="AB49" s="1187">
        <f t="shared" si="46"/>
        <v>738.19146606213883</v>
      </c>
      <c r="AC49" s="1187">
        <f>'[23]Oct midyear adj_OJJ'!$K48</f>
        <v>0</v>
      </c>
      <c r="AD49" s="643">
        <f t="shared" si="47"/>
        <v>738.19146606213883</v>
      </c>
      <c r="AE49" s="643">
        <f>8*62+61+61</f>
        <v>618</v>
      </c>
      <c r="AF49" s="643">
        <f t="shared" si="48"/>
        <v>120.19146606213883</v>
      </c>
      <c r="AG49" s="643">
        <f t="shared" si="49"/>
        <v>60</v>
      </c>
      <c r="AH49" s="644">
        <f t="shared" si="50"/>
        <v>2853.0600842853742</v>
      </c>
      <c r="AI49" s="662"/>
      <c r="AJ49" s="663"/>
      <c r="AK49" s="644">
        <f t="shared" si="53"/>
        <v>237</v>
      </c>
    </row>
    <row r="50" spans="1:37">
      <c r="A50" s="636">
        <v>44</v>
      </c>
      <c r="B50" s="637" t="s">
        <v>145</v>
      </c>
      <c r="C50" s="659">
        <f>'[24]Summary for MFP'!$E50</f>
        <v>0.79735500000000004</v>
      </c>
      <c r="D50" s="660">
        <f>'Table 3 Levels 1&amp;2'!AP51</f>
        <v>4786.089172421448</v>
      </c>
      <c r="E50" s="660">
        <f t="shared" si="31"/>
        <v>6300.3320744304938</v>
      </c>
      <c r="F50" s="660">
        <f t="shared" si="35"/>
        <v>7770.6794662926886</v>
      </c>
      <c r="G50" s="661">
        <f t="shared" si="36"/>
        <v>6195.9901258458067</v>
      </c>
      <c r="H50" s="662"/>
      <c r="I50" s="1501">
        <f>'[1]Oct midyear OJJ'!I50</f>
        <v>0</v>
      </c>
      <c r="J50" s="1501">
        <f>'[25]Feb midyear OJJ '!I50</f>
        <v>0</v>
      </c>
      <c r="K50" s="1501">
        <f t="shared" si="37"/>
        <v>0</v>
      </c>
      <c r="L50" s="660">
        <f t="shared" si="38"/>
        <v>6195.9901258458067</v>
      </c>
      <c r="M50" s="1180">
        <f>'[23]Oct midyear adj_OJJ'!$I49</f>
        <v>0</v>
      </c>
      <c r="N50" s="661">
        <f t="shared" si="39"/>
        <v>6195.9901258458067</v>
      </c>
      <c r="O50" s="1526">
        <f>8*515+516+516</f>
        <v>5152</v>
      </c>
      <c r="P50" s="661">
        <f t="shared" si="40"/>
        <v>1043.9901258458067</v>
      </c>
      <c r="Q50" s="661">
        <f t="shared" si="41"/>
        <v>522</v>
      </c>
      <c r="R50" s="631">
        <f>'Table 3 Levels 1&amp;2'!AS51</f>
        <v>22996340</v>
      </c>
      <c r="S50" s="664">
        <f>'Table 3 Levels 1&amp;2'!C51</f>
        <v>5856</v>
      </c>
      <c r="T50" s="664">
        <f t="shared" si="51"/>
        <v>5856.7973549999997</v>
      </c>
      <c r="U50" s="642">
        <f t="shared" si="42"/>
        <v>3926.4360035212453</v>
      </c>
      <c r="V50" s="643">
        <f t="shared" si="52"/>
        <v>3130.7633795876827</v>
      </c>
      <c r="W50" s="1546">
        <f>'[25]Oct midyear OJJ'!E50</f>
        <v>0</v>
      </c>
      <c r="X50" s="1187">
        <f t="shared" si="43"/>
        <v>0</v>
      </c>
      <c r="Y50" s="1546">
        <f>'[25]Feb midyear OJJ '!E50</f>
        <v>0</v>
      </c>
      <c r="Z50" s="1187">
        <f t="shared" si="44"/>
        <v>0</v>
      </c>
      <c r="AA50" s="1187">
        <f t="shared" si="45"/>
        <v>0</v>
      </c>
      <c r="AB50" s="1187">
        <f t="shared" si="46"/>
        <v>3130.7633795876827</v>
      </c>
      <c r="AC50" s="1187">
        <f>'[23]Oct midyear adj_OJJ'!$K49</f>
        <v>0</v>
      </c>
      <c r="AD50" s="643">
        <f t="shared" si="47"/>
        <v>3130.7633795876827</v>
      </c>
      <c r="AE50" s="643">
        <f>8*261+262+262</f>
        <v>2612</v>
      </c>
      <c r="AF50" s="643">
        <f t="shared" si="48"/>
        <v>518.76337958768272</v>
      </c>
      <c r="AG50" s="643">
        <f t="shared" si="49"/>
        <v>259</v>
      </c>
      <c r="AH50" s="644">
        <f t="shared" si="50"/>
        <v>9326.7535054334894</v>
      </c>
      <c r="AI50" s="662"/>
      <c r="AJ50" s="663"/>
      <c r="AK50" s="644">
        <f t="shared" si="53"/>
        <v>781</v>
      </c>
    </row>
    <row r="51" spans="1:37">
      <c r="A51" s="647">
        <v>45</v>
      </c>
      <c r="B51" s="648" t="s">
        <v>146</v>
      </c>
      <c r="C51" s="665">
        <f>'[24]Summary for MFP'!$E51</f>
        <v>2.4873289999999999</v>
      </c>
      <c r="D51" s="666">
        <f>'Table 3 Levels 1&amp;2'!AP52</f>
        <v>3182.5716893657705</v>
      </c>
      <c r="E51" s="666">
        <f t="shared" si="31"/>
        <v>4189.4870261142623</v>
      </c>
      <c r="F51" s="666">
        <f t="shared" si="35"/>
        <v>5659.8344179764572</v>
      </c>
      <c r="G51" s="667">
        <f t="shared" si="36"/>
        <v>14077.870283030963</v>
      </c>
      <c r="H51" s="663"/>
      <c r="I51" s="1502">
        <f>'[1]Oct midyear OJJ'!I51</f>
        <v>0</v>
      </c>
      <c r="J51" s="1502">
        <f>'[25]Feb midyear OJJ '!I51</f>
        <v>0</v>
      </c>
      <c r="K51" s="1502">
        <f t="shared" si="37"/>
        <v>0</v>
      </c>
      <c r="L51" s="666">
        <f t="shared" si="38"/>
        <v>14077.870283030963</v>
      </c>
      <c r="M51" s="1181">
        <f>'[23]Oct midyear adj_OJJ'!$I50</f>
        <v>0</v>
      </c>
      <c r="N51" s="667">
        <f t="shared" si="39"/>
        <v>14077.870283030963</v>
      </c>
      <c r="O51" s="1527">
        <f>8*1169+1170+1170</f>
        <v>11692</v>
      </c>
      <c r="P51" s="667">
        <f t="shared" si="40"/>
        <v>2385.870283030963</v>
      </c>
      <c r="Q51" s="667">
        <f t="shared" si="41"/>
        <v>1193</v>
      </c>
      <c r="R51" s="653">
        <f>'Table 3 Levels 1&amp;2'!AS52</f>
        <v>46999002.899999999</v>
      </c>
      <c r="S51" s="668">
        <f>'Table 3 Levels 1&amp;2'!C52</f>
        <v>9413</v>
      </c>
      <c r="T51" s="668">
        <f t="shared" si="51"/>
        <v>9415.4873289999996</v>
      </c>
      <c r="U51" s="655">
        <f t="shared" si="42"/>
        <v>4991.6697094627889</v>
      </c>
      <c r="V51" s="656">
        <f t="shared" si="52"/>
        <v>12415.924826768369</v>
      </c>
      <c r="W51" s="1547">
        <f>'[25]Oct midyear OJJ'!E51</f>
        <v>0</v>
      </c>
      <c r="X51" s="1188">
        <f t="shared" si="43"/>
        <v>0</v>
      </c>
      <c r="Y51" s="1547">
        <f>'[25]Feb midyear OJJ '!E51</f>
        <v>0</v>
      </c>
      <c r="Z51" s="1188">
        <f t="shared" si="44"/>
        <v>0</v>
      </c>
      <c r="AA51" s="1188">
        <f t="shared" si="45"/>
        <v>0</v>
      </c>
      <c r="AB51" s="1188">
        <f t="shared" si="46"/>
        <v>12415.924826768369</v>
      </c>
      <c r="AC51" s="1188">
        <f>'[23]Oct midyear adj_OJJ'!$K50</f>
        <v>0</v>
      </c>
      <c r="AD51" s="656">
        <f t="shared" si="47"/>
        <v>12415.924826768369</v>
      </c>
      <c r="AE51" s="656">
        <f>8*1037+1038+1038</f>
        <v>10372</v>
      </c>
      <c r="AF51" s="656">
        <f t="shared" si="48"/>
        <v>2043.9248267683688</v>
      </c>
      <c r="AG51" s="656">
        <f t="shared" si="49"/>
        <v>1022</v>
      </c>
      <c r="AH51" s="657">
        <f t="shared" si="50"/>
        <v>26493.795109799332</v>
      </c>
      <c r="AI51" s="663"/>
      <c r="AJ51" s="663"/>
      <c r="AK51" s="657">
        <f t="shared" si="53"/>
        <v>2215</v>
      </c>
    </row>
    <row r="52" spans="1:37">
      <c r="A52" s="624">
        <v>46</v>
      </c>
      <c r="B52" s="625" t="s">
        <v>147</v>
      </c>
      <c r="C52" s="669">
        <f>'[24]Summary for MFP'!$E52</f>
        <v>0</v>
      </c>
      <c r="D52" s="670">
        <f>'Table 3 Levels 1&amp;2'!AP53</f>
        <v>6511.2107950099726</v>
      </c>
      <c r="E52" s="670">
        <f t="shared" si="31"/>
        <v>8571.2548883464606</v>
      </c>
      <c r="F52" s="670">
        <f t="shared" si="35"/>
        <v>10041.602280208655</v>
      </c>
      <c r="G52" s="671">
        <f t="shared" si="36"/>
        <v>0</v>
      </c>
      <c r="H52" s="662"/>
      <c r="I52" s="1503">
        <f>'[1]Oct midyear OJJ'!I52</f>
        <v>0</v>
      </c>
      <c r="J52" s="1503">
        <f>'[25]Feb midyear OJJ '!I52</f>
        <v>0</v>
      </c>
      <c r="K52" s="1503">
        <f t="shared" si="37"/>
        <v>0</v>
      </c>
      <c r="L52" s="670">
        <f t="shared" si="38"/>
        <v>0</v>
      </c>
      <c r="M52" s="1182">
        <f>'[23]Oct midyear adj_OJJ'!$I51</f>
        <v>0</v>
      </c>
      <c r="N52" s="671">
        <f t="shared" si="39"/>
        <v>0</v>
      </c>
      <c r="O52" s="1528">
        <f>8*0</f>
        <v>0</v>
      </c>
      <c r="P52" s="671">
        <f t="shared" si="40"/>
        <v>0</v>
      </c>
      <c r="Q52" s="671">
        <f t="shared" si="41"/>
        <v>0</v>
      </c>
      <c r="R52" s="631">
        <f>'Table 3 Levels 1&amp;2'!AS53</f>
        <v>1996920</v>
      </c>
      <c r="S52" s="672">
        <f>'Table 3 Levels 1&amp;2'!C53</f>
        <v>1103</v>
      </c>
      <c r="T52" s="672">
        <f t="shared" si="51"/>
        <v>1103</v>
      </c>
      <c r="U52" s="633">
        <f t="shared" si="42"/>
        <v>1810.444242973708</v>
      </c>
      <c r="V52" s="634">
        <f t="shared" si="52"/>
        <v>0</v>
      </c>
      <c r="W52" s="1545">
        <f>'[25]Oct midyear OJJ'!E52</f>
        <v>0</v>
      </c>
      <c r="X52" s="1186">
        <f t="shared" si="43"/>
        <v>0</v>
      </c>
      <c r="Y52" s="1545">
        <f>'[25]Feb midyear OJJ '!E52</f>
        <v>0</v>
      </c>
      <c r="Z52" s="1186">
        <f t="shared" si="44"/>
        <v>0</v>
      </c>
      <c r="AA52" s="1186">
        <f t="shared" si="45"/>
        <v>0</v>
      </c>
      <c r="AB52" s="1186">
        <f t="shared" si="46"/>
        <v>0</v>
      </c>
      <c r="AC52" s="1186">
        <f>'[23]Oct midyear adj_OJJ'!$K51</f>
        <v>0</v>
      </c>
      <c r="AD52" s="634">
        <f t="shared" si="47"/>
        <v>0</v>
      </c>
      <c r="AE52" s="634">
        <f>8*0</f>
        <v>0</v>
      </c>
      <c r="AF52" s="634">
        <f t="shared" si="48"/>
        <v>0</v>
      </c>
      <c r="AG52" s="634">
        <f t="shared" si="49"/>
        <v>0</v>
      </c>
      <c r="AH52" s="635">
        <f t="shared" si="50"/>
        <v>0</v>
      </c>
      <c r="AI52" s="662"/>
      <c r="AJ52" s="663"/>
      <c r="AK52" s="635">
        <f t="shared" si="53"/>
        <v>0</v>
      </c>
    </row>
    <row r="53" spans="1:37">
      <c r="A53" s="636">
        <v>47</v>
      </c>
      <c r="B53" s="637" t="s">
        <v>148</v>
      </c>
      <c r="C53" s="659">
        <f>'[24]Summary for MFP'!$E53</f>
        <v>0</v>
      </c>
      <c r="D53" s="660">
        <f>'Table 3 Levels 1&amp;2'!AP54</f>
        <v>4120.4987190495194</v>
      </c>
      <c r="E53" s="660">
        <f t="shared" si="31"/>
        <v>5424.1593307262037</v>
      </c>
      <c r="F53" s="660">
        <f t="shared" si="35"/>
        <v>6894.5067225883986</v>
      </c>
      <c r="G53" s="661">
        <f t="shared" si="36"/>
        <v>0</v>
      </c>
      <c r="H53" s="662"/>
      <c r="I53" s="1501">
        <f>'[1]Oct midyear OJJ'!I53</f>
        <v>0</v>
      </c>
      <c r="J53" s="1501">
        <f>'[25]Feb midyear OJJ '!I53</f>
        <v>0</v>
      </c>
      <c r="K53" s="1501">
        <f t="shared" si="37"/>
        <v>0</v>
      </c>
      <c r="L53" s="660">
        <f t="shared" si="38"/>
        <v>0</v>
      </c>
      <c r="M53" s="1180">
        <f>'[23]Oct midyear adj_OJJ'!$I52</f>
        <v>0</v>
      </c>
      <c r="N53" s="661">
        <f t="shared" si="39"/>
        <v>0</v>
      </c>
      <c r="O53" s="1526">
        <f>8*0</f>
        <v>0</v>
      </c>
      <c r="P53" s="661">
        <f t="shared" si="40"/>
        <v>0</v>
      </c>
      <c r="Q53" s="661">
        <f t="shared" si="41"/>
        <v>0</v>
      </c>
      <c r="R53" s="631">
        <f>'Table 3 Levels 1&amp;2'!AS54</f>
        <v>18777381.699999999</v>
      </c>
      <c r="S53" s="664">
        <f>'Table 3 Levels 1&amp;2'!C54</f>
        <v>3639</v>
      </c>
      <c r="T53" s="664">
        <f t="shared" si="51"/>
        <v>3639</v>
      </c>
      <c r="U53" s="642">
        <f t="shared" si="42"/>
        <v>5160.0389392690295</v>
      </c>
      <c r="V53" s="643">
        <f t="shared" si="52"/>
        <v>0</v>
      </c>
      <c r="W53" s="1546">
        <f>'[25]Oct midyear OJJ'!E53</f>
        <v>0</v>
      </c>
      <c r="X53" s="1187">
        <f t="shared" si="43"/>
        <v>0</v>
      </c>
      <c r="Y53" s="1546">
        <f>'[25]Feb midyear OJJ '!E53</f>
        <v>0</v>
      </c>
      <c r="Z53" s="1187">
        <f t="shared" si="44"/>
        <v>0</v>
      </c>
      <c r="AA53" s="1187">
        <f t="shared" si="45"/>
        <v>0</v>
      </c>
      <c r="AB53" s="1187">
        <f t="shared" si="46"/>
        <v>0</v>
      </c>
      <c r="AC53" s="1187">
        <f>'[23]Oct midyear adj_OJJ'!$K52</f>
        <v>0</v>
      </c>
      <c r="AD53" s="643">
        <f t="shared" si="47"/>
        <v>0</v>
      </c>
      <c r="AE53" s="643">
        <f>8*0</f>
        <v>0</v>
      </c>
      <c r="AF53" s="643">
        <f t="shared" si="48"/>
        <v>0</v>
      </c>
      <c r="AG53" s="643">
        <f t="shared" si="49"/>
        <v>0</v>
      </c>
      <c r="AH53" s="644">
        <f t="shared" si="50"/>
        <v>0</v>
      </c>
      <c r="AI53" s="662"/>
      <c r="AJ53" s="663"/>
      <c r="AK53" s="644">
        <f t="shared" si="53"/>
        <v>0</v>
      </c>
    </row>
    <row r="54" spans="1:37">
      <c r="A54" s="636">
        <v>48</v>
      </c>
      <c r="B54" s="637" t="s">
        <v>217</v>
      </c>
      <c r="C54" s="659">
        <f>'[24]Summary for MFP'!$E54</f>
        <v>0</v>
      </c>
      <c r="D54" s="660">
        <f>'Table 3 Levels 1&amp;2'!AP55</f>
        <v>5149.0416078198068</v>
      </c>
      <c r="E54" s="660">
        <f t="shared" si="31"/>
        <v>6778.1169187684463</v>
      </c>
      <c r="F54" s="660">
        <f t="shared" si="35"/>
        <v>8248.4643106306412</v>
      </c>
      <c r="G54" s="661">
        <f t="shared" si="36"/>
        <v>0</v>
      </c>
      <c r="H54" s="662"/>
      <c r="I54" s="1501">
        <f>'[1]Oct midyear OJJ'!I54</f>
        <v>0</v>
      </c>
      <c r="J54" s="1501">
        <f>'[25]Feb midyear OJJ '!I54</f>
        <v>0</v>
      </c>
      <c r="K54" s="1501">
        <f t="shared" si="37"/>
        <v>0</v>
      </c>
      <c r="L54" s="660">
        <f t="shared" si="38"/>
        <v>0</v>
      </c>
      <c r="M54" s="1180">
        <f>'[23]Oct midyear adj_OJJ'!$I53</f>
        <v>0</v>
      </c>
      <c r="N54" s="661">
        <f t="shared" si="39"/>
        <v>0</v>
      </c>
      <c r="O54" s="1526">
        <f>8*0</f>
        <v>0</v>
      </c>
      <c r="P54" s="661">
        <f t="shared" si="40"/>
        <v>0</v>
      </c>
      <c r="Q54" s="661">
        <f t="shared" si="41"/>
        <v>0</v>
      </c>
      <c r="R54" s="631">
        <f>'Table 3 Levels 1&amp;2'!AS55</f>
        <v>25052501.600000001</v>
      </c>
      <c r="S54" s="664">
        <f>'Table 3 Levels 1&amp;2'!C55</f>
        <v>6220</v>
      </c>
      <c r="T54" s="664">
        <f t="shared" si="51"/>
        <v>6220</v>
      </c>
      <c r="U54" s="642">
        <f t="shared" si="42"/>
        <v>4027.7333762057879</v>
      </c>
      <c r="V54" s="643">
        <f t="shared" si="52"/>
        <v>0</v>
      </c>
      <c r="W54" s="1546">
        <f>'[25]Oct midyear OJJ'!E54</f>
        <v>0</v>
      </c>
      <c r="X54" s="1187">
        <f t="shared" si="43"/>
        <v>0</v>
      </c>
      <c r="Y54" s="1546">
        <f>'[25]Feb midyear OJJ '!E54</f>
        <v>0</v>
      </c>
      <c r="Z54" s="1187">
        <f t="shared" si="44"/>
        <v>0</v>
      </c>
      <c r="AA54" s="1187">
        <f t="shared" si="45"/>
        <v>0</v>
      </c>
      <c r="AB54" s="1187">
        <f t="shared" si="46"/>
        <v>0</v>
      </c>
      <c r="AC54" s="1187">
        <f>'[23]Oct midyear adj_OJJ'!$K53</f>
        <v>0</v>
      </c>
      <c r="AD54" s="643">
        <f t="shared" si="47"/>
        <v>0</v>
      </c>
      <c r="AE54" s="643">
        <f>8*0</f>
        <v>0</v>
      </c>
      <c r="AF54" s="643">
        <f t="shared" si="48"/>
        <v>0</v>
      </c>
      <c r="AG54" s="643">
        <f t="shared" si="49"/>
        <v>0</v>
      </c>
      <c r="AH54" s="644">
        <f t="shared" si="50"/>
        <v>0</v>
      </c>
      <c r="AI54" s="662"/>
      <c r="AJ54" s="663"/>
      <c r="AK54" s="644">
        <f t="shared" si="53"/>
        <v>0</v>
      </c>
    </row>
    <row r="55" spans="1:37">
      <c r="A55" s="636">
        <v>49</v>
      </c>
      <c r="B55" s="637" t="s">
        <v>149</v>
      </c>
      <c r="C55" s="659">
        <f>'[24]Summary for MFP'!$E55</f>
        <v>5.3381990000000004</v>
      </c>
      <c r="D55" s="660">
        <f>'Table 3 Levels 1&amp;2'!AP56</f>
        <v>5393.3736976066975</v>
      </c>
      <c r="E55" s="660">
        <f t="shared" si="31"/>
        <v>7099.7518166235059</v>
      </c>
      <c r="F55" s="660">
        <f t="shared" si="35"/>
        <v>8570.0992084857007</v>
      </c>
      <c r="G55" s="661">
        <f t="shared" si="36"/>
        <v>45748.895024639161</v>
      </c>
      <c r="H55" s="662"/>
      <c r="I55" s="1501">
        <f>'[1]Oct midyear OJJ'!I55</f>
        <v>137.12158733577132</v>
      </c>
      <c r="J55" s="1501">
        <f>'[25]Feb midyear OJJ '!I55</f>
        <v>0</v>
      </c>
      <c r="K55" s="1501">
        <f t="shared" si="37"/>
        <v>137.12158733577132</v>
      </c>
      <c r="L55" s="660">
        <f t="shared" si="38"/>
        <v>45886.016611974934</v>
      </c>
      <c r="M55" s="1180">
        <f>'[23]Oct midyear adj_OJJ'!$I54</f>
        <v>-34.074981241392067</v>
      </c>
      <c r="N55" s="661">
        <f t="shared" si="39"/>
        <v>45851.941630733541</v>
      </c>
      <c r="O55" s="1526">
        <f>8*3798+3834+3834</f>
        <v>38052</v>
      </c>
      <c r="P55" s="661">
        <f t="shared" si="40"/>
        <v>7799.9416307335414</v>
      </c>
      <c r="Q55" s="661">
        <f t="shared" si="41"/>
        <v>3900</v>
      </c>
      <c r="R55" s="631">
        <f>'Table 3 Levels 1&amp;2'!AS56</f>
        <v>32496492.5</v>
      </c>
      <c r="S55" s="664">
        <f>'Table 3 Levels 1&amp;2'!C56</f>
        <v>14452</v>
      </c>
      <c r="T55" s="664">
        <f t="shared" si="51"/>
        <v>14457.338199</v>
      </c>
      <c r="U55" s="642">
        <f t="shared" si="42"/>
        <v>2247.7507306460984</v>
      </c>
      <c r="V55" s="643">
        <f t="shared" si="52"/>
        <v>11998.940702584272</v>
      </c>
      <c r="W55" s="1546">
        <f>'[25]Oct midyear OJJ'!E55</f>
        <v>1.6000000000000014E-2</v>
      </c>
      <c r="X55" s="1187">
        <f t="shared" si="43"/>
        <v>35.964011690337607</v>
      </c>
      <c r="Y55" s="1546">
        <f>'[25]Feb midyear OJJ '!E55</f>
        <v>0</v>
      </c>
      <c r="Z55" s="1187">
        <f t="shared" si="44"/>
        <v>0</v>
      </c>
      <c r="AA55" s="1187">
        <f t="shared" si="45"/>
        <v>35.964011690337607</v>
      </c>
      <c r="AB55" s="1187">
        <f t="shared" si="46"/>
        <v>12034.904714274609</v>
      </c>
      <c r="AC55" s="1187">
        <f>'[23]Oct midyear adj_OJJ'!$K54</f>
        <v>-8.674640545172922</v>
      </c>
      <c r="AD55" s="643">
        <f t="shared" si="47"/>
        <v>12026.230073729437</v>
      </c>
      <c r="AE55" s="643">
        <f>8*999+1007+1007</f>
        <v>10006</v>
      </c>
      <c r="AF55" s="643">
        <f t="shared" si="48"/>
        <v>2020.2300737294372</v>
      </c>
      <c r="AG55" s="643">
        <f t="shared" si="49"/>
        <v>1010</v>
      </c>
      <c r="AH55" s="644">
        <f t="shared" si="50"/>
        <v>57878.171704462977</v>
      </c>
      <c r="AI55" s="662"/>
      <c r="AJ55" s="663"/>
      <c r="AK55" s="644">
        <f t="shared" si="53"/>
        <v>4910</v>
      </c>
    </row>
    <row r="56" spans="1:37">
      <c r="A56" s="647">
        <v>50</v>
      </c>
      <c r="B56" s="648" t="s">
        <v>150</v>
      </c>
      <c r="C56" s="665">
        <f>'[24]Summary for MFP'!$E56</f>
        <v>4.3232080000000002</v>
      </c>
      <c r="D56" s="666">
        <f>'Table 3 Levels 1&amp;2'!AP57</f>
        <v>5712.6233232845689</v>
      </c>
      <c r="E56" s="666">
        <f t="shared" si="31"/>
        <v>7520.0069735892912</v>
      </c>
      <c r="F56" s="666">
        <f t="shared" si="35"/>
        <v>8990.354365451487</v>
      </c>
      <c r="G56" s="667">
        <f t="shared" si="36"/>
        <v>38867.171915554791</v>
      </c>
      <c r="H56" s="663"/>
      <c r="I56" s="1502">
        <f>'[1]Oct midyear OJJ'!I56</f>
        <v>-5609.9811240417284</v>
      </c>
      <c r="J56" s="1502">
        <f>'[25]Feb midyear OJJ '!I56</f>
        <v>0</v>
      </c>
      <c r="K56" s="1502">
        <f t="shared" si="37"/>
        <v>-5609.9811240417284</v>
      </c>
      <c r="L56" s="666">
        <f t="shared" si="38"/>
        <v>33257.190791513065</v>
      </c>
      <c r="M56" s="1181">
        <f>'[23]Oct midyear adj_OJJ'!$I55</f>
        <v>0</v>
      </c>
      <c r="N56" s="667">
        <f t="shared" si="39"/>
        <v>33257.190791513065</v>
      </c>
      <c r="O56" s="1527">
        <f>8*3230+1831+1831</f>
        <v>29502</v>
      </c>
      <c r="P56" s="667">
        <f t="shared" si="40"/>
        <v>3755.1907915130651</v>
      </c>
      <c r="Q56" s="667">
        <f t="shared" si="41"/>
        <v>1878</v>
      </c>
      <c r="R56" s="653">
        <f>'Table 3 Levels 1&amp;2'!AS57</f>
        <v>20997384.5</v>
      </c>
      <c r="S56" s="668">
        <f>'Table 3 Levels 1&amp;2'!C57</f>
        <v>7984</v>
      </c>
      <c r="T56" s="668">
        <f t="shared" si="51"/>
        <v>7988.3232079999998</v>
      </c>
      <c r="U56" s="655">
        <f t="shared" si="42"/>
        <v>2628.5096325311329</v>
      </c>
      <c r="V56" s="656">
        <f t="shared" si="52"/>
        <v>11363.593871435654</v>
      </c>
      <c r="W56" s="1547">
        <f>'[25]Oct midyear OJJ'!E56</f>
        <v>-0.62400000000000011</v>
      </c>
      <c r="X56" s="1188">
        <f t="shared" si="43"/>
        <v>-1640.1900106994271</v>
      </c>
      <c r="Y56" s="1547">
        <f>'[25]Feb midyear OJJ '!E56</f>
        <v>0</v>
      </c>
      <c r="Z56" s="1188">
        <f t="shared" si="44"/>
        <v>0</v>
      </c>
      <c r="AA56" s="1188">
        <f t="shared" si="45"/>
        <v>-1640.1900106994271</v>
      </c>
      <c r="AB56" s="1188">
        <f t="shared" si="46"/>
        <v>9723.4038607362272</v>
      </c>
      <c r="AC56" s="1188">
        <f>'[23]Oct midyear adj_OJJ'!$K55</f>
        <v>0</v>
      </c>
      <c r="AD56" s="656">
        <f t="shared" si="47"/>
        <v>9723.4038607362272</v>
      </c>
      <c r="AE56" s="656">
        <f>8*947+537+537</f>
        <v>8650</v>
      </c>
      <c r="AF56" s="656">
        <f t="shared" si="48"/>
        <v>1073.4038607362272</v>
      </c>
      <c r="AG56" s="656">
        <f t="shared" si="49"/>
        <v>537</v>
      </c>
      <c r="AH56" s="657">
        <f t="shared" si="50"/>
        <v>42980.594652249289</v>
      </c>
      <c r="AI56" s="663"/>
      <c r="AJ56" s="663"/>
      <c r="AK56" s="657">
        <f t="shared" si="53"/>
        <v>2415</v>
      </c>
    </row>
    <row r="57" spans="1:37">
      <c r="A57" s="624">
        <v>51</v>
      </c>
      <c r="B57" s="625" t="s">
        <v>151</v>
      </c>
      <c r="C57" s="669">
        <f>'[24]Summary for MFP'!$E57</f>
        <v>1.831979</v>
      </c>
      <c r="D57" s="670">
        <f>'Table 3 Levels 1&amp;2'!AP58</f>
        <v>5034.4411345948283</v>
      </c>
      <c r="E57" s="670">
        <f t="shared" si="31"/>
        <v>6627.2586687039266</v>
      </c>
      <c r="F57" s="670">
        <f t="shared" si="35"/>
        <v>8097.6060605661214</v>
      </c>
      <c r="G57" s="671">
        <f t="shared" si="36"/>
        <v>14834.644253229862</v>
      </c>
      <c r="H57" s="662"/>
      <c r="I57" s="1503">
        <f>'[1]Oct midyear OJJ'!I57</f>
        <v>0</v>
      </c>
      <c r="J57" s="1503">
        <f>'[25]Feb midyear OJJ '!I57</f>
        <v>0</v>
      </c>
      <c r="K57" s="1503">
        <f t="shared" si="37"/>
        <v>0</v>
      </c>
      <c r="L57" s="670">
        <f t="shared" si="38"/>
        <v>14834.644253229862</v>
      </c>
      <c r="M57" s="1182">
        <f>'[23]Oct midyear adj_OJJ'!$I56</f>
        <v>0</v>
      </c>
      <c r="N57" s="671">
        <f t="shared" si="39"/>
        <v>14834.644253229862</v>
      </c>
      <c r="O57" s="1528">
        <f>8*1247+1247+1247</f>
        <v>12470</v>
      </c>
      <c r="P57" s="671">
        <f t="shared" si="40"/>
        <v>2364.6442532298624</v>
      </c>
      <c r="Q57" s="671">
        <f t="shared" si="41"/>
        <v>1182</v>
      </c>
      <c r="R57" s="631">
        <f>'Table 3 Levels 1&amp;2'!AS58</f>
        <v>35769160.200000003</v>
      </c>
      <c r="S57" s="672">
        <f>'Table 3 Levels 1&amp;2'!C58</f>
        <v>9050</v>
      </c>
      <c r="T57" s="672">
        <f t="shared" si="51"/>
        <v>9051.8319790000005</v>
      </c>
      <c r="U57" s="633">
        <f t="shared" si="42"/>
        <v>3951.5934766557161</v>
      </c>
      <c r="V57" s="634">
        <f t="shared" si="52"/>
        <v>7239.2362657702624</v>
      </c>
      <c r="W57" s="1545">
        <f>'[25]Oct midyear OJJ'!E57</f>
        <v>0</v>
      </c>
      <c r="X57" s="1186">
        <f t="shared" si="43"/>
        <v>0</v>
      </c>
      <c r="Y57" s="1545">
        <f>'[25]Feb midyear OJJ '!E57</f>
        <v>0</v>
      </c>
      <c r="Z57" s="1186">
        <f t="shared" si="44"/>
        <v>0</v>
      </c>
      <c r="AA57" s="1186">
        <f t="shared" si="45"/>
        <v>0</v>
      </c>
      <c r="AB57" s="1186">
        <f t="shared" si="46"/>
        <v>7239.2362657702624</v>
      </c>
      <c r="AC57" s="1186">
        <f>'[23]Oct midyear adj_OJJ'!$K56</f>
        <v>0</v>
      </c>
      <c r="AD57" s="634">
        <f t="shared" si="47"/>
        <v>7239.2362657702624</v>
      </c>
      <c r="AE57" s="634">
        <f>8*594+594+594</f>
        <v>5940</v>
      </c>
      <c r="AF57" s="634">
        <f t="shared" si="48"/>
        <v>1299.2362657702624</v>
      </c>
      <c r="AG57" s="634">
        <f t="shared" si="49"/>
        <v>650</v>
      </c>
      <c r="AH57" s="635">
        <f t="shared" si="50"/>
        <v>22073.880519000126</v>
      </c>
      <c r="AI57" s="662"/>
      <c r="AJ57" s="663"/>
      <c r="AK57" s="635">
        <f t="shared" si="53"/>
        <v>1832</v>
      </c>
    </row>
    <row r="58" spans="1:37">
      <c r="A58" s="636">
        <v>52</v>
      </c>
      <c r="B58" s="637" t="s">
        <v>152</v>
      </c>
      <c r="C58" s="659">
        <f>'[24]Summary for MFP'!$E58</f>
        <v>13.215285</v>
      </c>
      <c r="D58" s="660">
        <f>'Table 3 Levels 1&amp;2'!AP59</f>
        <v>5594.7980114778475</v>
      </c>
      <c r="E58" s="660">
        <f t="shared" si="31"/>
        <v>7364.9035970301602</v>
      </c>
      <c r="F58" s="660">
        <f t="shared" si="35"/>
        <v>8835.250988892356</v>
      </c>
      <c r="G58" s="661">
        <f t="shared" si="36"/>
        <v>116760.35986474431</v>
      </c>
      <c r="H58" s="662"/>
      <c r="I58" s="1501">
        <f>'[1]Oct midyear OJJ'!I58</f>
        <v>0</v>
      </c>
      <c r="J58" s="1501">
        <f>'[25]Feb midyear OJJ '!I58</f>
        <v>0</v>
      </c>
      <c r="K58" s="1501">
        <f t="shared" si="37"/>
        <v>0</v>
      </c>
      <c r="L58" s="660">
        <f t="shared" si="38"/>
        <v>116760.35986474431</v>
      </c>
      <c r="M58" s="1180">
        <f>'[23]Oct midyear adj_OJJ'!$I57</f>
        <v>0</v>
      </c>
      <c r="N58" s="661">
        <f t="shared" si="39"/>
        <v>116760.35986474431</v>
      </c>
      <c r="O58" s="1526">
        <f>8*9706+9706+9706</f>
        <v>97060</v>
      </c>
      <c r="P58" s="661">
        <f t="shared" si="40"/>
        <v>19700.359864744314</v>
      </c>
      <c r="Q58" s="661">
        <f t="shared" si="41"/>
        <v>9850</v>
      </c>
      <c r="R58" s="631">
        <f>'Table 3 Levels 1&amp;2'!AS59</f>
        <v>129881061.59999999</v>
      </c>
      <c r="S58" s="664">
        <f>'Table 3 Levels 1&amp;2'!C59</f>
        <v>36515</v>
      </c>
      <c r="T58" s="664">
        <f t="shared" si="51"/>
        <v>36528.215284999998</v>
      </c>
      <c r="U58" s="642">
        <f>R58/T58</f>
        <v>3555.6366657019389</v>
      </c>
      <c r="V58" s="643">
        <f t="shared" si="52"/>
        <v>46988.75189370085</v>
      </c>
      <c r="W58" s="1546">
        <f>'[25]Oct midyear OJJ'!E58</f>
        <v>0</v>
      </c>
      <c r="X58" s="1187">
        <f t="shared" si="43"/>
        <v>0</v>
      </c>
      <c r="Y58" s="1546">
        <f>'[25]Feb midyear OJJ '!E58</f>
        <v>0</v>
      </c>
      <c r="Z58" s="1187">
        <f t="shared" si="44"/>
        <v>0</v>
      </c>
      <c r="AA58" s="1187">
        <f t="shared" si="45"/>
        <v>0</v>
      </c>
      <c r="AB58" s="1187">
        <f t="shared" si="46"/>
        <v>46988.75189370085</v>
      </c>
      <c r="AC58" s="1187">
        <f>'[23]Oct midyear adj_OJJ'!$K57</f>
        <v>0</v>
      </c>
      <c r="AD58" s="643">
        <f t="shared" si="47"/>
        <v>46988.75189370085</v>
      </c>
      <c r="AE58" s="643">
        <f>8*3924+3924+3924</f>
        <v>39240</v>
      </c>
      <c r="AF58" s="643">
        <f t="shared" si="48"/>
        <v>7748.7518937008499</v>
      </c>
      <c r="AG58" s="643">
        <f t="shared" si="49"/>
        <v>3874</v>
      </c>
      <c r="AH58" s="644">
        <f t="shared" si="50"/>
        <v>163749.11175844516</v>
      </c>
      <c r="AI58" s="662"/>
      <c r="AJ58" s="663"/>
      <c r="AK58" s="644">
        <f t="shared" si="53"/>
        <v>13724</v>
      </c>
    </row>
    <row r="59" spans="1:37">
      <c r="A59" s="636">
        <v>53</v>
      </c>
      <c r="B59" s="637" t="s">
        <v>153</v>
      </c>
      <c r="C59" s="659">
        <f>'[24]Summary for MFP'!$E59</f>
        <v>8.5482180000000003</v>
      </c>
      <c r="D59" s="660">
        <f>'Table 3 Levels 1&amp;2'!AP60</f>
        <v>5489.7885987967175</v>
      </c>
      <c r="E59" s="660">
        <f t="shared" si="31"/>
        <v>7226.670867342571</v>
      </c>
      <c r="F59" s="660">
        <f t="shared" si="35"/>
        <v>8697.0182592047659</v>
      </c>
      <c r="G59" s="661">
        <f t="shared" si="36"/>
        <v>74344.008029662844</v>
      </c>
      <c r="H59" s="662"/>
      <c r="I59" s="1501">
        <f>'[1]Oct midyear OJJ'!I59</f>
        <v>521.82109555229033</v>
      </c>
      <c r="J59" s="1501">
        <f>'[25]Feb midyear OJJ '!I59</f>
        <v>0</v>
      </c>
      <c r="K59" s="1501">
        <f t="shared" si="37"/>
        <v>521.82109555229033</v>
      </c>
      <c r="L59" s="660">
        <f t="shared" si="38"/>
        <v>74865.829125215139</v>
      </c>
      <c r="M59" s="1180">
        <f>'[23]Oct midyear adj_OJJ'!$I58</f>
        <v>0</v>
      </c>
      <c r="N59" s="661">
        <f t="shared" si="39"/>
        <v>74865.829125215139</v>
      </c>
      <c r="O59" s="1526">
        <f>8*6180+6311+6311</f>
        <v>62062</v>
      </c>
      <c r="P59" s="661">
        <f t="shared" si="40"/>
        <v>12803.829125215139</v>
      </c>
      <c r="Q59" s="661">
        <f t="shared" si="41"/>
        <v>6402</v>
      </c>
      <c r="R59" s="631">
        <f>'Table 3 Levels 1&amp;2'!AS60</f>
        <v>36686115</v>
      </c>
      <c r="S59" s="664">
        <f>'Table 3 Levels 1&amp;2'!C60</f>
        <v>19008</v>
      </c>
      <c r="T59" s="664">
        <f t="shared" si="51"/>
        <v>19016.548218</v>
      </c>
      <c r="U59" s="642">
        <f t="shared" si="42"/>
        <v>1929.1679320264325</v>
      </c>
      <c r="V59" s="643">
        <f t="shared" si="52"/>
        <v>16490.948041571126</v>
      </c>
      <c r="W59" s="1546">
        <f>'[25]Oct midyear OJJ'!E59</f>
        <v>6.0000000000000497E-2</v>
      </c>
      <c r="X59" s="1187">
        <f t="shared" si="43"/>
        <v>115.75007592158691</v>
      </c>
      <c r="Y59" s="1546">
        <f>'[25]Feb midyear OJJ '!E59</f>
        <v>0</v>
      </c>
      <c r="Z59" s="1187">
        <f t="shared" si="44"/>
        <v>0</v>
      </c>
      <c r="AA59" s="1187">
        <f t="shared" si="45"/>
        <v>115.75007592158691</v>
      </c>
      <c r="AB59" s="1187">
        <f t="shared" si="46"/>
        <v>16606.698117492713</v>
      </c>
      <c r="AC59" s="1187">
        <f>'[23]Oct midyear adj_OJJ'!$K58</f>
        <v>0</v>
      </c>
      <c r="AD59" s="643">
        <f t="shared" si="47"/>
        <v>16606.698117492713</v>
      </c>
      <c r="AE59" s="643">
        <f>8*1373+1403+1403</f>
        <v>13790</v>
      </c>
      <c r="AF59" s="643">
        <f t="shared" si="48"/>
        <v>2816.6981174927132</v>
      </c>
      <c r="AG59" s="643">
        <f t="shared" si="49"/>
        <v>1408</v>
      </c>
      <c r="AH59" s="644">
        <f t="shared" si="50"/>
        <v>91472.527242707845</v>
      </c>
      <c r="AI59" s="662"/>
      <c r="AJ59" s="663"/>
      <c r="AK59" s="644">
        <f t="shared" si="53"/>
        <v>7810</v>
      </c>
    </row>
    <row r="60" spans="1:37">
      <c r="A60" s="636">
        <v>54</v>
      </c>
      <c r="B60" s="637" t="s">
        <v>154</v>
      </c>
      <c r="C60" s="659">
        <f>'[24]Summary for MFP'!$E60</f>
        <v>2.1395119999999999</v>
      </c>
      <c r="D60" s="660">
        <f>'Table 3 Levels 1&amp;2'!AP61</f>
        <v>6961.9531042918452</v>
      </c>
      <c r="E60" s="660">
        <f t="shared" si="31"/>
        <v>9164.6049338983048</v>
      </c>
      <c r="F60" s="660">
        <f t="shared" si="35"/>
        <v>10634.9523257605</v>
      </c>
      <c r="G60" s="661">
        <f t="shared" si="36"/>
        <v>22753.608120392495</v>
      </c>
      <c r="H60" s="662"/>
      <c r="I60" s="1501">
        <f>'[1]Oct midyear OJJ'!I60</f>
        <v>0</v>
      </c>
      <c r="J60" s="1501">
        <f>'[25]Feb midyear OJJ '!I60</f>
        <v>0</v>
      </c>
      <c r="K60" s="1501">
        <f t="shared" si="37"/>
        <v>0</v>
      </c>
      <c r="L60" s="660">
        <f t="shared" si="38"/>
        <v>22753.608120392495</v>
      </c>
      <c r="M60" s="1180">
        <f>'[23]Oct midyear adj_OJJ'!$I59</f>
        <v>0</v>
      </c>
      <c r="N60" s="661">
        <f t="shared" si="39"/>
        <v>22753.608120392495</v>
      </c>
      <c r="O60" s="1526">
        <f>8*1889+1890+1890</f>
        <v>18892</v>
      </c>
      <c r="P60" s="661">
        <f t="shared" si="40"/>
        <v>3861.608120392495</v>
      </c>
      <c r="Q60" s="661">
        <f t="shared" si="41"/>
        <v>1931</v>
      </c>
      <c r="R60" s="631">
        <f>'Table 3 Levels 1&amp;2'!AS61</f>
        <v>2149651.5</v>
      </c>
      <c r="S60" s="664">
        <f>'Table 3 Levels 1&amp;2'!C61</f>
        <v>699</v>
      </c>
      <c r="T60" s="664">
        <f t="shared" si="51"/>
        <v>701.13951199999997</v>
      </c>
      <c r="U60" s="642">
        <f t="shared" si="42"/>
        <v>3065.9397498054568</v>
      </c>
      <c r="V60" s="643">
        <f t="shared" si="52"/>
        <v>6559.6148859857722</v>
      </c>
      <c r="W60" s="1546">
        <f>'[25]Oct midyear OJJ'!E60</f>
        <v>0</v>
      </c>
      <c r="X60" s="1187">
        <f t="shared" si="43"/>
        <v>0</v>
      </c>
      <c r="Y60" s="1546">
        <f>'[25]Feb midyear OJJ '!E60</f>
        <v>0</v>
      </c>
      <c r="Z60" s="1187">
        <f t="shared" si="44"/>
        <v>0</v>
      </c>
      <c r="AA60" s="1187">
        <f t="shared" si="45"/>
        <v>0</v>
      </c>
      <c r="AB60" s="1187">
        <f t="shared" si="46"/>
        <v>6559.6148859857722</v>
      </c>
      <c r="AC60" s="1187">
        <f>'[23]Oct midyear adj_OJJ'!$K59</f>
        <v>0</v>
      </c>
      <c r="AD60" s="643">
        <f t="shared" si="47"/>
        <v>6559.6148859857722</v>
      </c>
      <c r="AE60" s="643">
        <f>8*545+545+545</f>
        <v>5450</v>
      </c>
      <c r="AF60" s="643">
        <f t="shared" si="48"/>
        <v>1109.6148859857722</v>
      </c>
      <c r="AG60" s="643">
        <f t="shared" si="49"/>
        <v>555</v>
      </c>
      <c r="AH60" s="644">
        <f t="shared" si="50"/>
        <v>29313.223006378266</v>
      </c>
      <c r="AI60" s="662"/>
      <c r="AJ60" s="663"/>
      <c r="AK60" s="644">
        <f t="shared" si="53"/>
        <v>2486</v>
      </c>
    </row>
    <row r="61" spans="1:37">
      <c r="A61" s="647">
        <v>55</v>
      </c>
      <c r="B61" s="648" t="s">
        <v>155</v>
      </c>
      <c r="C61" s="665">
        <f>'[24]Summary for MFP'!$E61</f>
        <v>13.236518</v>
      </c>
      <c r="D61" s="666">
        <f>'Table 3 Levels 1&amp;2'!AP62</f>
        <v>4898.7145516367955</v>
      </c>
      <c r="E61" s="666">
        <f t="shared" si="31"/>
        <v>6448.5903419851602</v>
      </c>
      <c r="F61" s="666">
        <f t="shared" si="35"/>
        <v>7918.937733847355</v>
      </c>
      <c r="G61" s="667">
        <f t="shared" si="36"/>
        <v>104819.16185494972</v>
      </c>
      <c r="H61" s="663"/>
      <c r="I61" s="1502">
        <f>'[1]Oct midyear OJJ'!I61</f>
        <v>0</v>
      </c>
      <c r="J61" s="1502">
        <f>'[25]Feb midyear OJJ '!I61</f>
        <v>0</v>
      </c>
      <c r="K61" s="1502">
        <f t="shared" si="37"/>
        <v>0</v>
      </c>
      <c r="L61" s="666">
        <f t="shared" si="38"/>
        <v>104819.16185494972</v>
      </c>
      <c r="M61" s="1181">
        <f>'[23]Oct midyear adj_OJJ'!$I60</f>
        <v>1465.887995964496</v>
      </c>
      <c r="N61" s="667">
        <f t="shared" si="39"/>
        <v>106285.04985091422</v>
      </c>
      <c r="O61" s="1527">
        <f>8*8833+8833+8833</f>
        <v>88330</v>
      </c>
      <c r="P61" s="667">
        <f t="shared" si="40"/>
        <v>17955.04985091422</v>
      </c>
      <c r="Q61" s="667">
        <f t="shared" si="41"/>
        <v>8978</v>
      </c>
      <c r="R61" s="653">
        <f>'Table 3 Levels 1&amp;2'!AS62</f>
        <v>53802708</v>
      </c>
      <c r="S61" s="668">
        <f>'Table 3 Levels 1&amp;2'!C62</f>
        <v>17687</v>
      </c>
      <c r="T61" s="668">
        <f t="shared" si="51"/>
        <v>17700.236518000002</v>
      </c>
      <c r="U61" s="655">
        <f t="shared" si="42"/>
        <v>3039.6603991865368</v>
      </c>
      <c r="V61" s="656">
        <f t="shared" si="52"/>
        <v>40234.519587719777</v>
      </c>
      <c r="W61" s="1547">
        <f>'[25]Oct midyear OJJ'!E61</f>
        <v>0</v>
      </c>
      <c r="X61" s="1188">
        <f t="shared" si="43"/>
        <v>0</v>
      </c>
      <c r="Y61" s="1547">
        <f>'[25]Feb midyear OJJ '!E61</f>
        <v>0</v>
      </c>
      <c r="Z61" s="1188">
        <f t="shared" si="44"/>
        <v>0</v>
      </c>
      <c r="AA61" s="1188">
        <f t="shared" si="45"/>
        <v>0</v>
      </c>
      <c r="AB61" s="1188">
        <f t="shared" si="46"/>
        <v>40234.519587719777</v>
      </c>
      <c r="AC61" s="1188">
        <f>'[23]Oct midyear adj_OJJ'!$K60</f>
        <v>535.61649182238727</v>
      </c>
      <c r="AD61" s="656">
        <f t="shared" si="47"/>
        <v>40770.136079542164</v>
      </c>
      <c r="AE61" s="656">
        <f>8*3388+3389+3389</f>
        <v>33882</v>
      </c>
      <c r="AF61" s="656">
        <f t="shared" si="48"/>
        <v>6888.1360795421642</v>
      </c>
      <c r="AG61" s="656">
        <f t="shared" si="49"/>
        <v>3444</v>
      </c>
      <c r="AH61" s="657">
        <f t="shared" si="50"/>
        <v>147055.18593045638</v>
      </c>
      <c r="AI61" s="663"/>
      <c r="AJ61" s="663"/>
      <c r="AK61" s="657">
        <f t="shared" si="53"/>
        <v>12422</v>
      </c>
    </row>
    <row r="62" spans="1:37">
      <c r="A62" s="624">
        <v>56</v>
      </c>
      <c r="B62" s="625" t="s">
        <v>156</v>
      </c>
      <c r="C62" s="669">
        <f>'[24]Summary for MFP'!$E62</f>
        <v>0</v>
      </c>
      <c r="D62" s="670">
        <f>'Table 3 Levels 1&amp;2'!AP63</f>
        <v>5690.7488252199082</v>
      </c>
      <c r="E62" s="670">
        <f t="shared" si="31"/>
        <v>7491.2117303742289</v>
      </c>
      <c r="F62" s="670">
        <f t="shared" si="35"/>
        <v>8961.5591222364237</v>
      </c>
      <c r="G62" s="671">
        <f t="shared" si="36"/>
        <v>0</v>
      </c>
      <c r="H62" s="662"/>
      <c r="I62" s="1503">
        <f>'[1]Oct midyear OJJ'!I62</f>
        <v>0</v>
      </c>
      <c r="J62" s="1503">
        <f>'[25]Feb midyear OJJ '!I62</f>
        <v>0</v>
      </c>
      <c r="K62" s="1503">
        <f t="shared" si="37"/>
        <v>0</v>
      </c>
      <c r="L62" s="670">
        <f t="shared" si="38"/>
        <v>0</v>
      </c>
      <c r="M62" s="1182">
        <f>'[23]Oct midyear adj_OJJ'!$I61</f>
        <v>0</v>
      </c>
      <c r="N62" s="671">
        <f t="shared" si="39"/>
        <v>0</v>
      </c>
      <c r="O62" s="1528">
        <f>8*0</f>
        <v>0</v>
      </c>
      <c r="P62" s="671">
        <f t="shared" si="40"/>
        <v>0</v>
      </c>
      <c r="Q62" s="671">
        <f t="shared" si="41"/>
        <v>0</v>
      </c>
      <c r="R62" s="631">
        <f>'Table 3 Levels 1&amp;2'!AS63</f>
        <v>8544928.5</v>
      </c>
      <c r="S62" s="672">
        <f>'Table 3 Levels 1&amp;2'!C63</f>
        <v>2833</v>
      </c>
      <c r="T62" s="672">
        <f t="shared" si="51"/>
        <v>2833</v>
      </c>
      <c r="U62" s="633">
        <f t="shared" si="42"/>
        <v>3016.2119661136603</v>
      </c>
      <c r="V62" s="634">
        <f t="shared" si="52"/>
        <v>0</v>
      </c>
      <c r="W62" s="1545">
        <f>'[25]Oct midyear OJJ'!E62</f>
        <v>0</v>
      </c>
      <c r="X62" s="1186">
        <f t="shared" si="43"/>
        <v>0</v>
      </c>
      <c r="Y62" s="1545">
        <f>'[25]Feb midyear OJJ '!E62</f>
        <v>0</v>
      </c>
      <c r="Z62" s="1186">
        <f t="shared" si="44"/>
        <v>0</v>
      </c>
      <c r="AA62" s="1186">
        <f t="shared" si="45"/>
        <v>0</v>
      </c>
      <c r="AB62" s="1186">
        <f t="shared" si="46"/>
        <v>0</v>
      </c>
      <c r="AC62" s="1186">
        <f>'[23]Oct midyear adj_OJJ'!$K61</f>
        <v>0</v>
      </c>
      <c r="AD62" s="634">
        <f t="shared" si="47"/>
        <v>0</v>
      </c>
      <c r="AE62" s="634">
        <f>8*0</f>
        <v>0</v>
      </c>
      <c r="AF62" s="634">
        <f t="shared" si="48"/>
        <v>0</v>
      </c>
      <c r="AG62" s="634">
        <f t="shared" si="49"/>
        <v>0</v>
      </c>
      <c r="AH62" s="635">
        <f t="shared" si="50"/>
        <v>0</v>
      </c>
      <c r="AI62" s="662"/>
      <c r="AJ62" s="663"/>
      <c r="AK62" s="635">
        <f t="shared" si="53"/>
        <v>0</v>
      </c>
    </row>
    <row r="63" spans="1:37">
      <c r="A63" s="636">
        <v>57</v>
      </c>
      <c r="B63" s="637" t="s">
        <v>157</v>
      </c>
      <c r="C63" s="659">
        <f>'[24]Summary for MFP'!$E63</f>
        <v>2.748532</v>
      </c>
      <c r="D63" s="660">
        <f>'Table 3 Levels 1&amp;2'!AP64</f>
        <v>5173.442900665239</v>
      </c>
      <c r="E63" s="660">
        <f t="shared" si="31"/>
        <v>6810.2383946610207</v>
      </c>
      <c r="F63" s="660">
        <f t="shared" si="35"/>
        <v>8280.5857865232156</v>
      </c>
      <c r="G63" s="661">
        <f t="shared" si="36"/>
        <v>22759.455013004226</v>
      </c>
      <c r="H63" s="662"/>
      <c r="I63" s="1501">
        <f>'[1]Oct midyear OJJ'!I63</f>
        <v>0</v>
      </c>
      <c r="J63" s="1501">
        <f>'[25]Feb midyear OJJ '!I63</f>
        <v>0</v>
      </c>
      <c r="K63" s="1501">
        <f t="shared" si="37"/>
        <v>0</v>
      </c>
      <c r="L63" s="660">
        <f t="shared" si="38"/>
        <v>22759.455013004226</v>
      </c>
      <c r="M63" s="1180">
        <f>'[23]Oct midyear adj_OJJ'!$I62</f>
        <v>0</v>
      </c>
      <c r="N63" s="661">
        <f t="shared" si="39"/>
        <v>22759.455013004226</v>
      </c>
      <c r="O63" s="1526">
        <f>8*1891+1890+1890</f>
        <v>18908</v>
      </c>
      <c r="P63" s="661">
        <f t="shared" si="40"/>
        <v>3851.4550130042262</v>
      </c>
      <c r="Q63" s="661">
        <f t="shared" si="41"/>
        <v>1926</v>
      </c>
      <c r="R63" s="631">
        <f>'Table 3 Levels 1&amp;2'!AS64</f>
        <v>25491517</v>
      </c>
      <c r="S63" s="664">
        <f>'Table 3 Levels 1&amp;2'!C64</f>
        <v>8869</v>
      </c>
      <c r="T63" s="664">
        <f t="shared" si="51"/>
        <v>8871.7485319999996</v>
      </c>
      <c r="U63" s="642">
        <f t="shared" si="42"/>
        <v>2873.3362885628735</v>
      </c>
      <c r="V63" s="643">
        <f t="shared" si="52"/>
        <v>7897.4567358762915</v>
      </c>
      <c r="W63" s="1546">
        <f>'[25]Oct midyear OJJ'!E63</f>
        <v>0</v>
      </c>
      <c r="X63" s="1187">
        <f t="shared" si="43"/>
        <v>0</v>
      </c>
      <c r="Y63" s="1546">
        <f>'[25]Feb midyear OJJ '!E63</f>
        <v>0</v>
      </c>
      <c r="Z63" s="1187">
        <f t="shared" si="44"/>
        <v>0</v>
      </c>
      <c r="AA63" s="1187">
        <f t="shared" si="45"/>
        <v>0</v>
      </c>
      <c r="AB63" s="1187">
        <f t="shared" si="46"/>
        <v>7897.4567358762915</v>
      </c>
      <c r="AC63" s="1187">
        <f>'[23]Oct midyear adj_OJJ'!$K62</f>
        <v>0</v>
      </c>
      <c r="AD63" s="643">
        <f t="shared" si="47"/>
        <v>7897.4567358762915</v>
      </c>
      <c r="AE63" s="643">
        <f>8*658+657+657</f>
        <v>6578</v>
      </c>
      <c r="AF63" s="643">
        <f t="shared" si="48"/>
        <v>1319.4567358762915</v>
      </c>
      <c r="AG63" s="643">
        <f t="shared" si="49"/>
        <v>660</v>
      </c>
      <c r="AH63" s="644">
        <f t="shared" si="50"/>
        <v>30656.911748880517</v>
      </c>
      <c r="AI63" s="662"/>
      <c r="AJ63" s="663"/>
      <c r="AK63" s="644">
        <f t="shared" si="53"/>
        <v>2586</v>
      </c>
    </row>
    <row r="64" spans="1:37">
      <c r="A64" s="636">
        <v>58</v>
      </c>
      <c r="B64" s="637" t="s">
        <v>158</v>
      </c>
      <c r="C64" s="659">
        <f>'[24]Summary for MFP'!$E64</f>
        <v>0.54800000000000004</v>
      </c>
      <c r="D64" s="660">
        <f>'Table 3 Levels 1&amp;2'!AP65</f>
        <v>6038.0874195634678</v>
      </c>
      <c r="E64" s="660">
        <f t="shared" si="31"/>
        <v>7948.4427613462594</v>
      </c>
      <c r="F64" s="660">
        <f t="shared" si="35"/>
        <v>9418.7901532084543</v>
      </c>
      <c r="G64" s="661">
        <f t="shared" si="36"/>
        <v>5161.4970039582331</v>
      </c>
      <c r="H64" s="662"/>
      <c r="I64" s="1501">
        <f>'[1]Oct midyear OJJ'!I64</f>
        <v>0</v>
      </c>
      <c r="J64" s="1501">
        <f>'[25]Feb midyear OJJ '!I64</f>
        <v>0</v>
      </c>
      <c r="K64" s="1501">
        <f t="shared" si="37"/>
        <v>0</v>
      </c>
      <c r="L64" s="660">
        <f t="shared" si="38"/>
        <v>5161.4970039582331</v>
      </c>
      <c r="M64" s="1180">
        <f>'[23]Oct midyear adj_OJJ'!$I63</f>
        <v>0</v>
      </c>
      <c r="N64" s="661">
        <f t="shared" si="39"/>
        <v>5161.4970039582331</v>
      </c>
      <c r="O64" s="1526">
        <f>8*429+430+430</f>
        <v>4292</v>
      </c>
      <c r="P64" s="661">
        <f t="shared" si="40"/>
        <v>869.49700395823311</v>
      </c>
      <c r="Q64" s="661">
        <f t="shared" si="41"/>
        <v>435</v>
      </c>
      <c r="R64" s="631">
        <f>'Table 3 Levels 1&amp;2'!AS65</f>
        <v>17376821</v>
      </c>
      <c r="S64" s="664">
        <f>'Table 3 Levels 1&amp;2'!C65</f>
        <v>9493</v>
      </c>
      <c r="T64" s="664">
        <f t="shared" si="51"/>
        <v>9493.5480000000007</v>
      </c>
      <c r="U64" s="642">
        <f t="shared" si="42"/>
        <v>1830.3821711334897</v>
      </c>
      <c r="V64" s="643">
        <f t="shared" si="52"/>
        <v>1003.0494297811524</v>
      </c>
      <c r="W64" s="1546">
        <f>'[25]Oct midyear OJJ'!E64</f>
        <v>0</v>
      </c>
      <c r="X64" s="1187">
        <f t="shared" si="43"/>
        <v>0</v>
      </c>
      <c r="Y64" s="1546">
        <f>'[25]Feb midyear OJJ '!E64</f>
        <v>0</v>
      </c>
      <c r="Z64" s="1187">
        <f t="shared" si="44"/>
        <v>0</v>
      </c>
      <c r="AA64" s="1187">
        <f t="shared" si="45"/>
        <v>0</v>
      </c>
      <c r="AB64" s="1187">
        <f t="shared" si="46"/>
        <v>1003.0494297811524</v>
      </c>
      <c r="AC64" s="1187">
        <f>'[23]Oct midyear adj_OJJ'!$K63</f>
        <v>0</v>
      </c>
      <c r="AD64" s="643">
        <f t="shared" si="47"/>
        <v>1003.0494297811524</v>
      </c>
      <c r="AE64" s="643">
        <f>8*84+83+83</f>
        <v>838</v>
      </c>
      <c r="AF64" s="643">
        <f t="shared" si="48"/>
        <v>165.04942978115241</v>
      </c>
      <c r="AG64" s="643">
        <f t="shared" si="49"/>
        <v>83</v>
      </c>
      <c r="AH64" s="644">
        <f t="shared" si="50"/>
        <v>6164.546433739386</v>
      </c>
      <c r="AI64" s="662"/>
      <c r="AJ64" s="663"/>
      <c r="AK64" s="644">
        <f t="shared" si="53"/>
        <v>518</v>
      </c>
    </row>
    <row r="65" spans="1:37">
      <c r="A65" s="636">
        <v>59</v>
      </c>
      <c r="B65" s="637" t="s">
        <v>159</v>
      </c>
      <c r="C65" s="659">
        <f>'[24]Summary for MFP'!$E65</f>
        <v>3.8155779999999999</v>
      </c>
      <c r="D65" s="660">
        <f>'Table 3 Levels 1&amp;2'!AP66</f>
        <v>7031.4630912845278</v>
      </c>
      <c r="E65" s="660">
        <f t="shared" si="31"/>
        <v>9256.1067811824578</v>
      </c>
      <c r="F65" s="660">
        <f t="shared" si="35"/>
        <v>10726.454173044653</v>
      </c>
      <c r="G65" s="661">
        <f t="shared" si="36"/>
        <v>40927.622560677366</v>
      </c>
      <c r="H65" s="662"/>
      <c r="I65" s="1501">
        <f>'[1]Oct midyear OJJ'!I65</f>
        <v>0</v>
      </c>
      <c r="J65" s="1501">
        <f>'[25]Feb midyear OJJ '!I65</f>
        <v>0</v>
      </c>
      <c r="K65" s="1501">
        <f t="shared" si="37"/>
        <v>0</v>
      </c>
      <c r="L65" s="660">
        <f t="shared" si="38"/>
        <v>40927.622560677366</v>
      </c>
      <c r="M65" s="1180">
        <f>'[23]Oct midyear adj_OJJ'!$I64</f>
        <v>0</v>
      </c>
      <c r="N65" s="661">
        <f t="shared" si="39"/>
        <v>40927.622560677366</v>
      </c>
      <c r="O65" s="1526">
        <f>8*3405+3405+3405</f>
        <v>34050</v>
      </c>
      <c r="P65" s="661">
        <f t="shared" si="40"/>
        <v>6877.622560677366</v>
      </c>
      <c r="Q65" s="661">
        <f t="shared" si="41"/>
        <v>3439</v>
      </c>
      <c r="R65" s="631">
        <f>'Table 3 Levels 1&amp;2'!AS66</f>
        <v>8757049</v>
      </c>
      <c r="S65" s="664">
        <f>'Table 3 Levels 1&amp;2'!C66</f>
        <v>5177</v>
      </c>
      <c r="T65" s="664">
        <f t="shared" si="51"/>
        <v>5180.8155779999997</v>
      </c>
      <c r="U65" s="642">
        <f t="shared" si="42"/>
        <v>1690.2838690468438</v>
      </c>
      <c r="V65" s="643">
        <f t="shared" si="52"/>
        <v>6449.4099444900185</v>
      </c>
      <c r="W65" s="1546">
        <f>'[25]Oct midyear OJJ'!E65</f>
        <v>0</v>
      </c>
      <c r="X65" s="1187">
        <f t="shared" si="43"/>
        <v>0</v>
      </c>
      <c r="Y65" s="1546">
        <f>'[25]Feb midyear OJJ '!E65</f>
        <v>0</v>
      </c>
      <c r="Z65" s="1187">
        <f t="shared" si="44"/>
        <v>0</v>
      </c>
      <c r="AA65" s="1187">
        <f t="shared" si="45"/>
        <v>0</v>
      </c>
      <c r="AB65" s="1187">
        <f t="shared" si="46"/>
        <v>6449.4099444900185</v>
      </c>
      <c r="AC65" s="1187">
        <f>'[23]Oct midyear adj_OJJ'!$K64</f>
        <v>0</v>
      </c>
      <c r="AD65" s="643">
        <f t="shared" si="47"/>
        <v>6449.4099444900185</v>
      </c>
      <c r="AE65" s="643">
        <f>8*537+536+536</f>
        <v>5368</v>
      </c>
      <c r="AF65" s="643">
        <f t="shared" si="48"/>
        <v>1081.4099444900185</v>
      </c>
      <c r="AG65" s="643">
        <f t="shared" si="49"/>
        <v>541</v>
      </c>
      <c r="AH65" s="644">
        <f t="shared" si="50"/>
        <v>47377.032505167386</v>
      </c>
      <c r="AI65" s="662"/>
      <c r="AJ65" s="663"/>
      <c r="AK65" s="644">
        <f t="shared" si="53"/>
        <v>3980</v>
      </c>
    </row>
    <row r="66" spans="1:37">
      <c r="A66" s="647">
        <v>60</v>
      </c>
      <c r="B66" s="648" t="s">
        <v>160</v>
      </c>
      <c r="C66" s="665">
        <f>'[24]Summary for MFP'!$E66</f>
        <v>3.513636</v>
      </c>
      <c r="D66" s="666">
        <f>'Table 3 Levels 1&amp;2'!AP67</f>
        <v>5430.5199446045763</v>
      </c>
      <c r="E66" s="666">
        <f t="shared" si="31"/>
        <v>7148.6505485472671</v>
      </c>
      <c r="F66" s="666">
        <f t="shared" si="35"/>
        <v>8618.9979404094629</v>
      </c>
      <c r="G66" s="667">
        <f t="shared" si="36"/>
        <v>30284.021447348543</v>
      </c>
      <c r="H66" s="663"/>
      <c r="I66" s="1502">
        <f>'[1]Oct midyear OJJ'!I66</f>
        <v>0</v>
      </c>
      <c r="J66" s="1502">
        <f>'[25]Feb midyear OJJ '!I66</f>
        <v>0</v>
      </c>
      <c r="K66" s="1502">
        <f t="shared" si="37"/>
        <v>0</v>
      </c>
      <c r="L66" s="666">
        <f t="shared" si="38"/>
        <v>30284.021447348543</v>
      </c>
      <c r="M66" s="1181">
        <f>'[23]Oct midyear adj_OJJ'!$I65</f>
        <v>0</v>
      </c>
      <c r="N66" s="667">
        <f t="shared" si="39"/>
        <v>30284.021447348543</v>
      </c>
      <c r="O66" s="1527">
        <f>8*2519+2520+2520</f>
        <v>25192</v>
      </c>
      <c r="P66" s="667">
        <f t="shared" si="40"/>
        <v>5092.021447348543</v>
      </c>
      <c r="Q66" s="667">
        <f t="shared" si="41"/>
        <v>2546</v>
      </c>
      <c r="R66" s="653">
        <f>'Table 3 Levels 1&amp;2'!AS67</f>
        <v>21695236.800000001</v>
      </c>
      <c r="S66" s="668">
        <f>'Table 3 Levels 1&amp;2'!C67</f>
        <v>6468</v>
      </c>
      <c r="T66" s="668">
        <f t="shared" si="51"/>
        <v>6471.5136359999997</v>
      </c>
      <c r="U66" s="655">
        <f t="shared" si="42"/>
        <v>3352.4207813320295</v>
      </c>
      <c r="V66" s="656">
        <f t="shared" si="52"/>
        <v>11779.186344436346</v>
      </c>
      <c r="W66" s="1547">
        <f>'[25]Oct midyear OJJ'!E66</f>
        <v>0</v>
      </c>
      <c r="X66" s="1188">
        <f t="shared" si="43"/>
        <v>0</v>
      </c>
      <c r="Y66" s="1547">
        <f>'[25]Feb midyear OJJ '!E66</f>
        <v>0</v>
      </c>
      <c r="Z66" s="1188">
        <f t="shared" si="44"/>
        <v>0</v>
      </c>
      <c r="AA66" s="1188">
        <f t="shared" si="45"/>
        <v>0</v>
      </c>
      <c r="AB66" s="1188">
        <f t="shared" si="46"/>
        <v>11779.186344436346</v>
      </c>
      <c r="AC66" s="1188">
        <f>'[23]Oct midyear adj_OJJ'!$K65</f>
        <v>0</v>
      </c>
      <c r="AD66" s="656">
        <f t="shared" si="47"/>
        <v>11779.186344436346</v>
      </c>
      <c r="AE66" s="656">
        <f>8*984+984+984</f>
        <v>9840</v>
      </c>
      <c r="AF66" s="656">
        <f t="shared" si="48"/>
        <v>1939.1863444363462</v>
      </c>
      <c r="AG66" s="656">
        <f t="shared" si="49"/>
        <v>970</v>
      </c>
      <c r="AH66" s="657">
        <f t="shared" si="50"/>
        <v>42063.207791784887</v>
      </c>
      <c r="AI66" s="663"/>
      <c r="AJ66" s="663"/>
      <c r="AK66" s="657">
        <f t="shared" si="53"/>
        <v>3516</v>
      </c>
    </row>
    <row r="67" spans="1:37">
      <c r="A67" s="624">
        <v>61</v>
      </c>
      <c r="B67" s="625" t="s">
        <v>161</v>
      </c>
      <c r="C67" s="669">
        <f>'[24]Summary for MFP'!$E67</f>
        <v>2.7744490000000002</v>
      </c>
      <c r="D67" s="670">
        <f>'Table 3 Levels 1&amp;2'!AP68</f>
        <v>3901.8582836912642</v>
      </c>
      <c r="E67" s="670">
        <f t="shared" si="31"/>
        <v>5136.3445203393476</v>
      </c>
      <c r="F67" s="670">
        <f t="shared" si="35"/>
        <v>6606.6919122015424</v>
      </c>
      <c r="G67" s="671">
        <f t="shared" si="36"/>
        <v>18329.929769115657</v>
      </c>
      <c r="H67" s="662"/>
      <c r="I67" s="1503">
        <f>'[1]Oct midyear OJJ'!I67</f>
        <v>0</v>
      </c>
      <c r="J67" s="1503">
        <f>'[25]Feb midyear OJJ '!I67</f>
        <v>0</v>
      </c>
      <c r="K67" s="1503">
        <f t="shared" si="37"/>
        <v>0</v>
      </c>
      <c r="L67" s="670">
        <f t="shared" si="38"/>
        <v>18329.929769115657</v>
      </c>
      <c r="M67" s="1182">
        <f>'[23]Oct midyear adj_OJJ'!$I66</f>
        <v>0</v>
      </c>
      <c r="N67" s="671">
        <f t="shared" si="39"/>
        <v>18329.929769115657</v>
      </c>
      <c r="O67" s="1528">
        <f>8*1526+1526+1526</f>
        <v>15260</v>
      </c>
      <c r="P67" s="671">
        <f t="shared" si="40"/>
        <v>3069.9297691156571</v>
      </c>
      <c r="Q67" s="671">
        <f t="shared" si="41"/>
        <v>1535</v>
      </c>
      <c r="R67" s="631">
        <f>'Table 3 Levels 1&amp;2'!AS68</f>
        <v>16924154.899999999</v>
      </c>
      <c r="S67" s="672">
        <f>'Table 3 Levels 1&amp;2'!C68</f>
        <v>3537</v>
      </c>
      <c r="T67" s="672">
        <f t="shared" si="51"/>
        <v>3539.774449</v>
      </c>
      <c r="U67" s="633">
        <f t="shared" si="42"/>
        <v>4781.1393476726007</v>
      </c>
      <c r="V67" s="634">
        <f t="shared" si="52"/>
        <v>13265.0272820109</v>
      </c>
      <c r="W67" s="1545">
        <f>'[25]Oct midyear OJJ'!E67</f>
        <v>0</v>
      </c>
      <c r="X67" s="1186">
        <f t="shared" si="43"/>
        <v>0</v>
      </c>
      <c r="Y67" s="1545">
        <f>'[25]Feb midyear OJJ '!E67</f>
        <v>0</v>
      </c>
      <c r="Z67" s="1186">
        <f t="shared" si="44"/>
        <v>0</v>
      </c>
      <c r="AA67" s="1186">
        <f t="shared" si="45"/>
        <v>0</v>
      </c>
      <c r="AB67" s="1186">
        <f t="shared" si="46"/>
        <v>13265.0272820109</v>
      </c>
      <c r="AC67" s="1186">
        <f>'[23]Oct midyear adj_OJJ'!$K66</f>
        <v>0</v>
      </c>
      <c r="AD67" s="634">
        <f t="shared" si="47"/>
        <v>13265.0272820109</v>
      </c>
      <c r="AE67" s="634">
        <f>8*1108+1108+1108</f>
        <v>11080</v>
      </c>
      <c r="AF67" s="634">
        <f t="shared" si="48"/>
        <v>2185.0272820109003</v>
      </c>
      <c r="AG67" s="634">
        <f t="shared" si="49"/>
        <v>1093</v>
      </c>
      <c r="AH67" s="635">
        <f t="shared" si="50"/>
        <v>31594.957051126556</v>
      </c>
      <c r="AI67" s="662"/>
      <c r="AJ67" s="663"/>
      <c r="AK67" s="635">
        <f t="shared" si="53"/>
        <v>2628</v>
      </c>
    </row>
    <row r="68" spans="1:37">
      <c r="A68" s="636">
        <v>62</v>
      </c>
      <c r="B68" s="637" t="s">
        <v>162</v>
      </c>
      <c r="C68" s="659">
        <f>'[24]Summary for MFP'!$E68</f>
        <v>0.346883</v>
      </c>
      <c r="D68" s="660">
        <f>'Table 3 Levels 1&amp;2'!AP69</f>
        <v>6093.0344867847607</v>
      </c>
      <c r="E68" s="660">
        <f t="shared" si="31"/>
        <v>8020.774211417227</v>
      </c>
      <c r="F68" s="660">
        <f t="shared" si="35"/>
        <v>9491.1216032794218</v>
      </c>
      <c r="G68" s="661">
        <f t="shared" si="36"/>
        <v>3292.3087351103754</v>
      </c>
      <c r="H68" s="662"/>
      <c r="I68" s="1501">
        <f>'[1]Oct midyear OJJ'!I68</f>
        <v>0</v>
      </c>
      <c r="J68" s="1501">
        <f>'[25]Feb midyear OJJ '!I68</f>
        <v>0</v>
      </c>
      <c r="K68" s="1501">
        <f t="shared" si="37"/>
        <v>0</v>
      </c>
      <c r="L68" s="660">
        <f t="shared" si="38"/>
        <v>3292.3087351103754</v>
      </c>
      <c r="M68" s="1180">
        <f>'[23]Oct midyear adj_OJJ'!$I67</f>
        <v>0</v>
      </c>
      <c r="N68" s="661">
        <f t="shared" si="39"/>
        <v>3292.3087351103754</v>
      </c>
      <c r="O68" s="1526">
        <f>8*274+274+274</f>
        <v>2740</v>
      </c>
      <c r="P68" s="661">
        <f t="shared" si="40"/>
        <v>552.30873511037544</v>
      </c>
      <c r="Q68" s="661">
        <f t="shared" si="41"/>
        <v>276</v>
      </c>
      <c r="R68" s="631">
        <f>'Table 3 Levels 1&amp;2'!AS69</f>
        <v>3613891.5</v>
      </c>
      <c r="S68" s="664">
        <f>'Table 3 Levels 1&amp;2'!C69</f>
        <v>2100</v>
      </c>
      <c r="T68" s="664">
        <f t="shared" si="51"/>
        <v>2100.3468830000002</v>
      </c>
      <c r="U68" s="642">
        <f t="shared" si="42"/>
        <v>1720.6164987557438</v>
      </c>
      <c r="V68" s="643">
        <f t="shared" si="52"/>
        <v>596.85261293788869</v>
      </c>
      <c r="W68" s="1546">
        <f>'[25]Oct midyear OJJ'!E68</f>
        <v>0</v>
      </c>
      <c r="X68" s="1187">
        <f t="shared" si="43"/>
        <v>0</v>
      </c>
      <c r="Y68" s="1546">
        <f>'[25]Feb midyear OJJ '!E68</f>
        <v>0</v>
      </c>
      <c r="Z68" s="1187">
        <f t="shared" si="44"/>
        <v>0</v>
      </c>
      <c r="AA68" s="1187">
        <f t="shared" si="45"/>
        <v>0</v>
      </c>
      <c r="AB68" s="1187">
        <f t="shared" si="46"/>
        <v>596.85261293788869</v>
      </c>
      <c r="AC68" s="1187">
        <f>'[23]Oct midyear adj_OJJ'!$K67</f>
        <v>0</v>
      </c>
      <c r="AD68" s="643">
        <f t="shared" si="47"/>
        <v>596.85261293788869</v>
      </c>
      <c r="AE68" s="643">
        <f>8*49+49+49</f>
        <v>490</v>
      </c>
      <c r="AF68" s="643">
        <f t="shared" si="48"/>
        <v>106.85261293788869</v>
      </c>
      <c r="AG68" s="643">
        <f t="shared" si="49"/>
        <v>53</v>
      </c>
      <c r="AH68" s="644">
        <f t="shared" si="50"/>
        <v>3889.1613480482642</v>
      </c>
      <c r="AI68" s="662"/>
      <c r="AJ68" s="663"/>
      <c r="AK68" s="644">
        <f t="shared" si="53"/>
        <v>329</v>
      </c>
    </row>
    <row r="69" spans="1:37">
      <c r="A69" s="636">
        <v>63</v>
      </c>
      <c r="B69" s="637" t="s">
        <v>163</v>
      </c>
      <c r="C69" s="659">
        <f>'[24]Summary for MFP'!$E69</f>
        <v>1.487805</v>
      </c>
      <c r="D69" s="660">
        <f>'Table 3 Levels 1&amp;2'!AP70</f>
        <v>5183.7744694296953</v>
      </c>
      <c r="E69" s="660">
        <f t="shared" si="31"/>
        <v>6823.8387083453053</v>
      </c>
      <c r="F69" s="660">
        <f t="shared" si="35"/>
        <v>8294.1861002075002</v>
      </c>
      <c r="G69" s="661">
        <f t="shared" si="36"/>
        <v>12340.13155081922</v>
      </c>
      <c r="H69" s="662"/>
      <c r="I69" s="1501">
        <f>'[1]Oct midyear OJJ'!I69</f>
        <v>0</v>
      </c>
      <c r="J69" s="1501">
        <f>'[25]Feb midyear OJJ '!I69</f>
        <v>0</v>
      </c>
      <c r="K69" s="1501">
        <f t="shared" si="37"/>
        <v>0</v>
      </c>
      <c r="L69" s="660">
        <f t="shared" si="38"/>
        <v>12340.13155081922</v>
      </c>
      <c r="M69" s="1180">
        <f>'[23]Oct midyear adj_OJJ'!$I68</f>
        <v>0</v>
      </c>
      <c r="N69" s="661">
        <f t="shared" si="39"/>
        <v>12340.13155081922</v>
      </c>
      <c r="O69" s="1526">
        <f>8*1026+1027+1027</f>
        <v>10262</v>
      </c>
      <c r="P69" s="661">
        <f t="shared" si="40"/>
        <v>2078.1315508192201</v>
      </c>
      <c r="Q69" s="661">
        <f t="shared" si="41"/>
        <v>1039</v>
      </c>
      <c r="R69" s="631">
        <f>'Table 3 Levels 1&amp;2'!AS70</f>
        <v>10134367.5</v>
      </c>
      <c r="S69" s="664">
        <f>'Table 3 Levels 1&amp;2'!C70</f>
        <v>2034</v>
      </c>
      <c r="T69" s="664">
        <f t="shared" si="51"/>
        <v>2035.487805</v>
      </c>
      <c r="U69" s="642">
        <f t="shared" si="42"/>
        <v>4978.8397037338182</v>
      </c>
      <c r="V69" s="643">
        <f t="shared" si="52"/>
        <v>7407.5426054136933</v>
      </c>
      <c r="W69" s="1546">
        <f>'[25]Oct midyear OJJ'!E69</f>
        <v>0</v>
      </c>
      <c r="X69" s="1187">
        <f t="shared" si="43"/>
        <v>0</v>
      </c>
      <c r="Y69" s="1546">
        <f>'[25]Feb midyear OJJ '!E69</f>
        <v>0</v>
      </c>
      <c r="Z69" s="1187">
        <f t="shared" si="44"/>
        <v>0</v>
      </c>
      <c r="AA69" s="1187">
        <f t="shared" si="45"/>
        <v>0</v>
      </c>
      <c r="AB69" s="1187">
        <f t="shared" si="46"/>
        <v>7407.5426054136933</v>
      </c>
      <c r="AC69" s="1187">
        <f>'[23]Oct midyear adj_OJJ'!$K68</f>
        <v>0</v>
      </c>
      <c r="AD69" s="643">
        <f t="shared" si="47"/>
        <v>7407.5426054136933</v>
      </c>
      <c r="AE69" s="643">
        <f>8*619+620+620</f>
        <v>6192</v>
      </c>
      <c r="AF69" s="643">
        <f t="shared" si="48"/>
        <v>1215.5426054136933</v>
      </c>
      <c r="AG69" s="643">
        <f t="shared" si="49"/>
        <v>608</v>
      </c>
      <c r="AH69" s="644">
        <f t="shared" si="50"/>
        <v>19747.674156232912</v>
      </c>
      <c r="AI69" s="662"/>
      <c r="AJ69" s="663"/>
      <c r="AK69" s="644">
        <f t="shared" si="53"/>
        <v>1647</v>
      </c>
    </row>
    <row r="70" spans="1:37">
      <c r="A70" s="636">
        <v>64</v>
      </c>
      <c r="B70" s="637" t="s">
        <v>164</v>
      </c>
      <c r="C70" s="659">
        <f>'[24]Summary for MFP'!$E70</f>
        <v>0</v>
      </c>
      <c r="D70" s="660">
        <f>'Table 3 Levels 1&amp;2'!AP71</f>
        <v>6481.059114770248</v>
      </c>
      <c r="E70" s="660">
        <f t="shared" si="31"/>
        <v>8531.5636934546201</v>
      </c>
      <c r="F70" s="660">
        <f t="shared" si="35"/>
        <v>10001.911085316815</v>
      </c>
      <c r="G70" s="661">
        <f t="shared" si="36"/>
        <v>0</v>
      </c>
      <c r="H70" s="662"/>
      <c r="I70" s="1501">
        <f>'[1]Oct midyear OJJ'!I70</f>
        <v>0</v>
      </c>
      <c r="J70" s="1501">
        <f>'[25]Feb midyear OJJ '!I70</f>
        <v>0</v>
      </c>
      <c r="K70" s="1501">
        <f t="shared" si="37"/>
        <v>0</v>
      </c>
      <c r="L70" s="660">
        <f t="shared" si="38"/>
        <v>0</v>
      </c>
      <c r="M70" s="1180">
        <f>'[23]Oct midyear adj_OJJ'!$I69</f>
        <v>0</v>
      </c>
      <c r="N70" s="661">
        <f t="shared" si="39"/>
        <v>0</v>
      </c>
      <c r="O70" s="1526">
        <f>8*0</f>
        <v>0</v>
      </c>
      <c r="P70" s="661">
        <f t="shared" si="40"/>
        <v>0</v>
      </c>
      <c r="Q70" s="661">
        <f t="shared" si="41"/>
        <v>0</v>
      </c>
      <c r="R70" s="631">
        <f>'Table 3 Levels 1&amp;2'!AS71</f>
        <v>6666707</v>
      </c>
      <c r="S70" s="664">
        <f>'Table 3 Levels 1&amp;2'!C71</f>
        <v>2420</v>
      </c>
      <c r="T70" s="664">
        <f t="shared" si="51"/>
        <v>2420</v>
      </c>
      <c r="U70" s="642">
        <f t="shared" si="42"/>
        <v>2754.8376033057853</v>
      </c>
      <c r="V70" s="643">
        <f t="shared" si="52"/>
        <v>0</v>
      </c>
      <c r="W70" s="1546">
        <f>'[25]Oct midyear OJJ'!E70</f>
        <v>0</v>
      </c>
      <c r="X70" s="1187">
        <f t="shared" si="43"/>
        <v>0</v>
      </c>
      <c r="Y70" s="1546">
        <f>'[25]Feb midyear OJJ '!E70</f>
        <v>0</v>
      </c>
      <c r="Z70" s="1187">
        <f t="shared" si="44"/>
        <v>0</v>
      </c>
      <c r="AA70" s="1187">
        <f t="shared" si="45"/>
        <v>0</v>
      </c>
      <c r="AB70" s="1187">
        <f t="shared" si="46"/>
        <v>0</v>
      </c>
      <c r="AC70" s="1187">
        <f>'[23]Oct midyear adj_OJJ'!$K69</f>
        <v>0</v>
      </c>
      <c r="AD70" s="643">
        <f t="shared" si="47"/>
        <v>0</v>
      </c>
      <c r="AE70" s="643">
        <f>8*0</f>
        <v>0</v>
      </c>
      <c r="AF70" s="643">
        <f t="shared" si="48"/>
        <v>0</v>
      </c>
      <c r="AG70" s="643">
        <f t="shared" si="49"/>
        <v>0</v>
      </c>
      <c r="AH70" s="644">
        <f t="shared" si="50"/>
        <v>0</v>
      </c>
      <c r="AI70" s="662"/>
      <c r="AJ70" s="663"/>
      <c r="AK70" s="644">
        <f t="shared" si="53"/>
        <v>0</v>
      </c>
    </row>
    <row r="71" spans="1:37">
      <c r="A71" s="647">
        <v>65</v>
      </c>
      <c r="B71" s="648" t="s">
        <v>165</v>
      </c>
      <c r="C71" s="665">
        <f>'[24]Summary for MFP'!$E71</f>
        <v>1.232</v>
      </c>
      <c r="D71" s="666">
        <f>'Table 3 Levels 1&amp;2'!AP72</f>
        <v>5413.0118488465914</v>
      </c>
      <c r="E71" s="666">
        <f t="shared" ref="E71:E76" si="54">D71*(1+$E$4)</f>
        <v>7125.6031682556822</v>
      </c>
      <c r="F71" s="666">
        <f t="shared" si="35"/>
        <v>8595.9505601178771</v>
      </c>
      <c r="G71" s="667">
        <f t="shared" si="36"/>
        <v>10590.211090065224</v>
      </c>
      <c r="H71" s="663"/>
      <c r="I71" s="1502">
        <f>'[1]Oct midyear OJJ'!I71</f>
        <v>-103.15140672141462</v>
      </c>
      <c r="J71" s="1502">
        <f>'[25]Feb midyear OJJ '!I71</f>
        <v>0</v>
      </c>
      <c r="K71" s="1502">
        <f t="shared" si="37"/>
        <v>-103.15140672141462</v>
      </c>
      <c r="L71" s="666">
        <f t="shared" si="38"/>
        <v>10487.05968334381</v>
      </c>
      <c r="M71" s="1181">
        <f>'[23]Oct midyear adj_OJJ'!$I70</f>
        <v>0</v>
      </c>
      <c r="N71" s="667">
        <f t="shared" si="39"/>
        <v>10487.05968334381</v>
      </c>
      <c r="O71" s="1527">
        <f>8*885+858+858</f>
        <v>8796</v>
      </c>
      <c r="P71" s="667">
        <f t="shared" si="40"/>
        <v>1691.0596833438103</v>
      </c>
      <c r="Q71" s="667">
        <f t="shared" si="41"/>
        <v>846</v>
      </c>
      <c r="R71" s="653">
        <f>'Table 3 Levels 1&amp;2'!AS72</f>
        <v>32827904.899999999</v>
      </c>
      <c r="S71" s="668">
        <f>'Table 3 Levels 1&amp;2'!C72</f>
        <v>8405</v>
      </c>
      <c r="T71" s="668">
        <f t="shared" ref="T71:T75" si="55">C71+S71</f>
        <v>8406.232</v>
      </c>
      <c r="U71" s="655">
        <f t="shared" si="42"/>
        <v>3905.1866401022476</v>
      </c>
      <c r="V71" s="656">
        <f t="shared" ref="V71:V75" si="56">C71*U71</f>
        <v>4811.1899406059692</v>
      </c>
      <c r="W71" s="1547">
        <f>'[25]Oct midyear OJJ'!E71</f>
        <v>-1.2000000000000011E-2</v>
      </c>
      <c r="X71" s="1188">
        <f t="shared" si="43"/>
        <v>-46.86223968122701</v>
      </c>
      <c r="Y71" s="1547">
        <f>'[25]Feb midyear OJJ '!E71</f>
        <v>0</v>
      </c>
      <c r="Z71" s="1188">
        <f t="shared" si="44"/>
        <v>0</v>
      </c>
      <c r="AA71" s="1188">
        <f t="shared" si="45"/>
        <v>-46.86223968122701</v>
      </c>
      <c r="AB71" s="1188">
        <f t="shared" si="46"/>
        <v>4764.3277009247422</v>
      </c>
      <c r="AC71" s="1188">
        <f>'[23]Oct midyear adj_OJJ'!$K70</f>
        <v>0</v>
      </c>
      <c r="AD71" s="656">
        <f t="shared" si="47"/>
        <v>4764.3277009247422</v>
      </c>
      <c r="AE71" s="656">
        <f>8*397+386+386</f>
        <v>3948</v>
      </c>
      <c r="AF71" s="656">
        <f t="shared" si="48"/>
        <v>816.3277009247422</v>
      </c>
      <c r="AG71" s="656">
        <f t="shared" si="49"/>
        <v>408</v>
      </c>
      <c r="AH71" s="657">
        <f t="shared" si="50"/>
        <v>15251.387384268553</v>
      </c>
      <c r="AI71" s="663"/>
      <c r="AJ71" s="663"/>
      <c r="AK71" s="657">
        <f t="shared" si="53"/>
        <v>1254</v>
      </c>
    </row>
    <row r="72" spans="1:37">
      <c r="A72" s="624">
        <v>66</v>
      </c>
      <c r="B72" s="625" t="s">
        <v>166</v>
      </c>
      <c r="C72" s="669">
        <f>'[24]Summary for MFP'!$E72</f>
        <v>0</v>
      </c>
      <c r="D72" s="670">
        <f>'Table 3 Levels 1&amp;2'!AP73</f>
        <v>6992.3610284803117</v>
      </c>
      <c r="E72" s="670">
        <f t="shared" si="54"/>
        <v>9204.6334442706921</v>
      </c>
      <c r="F72" s="670">
        <f t="shared" ref="F72:F76" si="57">E72+$F$4</f>
        <v>10674.980836132887</v>
      </c>
      <c r="G72" s="671">
        <f>C72*F72</f>
        <v>0</v>
      </c>
      <c r="H72" s="662"/>
      <c r="I72" s="1503">
        <f>'[1]Oct midyear OJJ'!I72</f>
        <v>0</v>
      </c>
      <c r="J72" s="1503">
        <f>'[25]Feb midyear OJJ '!I72</f>
        <v>0</v>
      </c>
      <c r="K72" s="1503">
        <f t="shared" ref="K72:K75" si="58">I72+J72</f>
        <v>0</v>
      </c>
      <c r="L72" s="670">
        <f t="shared" ref="L72:L75" si="59">G72+K72</f>
        <v>0</v>
      </c>
      <c r="M72" s="1182">
        <f>'[23]Oct midyear adj_OJJ'!$I71</f>
        <v>78.017407702758362</v>
      </c>
      <c r="N72" s="671">
        <f t="shared" ref="N72:N75" si="60">SUM(L72:M72)</f>
        <v>78.017407702758362</v>
      </c>
      <c r="O72" s="1528">
        <f>8*7+6+6</f>
        <v>68</v>
      </c>
      <c r="P72" s="671">
        <f t="shared" ref="P72:P75" si="61">N72-O72</f>
        <v>10.017407702758362</v>
      </c>
      <c r="Q72" s="671">
        <f t="shared" ref="Q72:Q75" si="62">ROUND(P72/2,0)</f>
        <v>5</v>
      </c>
      <c r="R72" s="631">
        <f>'Table 3 Levels 1&amp;2'!AS73</f>
        <v>7244965</v>
      </c>
      <c r="S72" s="672">
        <f>'Table 3 Levels 1&amp;2'!C73</f>
        <v>2057</v>
      </c>
      <c r="T72" s="672">
        <f t="shared" si="55"/>
        <v>2057</v>
      </c>
      <c r="U72" s="633">
        <f t="shared" ref="U72:U76" si="63">R72/T72</f>
        <v>3522.1025765678173</v>
      </c>
      <c r="V72" s="634">
        <f t="shared" si="56"/>
        <v>0</v>
      </c>
      <c r="W72" s="1545">
        <f>'[25]Oct midyear OJJ'!E72</f>
        <v>0</v>
      </c>
      <c r="X72" s="1186">
        <f t="shared" ref="X72:X75" si="64">W72*U72</f>
        <v>0</v>
      </c>
      <c r="Y72" s="1545">
        <f>'[25]Feb midyear OJJ '!E72</f>
        <v>0</v>
      </c>
      <c r="Z72" s="1186">
        <f t="shared" ref="Z72:Z75" si="65">Y72*(U72*0.5)</f>
        <v>0</v>
      </c>
      <c r="AA72" s="1186">
        <f t="shared" ref="AA72:AA75" si="66">X72+Z72</f>
        <v>0</v>
      </c>
      <c r="AB72" s="1186">
        <f t="shared" ref="AB72:AB76" si="67">V72+AA72</f>
        <v>0</v>
      </c>
      <c r="AC72" s="1186">
        <f>'[23]Oct midyear adj_OJJ'!$K71</f>
        <v>24.927967259920109</v>
      </c>
      <c r="AD72" s="634">
        <f t="shared" ref="AD72:AD75" si="68">SUM(AB72:AC72)</f>
        <v>24.927967259920109</v>
      </c>
      <c r="AE72" s="634">
        <f>8*2+2+2</f>
        <v>20</v>
      </c>
      <c r="AF72" s="634">
        <f t="shared" ref="AF72:AF75" si="69">AD72-AE72</f>
        <v>4.9279672599201092</v>
      </c>
      <c r="AG72" s="634">
        <f t="shared" ref="AG72:AG75" si="70">ROUND(AF72/2,0)</f>
        <v>2</v>
      </c>
      <c r="AH72" s="635">
        <f t="shared" ref="AH72:AH75" si="71">N72+AD72</f>
        <v>102.94537496267847</v>
      </c>
      <c r="AI72" s="662"/>
      <c r="AJ72" s="663"/>
      <c r="AK72" s="635">
        <f t="shared" si="53"/>
        <v>7</v>
      </c>
    </row>
    <row r="73" spans="1:37">
      <c r="A73" s="636">
        <v>67</v>
      </c>
      <c r="B73" s="637" t="s">
        <v>33</v>
      </c>
      <c r="C73" s="659">
        <f>'[24]Summary for MFP'!$E73</f>
        <v>7.1999999999999995E-2</v>
      </c>
      <c r="D73" s="660">
        <f>'Table 3 Levels 1&amp;2'!AP74</f>
        <v>5774.8780984074228</v>
      </c>
      <c r="E73" s="660">
        <f t="shared" si="54"/>
        <v>7601.9581747397142</v>
      </c>
      <c r="F73" s="660">
        <f t="shared" si="57"/>
        <v>9072.30556660191</v>
      </c>
      <c r="G73" s="661">
        <f>C73*F73</f>
        <v>653.20600079533745</v>
      </c>
      <c r="H73" s="662"/>
      <c r="I73" s="1501">
        <f>'[1]Oct midyear OJJ'!I73</f>
        <v>0</v>
      </c>
      <c r="J73" s="1501">
        <f>'[25]Feb midyear OJJ '!I73</f>
        <v>0</v>
      </c>
      <c r="K73" s="1501">
        <f t="shared" si="58"/>
        <v>0</v>
      </c>
      <c r="L73" s="660">
        <f t="shared" si="59"/>
        <v>653.20600079533745</v>
      </c>
      <c r="M73" s="1180">
        <f>'[23]Oct midyear adj_OJJ'!$I72</f>
        <v>0</v>
      </c>
      <c r="N73" s="661">
        <f t="shared" si="60"/>
        <v>653.20600079533745</v>
      </c>
      <c r="O73" s="1526">
        <f>8*54+55+55</f>
        <v>542</v>
      </c>
      <c r="P73" s="661">
        <f t="shared" si="61"/>
        <v>111.20600079533745</v>
      </c>
      <c r="Q73" s="661">
        <f t="shared" si="62"/>
        <v>56</v>
      </c>
      <c r="R73" s="631">
        <f>'Table 3 Levels 1&amp;2'!AS74</f>
        <v>15555671.4</v>
      </c>
      <c r="S73" s="664">
        <f>'Table 3 Levels 1&amp;2'!C74</f>
        <v>5065</v>
      </c>
      <c r="T73" s="664">
        <f t="shared" si="55"/>
        <v>5065.0720000000001</v>
      </c>
      <c r="U73" s="642">
        <f t="shared" si="63"/>
        <v>3071.1649113773706</v>
      </c>
      <c r="V73" s="643">
        <f t="shared" si="56"/>
        <v>221.12387361917067</v>
      </c>
      <c r="W73" s="1546">
        <f>'[25]Oct midyear OJJ'!E73</f>
        <v>0</v>
      </c>
      <c r="X73" s="1187">
        <f t="shared" si="64"/>
        <v>0</v>
      </c>
      <c r="Y73" s="1546">
        <f>'[25]Feb midyear OJJ '!E73</f>
        <v>0</v>
      </c>
      <c r="Z73" s="1187">
        <f t="shared" si="65"/>
        <v>0</v>
      </c>
      <c r="AA73" s="1187">
        <f t="shared" si="66"/>
        <v>0</v>
      </c>
      <c r="AB73" s="1187">
        <f t="shared" si="67"/>
        <v>221.12387361917067</v>
      </c>
      <c r="AC73" s="1187">
        <f>'[23]Oct midyear adj_OJJ'!$K72</f>
        <v>0</v>
      </c>
      <c r="AD73" s="643">
        <f t="shared" si="68"/>
        <v>221.12387361917067</v>
      </c>
      <c r="AE73" s="643">
        <f>8*18+19+19</f>
        <v>182</v>
      </c>
      <c r="AF73" s="643">
        <f t="shared" si="69"/>
        <v>39.123873619170666</v>
      </c>
      <c r="AG73" s="643">
        <f t="shared" si="70"/>
        <v>20</v>
      </c>
      <c r="AH73" s="644">
        <f t="shared" si="71"/>
        <v>874.32987441450814</v>
      </c>
      <c r="AI73" s="662"/>
      <c r="AJ73" s="663"/>
      <c r="AK73" s="644">
        <f t="shared" si="53"/>
        <v>76</v>
      </c>
    </row>
    <row r="74" spans="1:37">
      <c r="A74" s="636">
        <v>68</v>
      </c>
      <c r="B74" s="637" t="s">
        <v>31</v>
      </c>
      <c r="C74" s="659">
        <f>'[24]Summary for MFP'!$E74</f>
        <v>0</v>
      </c>
      <c r="D74" s="660">
        <f>'Table 3 Levels 1&amp;2'!AP75</f>
        <v>6661.7555846044143</v>
      </c>
      <c r="E74" s="660">
        <f t="shared" si="54"/>
        <v>8769.429667869088</v>
      </c>
      <c r="F74" s="660">
        <f t="shared" si="57"/>
        <v>10239.777059731283</v>
      </c>
      <c r="G74" s="661">
        <f>C74*F74</f>
        <v>0</v>
      </c>
      <c r="H74" s="662"/>
      <c r="I74" s="1501">
        <f>'[1]Oct midyear OJJ'!I74</f>
        <v>0</v>
      </c>
      <c r="J74" s="1501">
        <f>'[25]Feb midyear OJJ '!I74</f>
        <v>0</v>
      </c>
      <c r="K74" s="1501">
        <f t="shared" si="58"/>
        <v>0</v>
      </c>
      <c r="L74" s="660">
        <f t="shared" si="59"/>
        <v>0</v>
      </c>
      <c r="M74" s="1180">
        <f>'[23]Oct midyear adj_OJJ'!$I73</f>
        <v>0</v>
      </c>
      <c r="N74" s="661">
        <f t="shared" si="60"/>
        <v>0</v>
      </c>
      <c r="O74" s="1526">
        <f>8*0</f>
        <v>0</v>
      </c>
      <c r="P74" s="661">
        <f t="shared" si="61"/>
        <v>0</v>
      </c>
      <c r="Q74" s="661">
        <f t="shared" si="62"/>
        <v>0</v>
      </c>
      <c r="R74" s="631">
        <f>'Table 3 Levels 1&amp;2'!AS75</f>
        <v>5087485</v>
      </c>
      <c r="S74" s="664">
        <f>'Table 3 Levels 1&amp;2'!C75</f>
        <v>1767</v>
      </c>
      <c r="T74" s="664">
        <f t="shared" si="55"/>
        <v>1767</v>
      </c>
      <c r="U74" s="642">
        <f t="shared" si="63"/>
        <v>2879.1652518392757</v>
      </c>
      <c r="V74" s="643">
        <f t="shared" si="56"/>
        <v>0</v>
      </c>
      <c r="W74" s="1546">
        <f>'[25]Oct midyear OJJ'!E74</f>
        <v>0</v>
      </c>
      <c r="X74" s="1187">
        <f t="shared" si="64"/>
        <v>0</v>
      </c>
      <c r="Y74" s="1546">
        <f>'[25]Feb midyear OJJ '!E74</f>
        <v>0</v>
      </c>
      <c r="Z74" s="1187">
        <f t="shared" si="65"/>
        <v>0</v>
      </c>
      <c r="AA74" s="1187">
        <f t="shared" si="66"/>
        <v>0</v>
      </c>
      <c r="AB74" s="1187">
        <f t="shared" si="67"/>
        <v>0</v>
      </c>
      <c r="AC74" s="1187">
        <f>'[23]Oct midyear adj_OJJ'!$K73</f>
        <v>0</v>
      </c>
      <c r="AD74" s="643">
        <f t="shared" si="68"/>
        <v>0</v>
      </c>
      <c r="AE74" s="643">
        <f>8*0</f>
        <v>0</v>
      </c>
      <c r="AF74" s="643">
        <f t="shared" si="69"/>
        <v>0</v>
      </c>
      <c r="AG74" s="643">
        <f t="shared" si="70"/>
        <v>0</v>
      </c>
      <c r="AH74" s="644">
        <f t="shared" si="71"/>
        <v>0</v>
      </c>
      <c r="AI74" s="662"/>
      <c r="AJ74" s="663"/>
      <c r="AK74" s="644">
        <f t="shared" si="53"/>
        <v>0</v>
      </c>
    </row>
    <row r="75" spans="1:37">
      <c r="A75" s="673">
        <v>69</v>
      </c>
      <c r="B75" s="674" t="s">
        <v>229</v>
      </c>
      <c r="C75" s="675">
        <f>'[24]Summary for MFP'!$E75</f>
        <v>0</v>
      </c>
      <c r="D75" s="676">
        <f>'Table 3 Levels 1&amp;2'!AP76</f>
        <v>6226.2670585120813</v>
      </c>
      <c r="E75" s="676">
        <f t="shared" si="54"/>
        <v>8196.1594612051686</v>
      </c>
      <c r="F75" s="676">
        <f t="shared" si="57"/>
        <v>9666.5068530673634</v>
      </c>
      <c r="G75" s="677">
        <f>C75*F75</f>
        <v>0</v>
      </c>
      <c r="H75" s="662"/>
      <c r="I75" s="1504">
        <f>'[1]Oct midyear OJJ'!I75</f>
        <v>0</v>
      </c>
      <c r="J75" s="1504">
        <f>'[25]Feb midyear OJJ '!I75</f>
        <v>0</v>
      </c>
      <c r="K75" s="1504">
        <f t="shared" si="58"/>
        <v>0</v>
      </c>
      <c r="L75" s="676">
        <f t="shared" si="59"/>
        <v>0</v>
      </c>
      <c r="M75" s="1183">
        <f>'[23]Oct midyear adj_OJJ'!$I74</f>
        <v>0</v>
      </c>
      <c r="N75" s="677">
        <f t="shared" si="60"/>
        <v>0</v>
      </c>
      <c r="O75" s="1529">
        <f>8*0</f>
        <v>0</v>
      </c>
      <c r="P75" s="677">
        <f t="shared" si="61"/>
        <v>0</v>
      </c>
      <c r="Q75" s="677">
        <f t="shared" si="62"/>
        <v>0</v>
      </c>
      <c r="R75" s="631">
        <f>'Table 3 Levels 1&amp;2'!AS76</f>
        <v>11116832.6</v>
      </c>
      <c r="S75" s="678">
        <f>'Table 3 Levels 1&amp;2'!C76</f>
        <v>3940</v>
      </c>
      <c r="T75" s="678">
        <f t="shared" si="55"/>
        <v>3940</v>
      </c>
      <c r="U75" s="679">
        <f t="shared" si="63"/>
        <v>2821.5311167512691</v>
      </c>
      <c r="V75" s="680">
        <f t="shared" si="56"/>
        <v>0</v>
      </c>
      <c r="W75" s="1548">
        <f>'[25]Oct midyear OJJ'!E75</f>
        <v>0</v>
      </c>
      <c r="X75" s="1189">
        <f t="shared" si="64"/>
        <v>0</v>
      </c>
      <c r="Y75" s="1548">
        <f>'[25]Feb midyear OJJ '!E75</f>
        <v>0</v>
      </c>
      <c r="Z75" s="1189">
        <f t="shared" si="65"/>
        <v>0</v>
      </c>
      <c r="AA75" s="1189">
        <f t="shared" si="66"/>
        <v>0</v>
      </c>
      <c r="AB75" s="1189">
        <f t="shared" si="67"/>
        <v>0</v>
      </c>
      <c r="AC75" s="1189">
        <f>'[23]Oct midyear adj_OJJ'!$K74</f>
        <v>0</v>
      </c>
      <c r="AD75" s="680">
        <f t="shared" si="68"/>
        <v>0</v>
      </c>
      <c r="AE75" s="680">
        <f>8*0</f>
        <v>0</v>
      </c>
      <c r="AF75" s="680">
        <f t="shared" si="69"/>
        <v>0</v>
      </c>
      <c r="AG75" s="680">
        <f t="shared" si="70"/>
        <v>0</v>
      </c>
      <c r="AH75" s="681">
        <f t="shared" si="71"/>
        <v>0</v>
      </c>
      <c r="AI75" s="662"/>
      <c r="AJ75" s="663"/>
      <c r="AK75" s="681">
        <f t="shared" si="53"/>
        <v>0</v>
      </c>
    </row>
    <row r="76" spans="1:37" s="8" customFormat="1" ht="13.5" thickBot="1">
      <c r="A76" s="682"/>
      <c r="B76" s="683" t="s">
        <v>167</v>
      </c>
      <c r="C76" s="684">
        <f>SUM(C7:C75)</f>
        <v>310.69909400000006</v>
      </c>
      <c r="D76" s="685">
        <f>'Table 3 Levels 1&amp;2'!AP77</f>
        <v>5041.6011463398772</v>
      </c>
      <c r="E76" s="685">
        <f t="shared" si="54"/>
        <v>6636.6839948993866</v>
      </c>
      <c r="F76" s="685">
        <f t="shared" si="57"/>
        <v>8107.0313867615814</v>
      </c>
      <c r="G76" s="686">
        <f>SUM(G7:G75)</f>
        <v>2436398.4398358227</v>
      </c>
      <c r="H76" s="686">
        <f t="shared" ref="H76:L76" si="72">SUM(H7:H75)</f>
        <v>0</v>
      </c>
      <c r="I76" s="1505">
        <f t="shared" si="72"/>
        <v>-3282.5078118408192</v>
      </c>
      <c r="J76" s="1505">
        <f t="shared" si="72"/>
        <v>0</v>
      </c>
      <c r="K76" s="1505">
        <f t="shared" si="72"/>
        <v>-3282.5078118408192</v>
      </c>
      <c r="L76" s="685">
        <f t="shared" si="72"/>
        <v>2433115.9320239816</v>
      </c>
      <c r="M76" s="1184">
        <f t="shared" ref="M76:T76" si="73">SUM(M7:M75)</f>
        <v>-5928.4203465283663</v>
      </c>
      <c r="N76" s="686">
        <f t="shared" si="73"/>
        <v>2427187.5116774533</v>
      </c>
      <c r="O76" s="686">
        <f>SUM(O7:O75)</f>
        <v>2038942</v>
      </c>
      <c r="P76" s="686">
        <f t="shared" si="73"/>
        <v>388245.51167745382</v>
      </c>
      <c r="Q76" s="686">
        <f t="shared" si="73"/>
        <v>194125</v>
      </c>
      <c r="R76" s="688">
        <f t="shared" si="73"/>
        <v>2361141497.9499998</v>
      </c>
      <c r="S76" s="689">
        <f t="shared" si="73"/>
        <v>672250</v>
      </c>
      <c r="T76" s="689">
        <f t="shared" si="73"/>
        <v>672560.69909400004</v>
      </c>
      <c r="U76" s="688">
        <f t="shared" si="63"/>
        <v>3510.6742055113696</v>
      </c>
      <c r="V76" s="690">
        <f t="shared" ref="V76:AA76" si="74">SUM(V7:V75)</f>
        <v>1147674.1389900534</v>
      </c>
      <c r="W76" s="1549">
        <f t="shared" si="74"/>
        <v>-0.30800000000000072</v>
      </c>
      <c r="X76" s="1190">
        <f t="shared" si="74"/>
        <v>-438.3614088938549</v>
      </c>
      <c r="Y76" s="1549">
        <f t="shared" si="74"/>
        <v>0</v>
      </c>
      <c r="Z76" s="690">
        <f t="shared" si="74"/>
        <v>0</v>
      </c>
      <c r="AA76" s="1190">
        <f t="shared" si="74"/>
        <v>-438.3614088938549</v>
      </c>
      <c r="AB76" s="690">
        <f t="shared" si="67"/>
        <v>1147235.7775811595</v>
      </c>
      <c r="AC76" s="1190">
        <f>SUM(AC7:AC75)</f>
        <v>-1367.1787041319185</v>
      </c>
      <c r="AD76" s="1190">
        <f>SUM(AD7:AD75)</f>
        <v>1145868.5988770276</v>
      </c>
      <c r="AE76" s="1190">
        <f t="shared" ref="AE76:AF76" si="75">SUM(AE7:AE75)</f>
        <v>951540</v>
      </c>
      <c r="AF76" s="1190">
        <f t="shared" si="75"/>
        <v>194328.59887702775</v>
      </c>
      <c r="AG76" s="690">
        <f>SUM(AG7:AG75)</f>
        <v>97169</v>
      </c>
      <c r="AH76" s="691">
        <f>SUM(AH7:AH75)</f>
        <v>3573056.1105544819</v>
      </c>
      <c r="AI76" s="687"/>
      <c r="AJ76" s="687"/>
      <c r="AK76" s="691">
        <f>SUM(AK7:AK75)</f>
        <v>291294</v>
      </c>
    </row>
    <row r="77" spans="1:37" s="8" customFormat="1" ht="13.5" thickTop="1">
      <c r="A77" s="692"/>
      <c r="B77" s="692"/>
      <c r="C77" s="693"/>
      <c r="D77" s="693"/>
      <c r="E77" s="693"/>
      <c r="F77" s="693"/>
      <c r="H77" s="694"/>
      <c r="I77" s="694"/>
      <c r="J77" s="694"/>
      <c r="K77" s="694"/>
      <c r="L77" s="694"/>
      <c r="M77" s="694"/>
      <c r="N77" s="694"/>
      <c r="O77" s="694"/>
      <c r="P77" s="694"/>
      <c r="R77" s="695"/>
      <c r="S77" s="696"/>
      <c r="T77" s="695"/>
      <c r="U77" s="695"/>
      <c r="V77" s="695"/>
      <c r="W77" s="695"/>
      <c r="X77" s="695"/>
      <c r="Y77" s="695"/>
      <c r="Z77" s="695"/>
      <c r="AA77" s="695"/>
      <c r="AB77" s="695"/>
      <c r="AC77" s="695"/>
      <c r="AD77" s="695"/>
      <c r="AE77" s="695"/>
      <c r="AF77" s="695"/>
      <c r="AG77" s="695"/>
      <c r="AI77" s="694"/>
      <c r="AJ77" s="694"/>
    </row>
    <row r="78" spans="1:37" ht="16.5" customHeight="1">
      <c r="A78" s="697"/>
      <c r="C78" s="698"/>
      <c r="S78" s="698"/>
    </row>
    <row r="79" spans="1:37" ht="12.75" hidden="1" customHeight="1">
      <c r="E79" s="2">
        <v>177</v>
      </c>
      <c r="F79" s="2"/>
      <c r="O79" s="1696">
        <f>O76</f>
        <v>2038942</v>
      </c>
    </row>
    <row r="80" spans="1:37" hidden="1">
      <c r="E80" s="338">
        <v>233</v>
      </c>
      <c r="F80" s="64"/>
      <c r="O80" s="646">
        <v>16908</v>
      </c>
      <c r="P80" s="1697" t="s">
        <v>1407</v>
      </c>
    </row>
    <row r="81" spans="3:36" hidden="1">
      <c r="E81" s="2">
        <f>E80-E79</f>
        <v>56</v>
      </c>
      <c r="F81" s="2"/>
      <c r="O81" s="1696">
        <f>O79-O80</f>
        <v>2022034</v>
      </c>
      <c r="P81" s="1698" t="s">
        <v>1408</v>
      </c>
    </row>
    <row r="82" spans="3:36" hidden="1">
      <c r="E82" s="2"/>
      <c r="F82" s="2"/>
    </row>
    <row r="83" spans="3:36" hidden="1">
      <c r="E83" s="2">
        <f>E81/E79</f>
        <v>0.31638418079096048</v>
      </c>
      <c r="F83" s="2"/>
      <c r="G83" s="699" t="s">
        <v>539</v>
      </c>
      <c r="H83" s="700"/>
      <c r="I83" s="700"/>
      <c r="J83" s="700"/>
      <c r="K83" s="700"/>
      <c r="L83" s="700"/>
      <c r="M83" s="700"/>
      <c r="N83" s="700"/>
      <c r="O83" s="700"/>
      <c r="P83" s="700"/>
      <c r="Q83" s="699"/>
      <c r="AI83" s="700"/>
      <c r="AJ83" s="700"/>
    </row>
    <row r="84" spans="3:36" ht="10.5" hidden="1" customHeight="1"/>
    <row r="85" spans="3:36" hidden="1"/>
    <row r="86" spans="3:36" hidden="1">
      <c r="C86" s="701">
        <v>85661</v>
      </c>
      <c r="D86" s="702" t="s">
        <v>540</v>
      </c>
    </row>
    <row r="87" spans="3:36" hidden="1">
      <c r="C87" s="701">
        <v>650290</v>
      </c>
      <c r="D87" s="702" t="s">
        <v>541</v>
      </c>
    </row>
    <row r="88" spans="3:36" hidden="1">
      <c r="C88" s="703">
        <f>C86/C87</f>
        <v>0.13172738316750987</v>
      </c>
      <c r="D88" s="702" t="s">
        <v>542</v>
      </c>
    </row>
    <row r="89" spans="3:36" hidden="1">
      <c r="C89" s="701"/>
      <c r="D89" s="702"/>
    </row>
    <row r="90" spans="3:36" hidden="1">
      <c r="C90" s="701">
        <v>128510</v>
      </c>
      <c r="D90" s="702" t="s">
        <v>543</v>
      </c>
    </row>
    <row r="91" spans="3:36" hidden="1">
      <c r="C91" s="701">
        <v>911320</v>
      </c>
      <c r="D91" s="702" t="s">
        <v>544</v>
      </c>
    </row>
    <row r="92" spans="3:36" hidden="1">
      <c r="C92" s="703">
        <f>C90/C91</f>
        <v>0.14101523065443533</v>
      </c>
      <c r="D92" s="702" t="s">
        <v>545</v>
      </c>
    </row>
    <row r="93" spans="3:36" hidden="1">
      <c r="C93" s="701"/>
      <c r="D93" s="702"/>
    </row>
    <row r="94" spans="3:36" hidden="1">
      <c r="C94" s="704">
        <v>2663489616</v>
      </c>
      <c r="D94" s="580" t="s">
        <v>546</v>
      </c>
    </row>
    <row r="95" spans="3:36" hidden="1">
      <c r="C95" s="705">
        <f>C92</f>
        <v>0.14101523065443533</v>
      </c>
      <c r="D95" s="580"/>
    </row>
    <row r="96" spans="3:36" hidden="1">
      <c r="C96" s="706">
        <f>C94*C95</f>
        <v>375592602.54593337</v>
      </c>
      <c r="D96" s="702" t="s">
        <v>547</v>
      </c>
    </row>
    <row r="97" spans="3:4" hidden="1">
      <c r="C97" s="707">
        <f>50%/C92</f>
        <v>3.5457162866702978</v>
      </c>
      <c r="D97" s="580" t="s">
        <v>548</v>
      </c>
    </row>
    <row r="98" spans="3:4" hidden="1">
      <c r="C98" s="706">
        <f>C96*C97</f>
        <v>1331744808</v>
      </c>
      <c r="D98" s="708" t="s">
        <v>549</v>
      </c>
    </row>
    <row r="99" spans="3:4" hidden="1">
      <c r="C99" s="709">
        <f>C87</f>
        <v>650290</v>
      </c>
      <c r="D99" s="580" t="s">
        <v>550</v>
      </c>
    </row>
    <row r="100" spans="3:4" hidden="1">
      <c r="C100" s="706">
        <f>C98/C99</f>
        <v>2047.9244767719017</v>
      </c>
      <c r="D100" s="580" t="s">
        <v>551</v>
      </c>
    </row>
    <row r="101" spans="3:4" hidden="1">
      <c r="C101" s="710">
        <f>(C96/C99)*-1</f>
        <v>-577.57708490970697</v>
      </c>
      <c r="D101" s="580" t="s">
        <v>552</v>
      </c>
    </row>
    <row r="102" spans="3:4" hidden="1">
      <c r="C102" s="711">
        <f>SUM(C100:C101)</f>
        <v>1470.3473918621949</v>
      </c>
      <c r="D102" s="580" t="s">
        <v>553</v>
      </c>
    </row>
    <row r="103" spans="3:4" hidden="1">
      <c r="C103" s="711"/>
      <c r="D103" s="580"/>
    </row>
    <row r="104" spans="3:4" hidden="1">
      <c r="C104" s="711"/>
      <c r="D104" s="580"/>
    </row>
    <row r="105" spans="3:4" hidden="1">
      <c r="D105" s="580"/>
    </row>
  </sheetData>
  <mergeCells count="35">
    <mergeCell ref="A2:B4"/>
    <mergeCell ref="AH2:AH4"/>
    <mergeCell ref="C3:C4"/>
    <mergeCell ref="D3:D4"/>
    <mergeCell ref="G3:G4"/>
    <mergeCell ref="Q3:Q4"/>
    <mergeCell ref="C2:Q2"/>
    <mergeCell ref="R2:AG2"/>
    <mergeCell ref="M3:M4"/>
    <mergeCell ref="N3:N4"/>
    <mergeCell ref="AC3:AC4"/>
    <mergeCell ref="AD3:AD4"/>
    <mergeCell ref="I3:I4"/>
    <mergeCell ref="J3:J4"/>
    <mergeCell ref="K3:K4"/>
    <mergeCell ref="L3:L4"/>
    <mergeCell ref="AJ20:AJ22"/>
    <mergeCell ref="U3:U4"/>
    <mergeCell ref="V3:V4"/>
    <mergeCell ref="AJ9:AJ10"/>
    <mergeCell ref="AJ12:AJ14"/>
    <mergeCell ref="AG3:AG4"/>
    <mergeCell ref="W3:W4"/>
    <mergeCell ref="X3:X4"/>
    <mergeCell ref="Y3:Y4"/>
    <mergeCell ref="Z3:Z4"/>
    <mergeCell ref="AA3:AA4"/>
    <mergeCell ref="AB3:AB4"/>
    <mergeCell ref="AE3:AE4"/>
    <mergeCell ref="AF3:AF4"/>
    <mergeCell ref="AK2:AK4"/>
    <mergeCell ref="AJ16:AJ18"/>
    <mergeCell ref="R3:R4"/>
    <mergeCell ref="S3:S4"/>
    <mergeCell ref="T3:T4"/>
  </mergeCells>
  <printOptions horizontalCentered="1"/>
  <pageMargins left="0.27" right="0.25" top="0.87" bottom="0.2" header="0.25" footer="0.2"/>
  <pageSetup paperSize="5" scale="63" firstPageNumber="90" fitToWidth="3" orientation="portrait" useFirstPageNumber="1" r:id="rId1"/>
  <headerFooter alignWithMargins="0">
    <oddHeader xml:space="preserve">&amp;L&amp;"Arial,Bold"&amp;16Table 5E:  FY2012-13 MFP Budget Letter &amp;"Arial,Regular"&amp;10
&amp;"Arial,Bold"&amp;14Office of Juvenile Justice (May 2013)&amp;R&amp;"Arial,Bold"&amp;12&amp;KFF0000
</oddHeader>
    <oddFooter>&amp;R&amp;9&amp;P</oddFooter>
  </headerFooter>
  <colBreaks count="2" manualBreakCount="2">
    <brk id="11" min="1" max="77" man="1"/>
    <brk id="17" min="1" max="78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view="pageBreakPreview" zoomScale="80" zoomScaleNormal="85" zoomScaleSheetLayoutView="80" workbookViewId="0">
      <pane xSplit="2" ySplit="7" topLeftCell="C8" activePane="bottomRight" state="frozen"/>
      <selection activeCell="A8" sqref="A8:A9"/>
      <selection pane="topRight" activeCell="A8" sqref="A8:A9"/>
      <selection pane="bottomLeft" activeCell="A8" sqref="A8:A9"/>
      <selection pane="bottomRight" activeCell="H6" sqref="H6"/>
    </sheetView>
  </sheetViews>
  <sheetFormatPr defaultRowHeight="12.75"/>
  <cols>
    <col min="1" max="1" width="4.7109375" customWidth="1"/>
    <col min="2" max="2" width="18.5703125" customWidth="1"/>
    <col min="3" max="3" width="18.42578125" customWidth="1"/>
    <col min="4" max="4" width="17.7109375" customWidth="1"/>
    <col min="5" max="5" width="19.42578125" customWidth="1"/>
    <col min="6" max="6" width="17" customWidth="1"/>
    <col min="7" max="7" width="18.7109375" customWidth="1"/>
    <col min="8" max="8" width="15.42578125" customWidth="1"/>
    <col min="9" max="9" width="14.42578125" customWidth="1"/>
    <col min="10" max="10" width="16" customWidth="1"/>
    <col min="11" max="11" width="13.7109375" customWidth="1"/>
    <col min="13" max="13" width="12.7109375" customWidth="1"/>
  </cols>
  <sheetData>
    <row r="1" spans="1:10" ht="46.5" customHeight="1">
      <c r="B1" s="231" t="s">
        <v>247</v>
      </c>
      <c r="C1" s="232"/>
      <c r="D1" s="232"/>
      <c r="E1" s="233"/>
      <c r="F1" s="233"/>
      <c r="G1" s="233"/>
      <c r="H1" s="233"/>
      <c r="I1" s="233"/>
      <c r="J1" s="233"/>
    </row>
    <row r="2" spans="1:10" ht="15" customHeight="1">
      <c r="A2" s="48"/>
      <c r="B2" s="48"/>
      <c r="C2" s="2"/>
      <c r="D2" s="2"/>
      <c r="E2" s="948">
        <f>'Table 7 Local Revenue'!AD77</f>
        <v>40.24</v>
      </c>
      <c r="F2" s="2"/>
      <c r="G2" s="2"/>
      <c r="H2" s="949">
        <f>'Table 7 Local Revenue'!AF77</f>
        <v>1.9800000000000002E-2</v>
      </c>
      <c r="I2" s="2"/>
      <c r="J2" s="2"/>
    </row>
    <row r="3" spans="1:10" ht="40.5" hidden="1" customHeight="1">
      <c r="A3" s="48"/>
      <c r="C3" s="115"/>
      <c r="D3" s="115"/>
      <c r="E3" s="115" t="s">
        <v>63</v>
      </c>
      <c r="F3" s="115"/>
      <c r="G3" s="115"/>
      <c r="H3" s="115" t="s">
        <v>64</v>
      </c>
      <c r="I3" s="115"/>
      <c r="J3" s="115"/>
    </row>
    <row r="4" spans="1:10" ht="45" customHeight="1">
      <c r="A4" s="1811" t="s">
        <v>203</v>
      </c>
      <c r="B4" s="1811" t="s">
        <v>3</v>
      </c>
      <c r="C4" s="2108" t="s">
        <v>269</v>
      </c>
      <c r="D4" s="2109"/>
      <c r="E4" s="2110"/>
      <c r="F4" s="2108" t="s">
        <v>227</v>
      </c>
      <c r="G4" s="2109"/>
      <c r="H4" s="2109"/>
      <c r="I4" s="2109"/>
      <c r="J4" s="2110"/>
    </row>
    <row r="5" spans="1:10" ht="51.75" customHeight="1">
      <c r="A5" s="2106"/>
      <c r="B5" s="2106"/>
      <c r="C5" s="2075" t="s">
        <v>683</v>
      </c>
      <c r="D5" s="2075" t="s">
        <v>680</v>
      </c>
      <c r="E5" s="67" t="s">
        <v>237</v>
      </c>
      <c r="F5" s="2075" t="s">
        <v>681</v>
      </c>
      <c r="G5" s="2075" t="s">
        <v>682</v>
      </c>
      <c r="H5" s="67" t="s">
        <v>236</v>
      </c>
      <c r="I5" s="2075" t="s">
        <v>270</v>
      </c>
      <c r="J5" s="2075" t="s">
        <v>291</v>
      </c>
    </row>
    <row r="6" spans="1:10" ht="15.75" customHeight="1">
      <c r="A6" s="2107"/>
      <c r="B6" s="2107"/>
      <c r="C6" s="2075"/>
      <c r="D6" s="2075"/>
      <c r="E6" s="373">
        <f>'Table 7 Local Revenue'!AD77*42.82%</f>
        <v>17.230768000000001</v>
      </c>
      <c r="F6" s="2075"/>
      <c r="G6" s="2075"/>
      <c r="H6" s="374">
        <f>'Table 7 Local Revenue'!AF77*42.82%</f>
        <v>8.4783600000000008E-3</v>
      </c>
      <c r="I6" s="2075"/>
      <c r="J6" s="2075"/>
    </row>
    <row r="7" spans="1:10">
      <c r="A7" s="63"/>
      <c r="B7" s="63"/>
      <c r="C7" s="215">
        <v>1</v>
      </c>
      <c r="D7" s="216">
        <f t="shared" ref="D7:J7" si="0">1+C7</f>
        <v>2</v>
      </c>
      <c r="E7" s="216">
        <f t="shared" si="0"/>
        <v>3</v>
      </c>
      <c r="F7" s="216">
        <f t="shared" si="0"/>
        <v>4</v>
      </c>
      <c r="G7" s="216">
        <f t="shared" si="0"/>
        <v>5</v>
      </c>
      <c r="H7" s="216">
        <f t="shared" si="0"/>
        <v>6</v>
      </c>
      <c r="I7" s="261">
        <f t="shared" si="0"/>
        <v>7</v>
      </c>
      <c r="J7" s="216">
        <f t="shared" si="0"/>
        <v>8</v>
      </c>
    </row>
    <row r="8" spans="1:10" ht="1.5" customHeight="1">
      <c r="A8" s="9"/>
      <c r="B8" s="10"/>
      <c r="C8" s="123"/>
      <c r="D8" s="11"/>
      <c r="E8" s="350"/>
      <c r="F8" s="351"/>
      <c r="G8" s="11"/>
      <c r="I8" s="350"/>
      <c r="J8" s="117"/>
    </row>
    <row r="9" spans="1:10">
      <c r="A9" s="12">
        <v>1</v>
      </c>
      <c r="B9" s="13" t="s">
        <v>102</v>
      </c>
      <c r="C9" s="14">
        <f>'Table 7 Local Revenue'!AE8</f>
        <v>8582384</v>
      </c>
      <c r="D9" s="14">
        <f>'Table 7 Local Revenue'!H8</f>
        <v>285142017</v>
      </c>
      <c r="E9" s="14">
        <f t="shared" ref="E9:E40" si="1">ROUND(D9*$E$6/1000,0)</f>
        <v>4913216</v>
      </c>
      <c r="F9" s="276">
        <f>'Table 7 Local Revenue'!AI8</f>
        <v>10086499</v>
      </c>
      <c r="G9" s="14">
        <f>'Table 7 Local Revenue'!AM8</f>
        <v>672433267</v>
      </c>
      <c r="H9" s="14">
        <f t="shared" ref="H9:H40" si="2">ROUND(G9*$H$6,0)</f>
        <v>5701131</v>
      </c>
      <c r="I9" s="238">
        <f>'Table 7 Local Revenue'!AP8</f>
        <v>453923.5</v>
      </c>
      <c r="J9" s="14">
        <f t="shared" ref="J9:J40" si="3">E9+H9+I9</f>
        <v>11068270.5</v>
      </c>
    </row>
    <row r="10" spans="1:10">
      <c r="A10" s="12">
        <v>2</v>
      </c>
      <c r="B10" s="13" t="s">
        <v>103</v>
      </c>
      <c r="C10" s="14">
        <f>'Table 7 Local Revenue'!AE9</f>
        <v>3709629</v>
      </c>
      <c r="D10" s="14">
        <f>'Table 7 Local Revenue'!H9</f>
        <v>74892050</v>
      </c>
      <c r="E10" s="14">
        <f t="shared" si="1"/>
        <v>1290448</v>
      </c>
      <c r="F10" s="276">
        <f>'Table 7 Local Revenue'!AI9</f>
        <v>6727419</v>
      </c>
      <c r="G10" s="14">
        <f>'Table 7 Local Revenue'!AM9</f>
        <v>224247300</v>
      </c>
      <c r="H10" s="14">
        <f t="shared" si="2"/>
        <v>1901249</v>
      </c>
      <c r="I10" s="238">
        <f>'Table 7 Local Revenue'!AP9</f>
        <v>100302</v>
      </c>
      <c r="J10" s="14">
        <f t="shared" si="3"/>
        <v>3291999</v>
      </c>
    </row>
    <row r="11" spans="1:10">
      <c r="A11" s="12">
        <v>3</v>
      </c>
      <c r="B11" s="13" t="s">
        <v>104</v>
      </c>
      <c r="C11" s="14">
        <f>'Table 7 Local Revenue'!AE10</f>
        <v>50039077</v>
      </c>
      <c r="D11" s="14">
        <f>'Table 7 Local Revenue'!H10</f>
        <v>813576870</v>
      </c>
      <c r="E11" s="14">
        <f t="shared" si="1"/>
        <v>14018554</v>
      </c>
      <c r="F11" s="276">
        <f>'Table 7 Local Revenue'!AI10</f>
        <v>43829258</v>
      </c>
      <c r="G11" s="14">
        <f>'Table 7 Local Revenue'!AM10</f>
        <v>2191462900</v>
      </c>
      <c r="H11" s="14">
        <f t="shared" si="2"/>
        <v>18580011</v>
      </c>
      <c r="I11" s="238">
        <f>'Table 7 Local Revenue'!AP10</f>
        <v>193863</v>
      </c>
      <c r="J11" s="14">
        <f t="shared" si="3"/>
        <v>32792428</v>
      </c>
    </row>
    <row r="12" spans="1:10">
      <c r="A12" s="12">
        <v>4</v>
      </c>
      <c r="B12" s="13" t="s">
        <v>105</v>
      </c>
      <c r="C12" s="14">
        <f>'Table 7 Local Revenue'!AE11</f>
        <v>5195533</v>
      </c>
      <c r="D12" s="14">
        <f>'Table 7 Local Revenue'!H11</f>
        <v>134415214</v>
      </c>
      <c r="E12" s="14">
        <f t="shared" si="1"/>
        <v>2316077</v>
      </c>
      <c r="F12" s="276">
        <f>'Table 7 Local Revenue'!AI11</f>
        <v>6270699</v>
      </c>
      <c r="G12" s="14">
        <f>'Table 7 Local Revenue'!AM11</f>
        <v>201993207.04999998</v>
      </c>
      <c r="H12" s="14">
        <f t="shared" si="2"/>
        <v>1712571</v>
      </c>
      <c r="I12" s="238">
        <f>'Table 7 Local Revenue'!AP11</f>
        <v>114712</v>
      </c>
      <c r="J12" s="14">
        <f t="shared" si="3"/>
        <v>4143360</v>
      </c>
    </row>
    <row r="13" spans="1:10">
      <c r="A13" s="18">
        <v>5</v>
      </c>
      <c r="B13" s="19" t="s">
        <v>106</v>
      </c>
      <c r="C13" s="20">
        <f>'Table 7 Local Revenue'!AE12</f>
        <v>1330903</v>
      </c>
      <c r="D13" s="20">
        <f>'Table 7 Local Revenue'!H12</f>
        <v>98562757</v>
      </c>
      <c r="E13" s="20">
        <f t="shared" si="1"/>
        <v>1698312</v>
      </c>
      <c r="F13" s="277">
        <f>'Table 7 Local Revenue'!AI12</f>
        <v>6010724</v>
      </c>
      <c r="G13" s="20">
        <f>'Table 7 Local Revenue'!AM12</f>
        <v>400714933</v>
      </c>
      <c r="H13" s="20">
        <f t="shared" si="2"/>
        <v>3397405</v>
      </c>
      <c r="I13" s="239">
        <f>'Table 7 Local Revenue'!AP12</f>
        <v>279073.5</v>
      </c>
      <c r="J13" s="20">
        <f t="shared" si="3"/>
        <v>5374790.5</v>
      </c>
    </row>
    <row r="14" spans="1:10">
      <c r="A14" s="12">
        <v>6</v>
      </c>
      <c r="B14" s="13" t="s">
        <v>107</v>
      </c>
      <c r="C14" s="14">
        <f>'Table 7 Local Revenue'!AE13</f>
        <v>9918045</v>
      </c>
      <c r="D14" s="14">
        <f>'Table 7 Local Revenue'!H13</f>
        <v>194386918</v>
      </c>
      <c r="E14" s="14">
        <f t="shared" si="1"/>
        <v>3349436</v>
      </c>
      <c r="F14" s="276">
        <f>'Table 7 Local Revenue'!AI13</f>
        <v>8682521</v>
      </c>
      <c r="G14" s="14">
        <f>'Table 7 Local Revenue'!AM13</f>
        <v>434126050</v>
      </c>
      <c r="H14" s="14">
        <f t="shared" si="2"/>
        <v>3680677</v>
      </c>
      <c r="I14" s="238">
        <f>'Table 7 Local Revenue'!AP13</f>
        <v>304414.5</v>
      </c>
      <c r="J14" s="14">
        <f t="shared" si="3"/>
        <v>7334527.5</v>
      </c>
    </row>
    <row r="15" spans="1:10">
      <c r="A15" s="12">
        <v>7</v>
      </c>
      <c r="B15" s="13" t="s">
        <v>108</v>
      </c>
      <c r="C15" s="14">
        <f>'Table 7 Local Revenue'!AE14</f>
        <v>16504416</v>
      </c>
      <c r="D15" s="14">
        <f>'Table 7 Local Revenue'!H14</f>
        <v>299529157</v>
      </c>
      <c r="E15" s="14">
        <f t="shared" si="1"/>
        <v>5161117</v>
      </c>
      <c r="F15" s="276">
        <f>'Table 7 Local Revenue'!AI14</f>
        <v>11445034</v>
      </c>
      <c r="G15" s="14">
        <f>'Table 7 Local Revenue'!AM14</f>
        <v>572251700</v>
      </c>
      <c r="H15" s="14">
        <f t="shared" si="2"/>
        <v>4851756</v>
      </c>
      <c r="I15" s="238">
        <f>'Table 7 Local Revenue'!AP14</f>
        <v>594733.5</v>
      </c>
      <c r="J15" s="14">
        <f t="shared" si="3"/>
        <v>10607606.5</v>
      </c>
    </row>
    <row r="16" spans="1:10">
      <c r="A16" s="12">
        <v>8</v>
      </c>
      <c r="B16" s="13" t="s">
        <v>109</v>
      </c>
      <c r="C16" s="14">
        <f>'Table 7 Local Revenue'!AE15</f>
        <v>43080968</v>
      </c>
      <c r="D16" s="14">
        <f>'Table 7 Local Revenue'!H15</f>
        <v>859428608</v>
      </c>
      <c r="E16" s="14">
        <f t="shared" si="1"/>
        <v>14808615</v>
      </c>
      <c r="F16" s="276">
        <f>'Table 7 Local Revenue'!AI15</f>
        <v>46084040</v>
      </c>
      <c r="G16" s="14">
        <f>'Table 7 Local Revenue'!AM15</f>
        <v>2633373714</v>
      </c>
      <c r="H16" s="14">
        <f t="shared" si="2"/>
        <v>22326690</v>
      </c>
      <c r="I16" s="238">
        <f>'Table 7 Local Revenue'!AP15</f>
        <v>591949.5</v>
      </c>
      <c r="J16" s="14">
        <f t="shared" si="3"/>
        <v>37727254.5</v>
      </c>
    </row>
    <row r="17" spans="1:13">
      <c r="A17" s="12">
        <v>9</v>
      </c>
      <c r="B17" s="13" t="s">
        <v>110</v>
      </c>
      <c r="C17" s="14">
        <f>'Table 7 Local Revenue'!AE16</f>
        <v>113369076</v>
      </c>
      <c r="D17" s="14">
        <f>'Table 7 Local Revenue'!H16</f>
        <v>1483115510</v>
      </c>
      <c r="E17" s="14">
        <f t="shared" si="1"/>
        <v>25555219</v>
      </c>
      <c r="F17" s="276">
        <f>'Table 7 Local Revenue'!AI16</f>
        <v>78271951</v>
      </c>
      <c r="G17" s="14">
        <f>'Table 7 Local Revenue'!AM16</f>
        <v>5218130067</v>
      </c>
      <c r="H17" s="14">
        <f t="shared" si="2"/>
        <v>44241185</v>
      </c>
      <c r="I17" s="238">
        <f>'Table 7 Local Revenue'!AP16</f>
        <v>2687748</v>
      </c>
      <c r="J17" s="14">
        <f t="shared" si="3"/>
        <v>72484152</v>
      </c>
    </row>
    <row r="18" spans="1:13">
      <c r="A18" s="18">
        <v>10</v>
      </c>
      <c r="B18" s="19" t="s">
        <v>111</v>
      </c>
      <c r="C18" s="20">
        <f>'Table 7 Local Revenue'!AE17</f>
        <v>48714713</v>
      </c>
      <c r="D18" s="20">
        <f>'Table 7 Local Revenue'!H17</f>
        <v>1478624782</v>
      </c>
      <c r="E18" s="20">
        <f t="shared" si="1"/>
        <v>25477841</v>
      </c>
      <c r="F18" s="277">
        <f>'Table 7 Local Revenue'!AI17</f>
        <v>83221170</v>
      </c>
      <c r="G18" s="20">
        <f>'Table 7 Local Revenue'!AM17</f>
        <v>4161058500</v>
      </c>
      <c r="H18" s="20">
        <f t="shared" si="2"/>
        <v>35278952</v>
      </c>
      <c r="I18" s="239">
        <f>'Table 7 Local Revenue'!AP17</f>
        <v>1015859</v>
      </c>
      <c r="J18" s="20">
        <f t="shared" si="3"/>
        <v>61772652</v>
      </c>
      <c r="K18" s="35"/>
      <c r="L18" s="35"/>
      <c r="M18" s="35"/>
    </row>
    <row r="19" spans="1:13" ht="12" customHeight="1">
      <c r="A19" s="12">
        <v>11</v>
      </c>
      <c r="B19" s="13" t="s">
        <v>112</v>
      </c>
      <c r="C19" s="14">
        <f>'Table 7 Local Revenue'!AE18</f>
        <v>3004561</v>
      </c>
      <c r="D19" s="14">
        <f>'Table 7 Local Revenue'!H18</f>
        <v>40798582</v>
      </c>
      <c r="E19" s="14">
        <f t="shared" si="1"/>
        <v>702991</v>
      </c>
      <c r="F19" s="276">
        <f>'Table 7 Local Revenue'!AI18</f>
        <v>2209837</v>
      </c>
      <c r="G19" s="14">
        <f>'Table 7 Local Revenue'!AM18</f>
        <v>110491850</v>
      </c>
      <c r="H19" s="14">
        <f t="shared" si="2"/>
        <v>936790</v>
      </c>
      <c r="I19" s="238">
        <f>'Table 7 Local Revenue'!AP18</f>
        <v>87714.5</v>
      </c>
      <c r="J19" s="14">
        <f t="shared" si="3"/>
        <v>1727495.5</v>
      </c>
      <c r="K19" s="35"/>
      <c r="L19" s="35"/>
      <c r="M19" s="35"/>
    </row>
    <row r="20" spans="1:13">
      <c r="A20" s="12">
        <v>12</v>
      </c>
      <c r="B20" s="13" t="s">
        <v>113</v>
      </c>
      <c r="C20" s="14">
        <f>'Table 7 Local Revenue'!AE19</f>
        <v>12458077</v>
      </c>
      <c r="D20" s="14">
        <f>'Table 7 Local Revenue'!H19</f>
        <v>237191774</v>
      </c>
      <c r="E20" s="14">
        <f t="shared" si="1"/>
        <v>4086996</v>
      </c>
      <c r="F20" s="276">
        <f>'Table 7 Local Revenue'!AI19</f>
        <v>0</v>
      </c>
      <c r="G20" s="14">
        <f>'Table 7 Local Revenue'!AM19</f>
        <v>26707332.5</v>
      </c>
      <c r="H20" s="14">
        <f t="shared" si="2"/>
        <v>226434</v>
      </c>
      <c r="I20" s="238">
        <f>'Table 7 Local Revenue'!AP19</f>
        <v>855458.5</v>
      </c>
      <c r="J20" s="14">
        <f t="shared" si="3"/>
        <v>5168888.5</v>
      </c>
      <c r="K20" s="35"/>
      <c r="L20" s="35"/>
      <c r="M20" s="35"/>
    </row>
    <row r="21" spans="1:13">
      <c r="A21" s="12">
        <v>13</v>
      </c>
      <c r="B21" s="13" t="s">
        <v>114</v>
      </c>
      <c r="C21" s="14">
        <f>'Table 7 Local Revenue'!AE20</f>
        <v>933628</v>
      </c>
      <c r="D21" s="14">
        <f>'Table 7 Local Revenue'!H20</f>
        <v>35513879</v>
      </c>
      <c r="E21" s="14">
        <f t="shared" si="1"/>
        <v>611931</v>
      </c>
      <c r="F21" s="276">
        <f>'Table 7 Local Revenue'!AI20</f>
        <v>2701695</v>
      </c>
      <c r="G21" s="14">
        <f>'Table 7 Local Revenue'!AM20</f>
        <v>90056500</v>
      </c>
      <c r="H21" s="14">
        <f t="shared" si="2"/>
        <v>763531</v>
      </c>
      <c r="I21" s="238">
        <f>'Table 7 Local Revenue'!AP20</f>
        <v>94599</v>
      </c>
      <c r="J21" s="14">
        <f t="shared" si="3"/>
        <v>1470061</v>
      </c>
      <c r="K21" s="35"/>
      <c r="L21" s="35"/>
      <c r="M21" s="35"/>
    </row>
    <row r="22" spans="1:13">
      <c r="A22" s="12">
        <v>14</v>
      </c>
      <c r="B22" s="13" t="s">
        <v>115</v>
      </c>
      <c r="C22" s="14">
        <f>'Table 7 Local Revenue'!AE21</f>
        <v>3905805</v>
      </c>
      <c r="D22" s="14">
        <f>'Table 7 Local Revenue'!H21</f>
        <v>136823013</v>
      </c>
      <c r="E22" s="14">
        <f t="shared" si="1"/>
        <v>2357566</v>
      </c>
      <c r="F22" s="276">
        <f>'Table 7 Local Revenue'!AI21</f>
        <v>2825686</v>
      </c>
      <c r="G22" s="14">
        <f>'Table 7 Local Revenue'!AM21</f>
        <v>141284300</v>
      </c>
      <c r="H22" s="14">
        <f t="shared" si="2"/>
        <v>1197859</v>
      </c>
      <c r="I22" s="238">
        <f>'Table 7 Local Revenue'!AP21</f>
        <v>157561</v>
      </c>
      <c r="J22" s="14">
        <f t="shared" si="3"/>
        <v>3712986</v>
      </c>
      <c r="K22" s="35"/>
      <c r="L22" s="35"/>
      <c r="M22" s="35"/>
    </row>
    <row r="23" spans="1:13">
      <c r="A23" s="18">
        <v>15</v>
      </c>
      <c r="B23" s="19" t="s">
        <v>116</v>
      </c>
      <c r="C23" s="20">
        <f>'Table 7 Local Revenue'!AE22</f>
        <v>4742688</v>
      </c>
      <c r="D23" s="20">
        <f>'Table 7 Local Revenue'!H22</f>
        <v>129931580</v>
      </c>
      <c r="E23" s="20">
        <f t="shared" si="1"/>
        <v>2238821</v>
      </c>
      <c r="F23" s="277">
        <f>'Table 7 Local Revenue'!AI22</f>
        <v>4596600</v>
      </c>
      <c r="G23" s="20">
        <f>'Table 7 Local Revenue'!AM22</f>
        <v>229830000</v>
      </c>
      <c r="H23" s="20">
        <f t="shared" si="2"/>
        <v>1948581</v>
      </c>
      <c r="I23" s="239">
        <f>'Table 7 Local Revenue'!AP22</f>
        <v>181360.5</v>
      </c>
      <c r="J23" s="20">
        <f t="shared" si="3"/>
        <v>4368762.5</v>
      </c>
      <c r="K23" s="35"/>
      <c r="L23" s="35"/>
      <c r="M23" s="35"/>
    </row>
    <row r="24" spans="1:13">
      <c r="A24" s="12">
        <v>16</v>
      </c>
      <c r="B24" s="13" t="s">
        <v>117</v>
      </c>
      <c r="C24" s="14">
        <f>'Table 7 Local Revenue'!AE23</f>
        <v>21162734</v>
      </c>
      <c r="D24" s="14">
        <f>'Table 7 Local Revenue'!H23</f>
        <v>394358731.80000001</v>
      </c>
      <c r="E24" s="14">
        <f t="shared" si="1"/>
        <v>6795104</v>
      </c>
      <c r="F24" s="276">
        <f>'Table 7 Local Revenue'!AI23</f>
        <v>73086778</v>
      </c>
      <c r="G24" s="14">
        <f>'Table 7 Local Revenue'!AM23</f>
        <v>2488503952</v>
      </c>
      <c r="H24" s="14">
        <f t="shared" si="2"/>
        <v>21098432</v>
      </c>
      <c r="I24" s="238">
        <f>'Table 7 Local Revenue'!AP23</f>
        <v>1589418</v>
      </c>
      <c r="J24" s="14">
        <f t="shared" si="3"/>
        <v>29482954</v>
      </c>
      <c r="K24" s="35"/>
      <c r="L24" s="35"/>
      <c r="M24" s="35"/>
    </row>
    <row r="25" spans="1:13">
      <c r="A25" s="12">
        <v>17</v>
      </c>
      <c r="B25" s="13" t="s">
        <v>118</v>
      </c>
      <c r="C25" s="14">
        <f>'Table 7 Local Revenue'!AE24</f>
        <v>129411975</v>
      </c>
      <c r="D25" s="14">
        <f>'Table 7 Local Revenue'!H24</f>
        <v>3002326940</v>
      </c>
      <c r="E25" s="14">
        <f t="shared" si="1"/>
        <v>51732399</v>
      </c>
      <c r="F25" s="276">
        <f>'Table 7 Local Revenue'!AI24</f>
        <v>148089339</v>
      </c>
      <c r="G25" s="14">
        <f>'Table 7 Local Revenue'!AM24</f>
        <v>7404466950</v>
      </c>
      <c r="H25" s="14">
        <f t="shared" si="2"/>
        <v>62777736</v>
      </c>
      <c r="I25" s="238">
        <f>'Table 7 Local Revenue'!AP24</f>
        <v>4101592</v>
      </c>
      <c r="J25" s="14">
        <f t="shared" si="3"/>
        <v>118611727</v>
      </c>
    </row>
    <row r="26" spans="1:13">
      <c r="A26" s="12">
        <v>18</v>
      </c>
      <c r="B26" s="13" t="s">
        <v>119</v>
      </c>
      <c r="C26" s="14">
        <f>'Table 7 Local Revenue'!AE25</f>
        <v>539995</v>
      </c>
      <c r="D26" s="14">
        <f>'Table 7 Local Revenue'!H25</f>
        <v>36375791</v>
      </c>
      <c r="E26" s="14">
        <f t="shared" si="1"/>
        <v>626783</v>
      </c>
      <c r="F26" s="276">
        <f>'Table 7 Local Revenue'!AI25</f>
        <v>1397933</v>
      </c>
      <c r="G26" s="14">
        <f>'Table 7 Local Revenue'!AM25</f>
        <v>46597767</v>
      </c>
      <c r="H26" s="14">
        <f t="shared" si="2"/>
        <v>395073</v>
      </c>
      <c r="I26" s="238">
        <f>'Table 7 Local Revenue'!AP25</f>
        <v>132563.5</v>
      </c>
      <c r="J26" s="14">
        <f t="shared" si="3"/>
        <v>1154419.5</v>
      </c>
    </row>
    <row r="27" spans="1:13">
      <c r="A27" s="12">
        <v>19</v>
      </c>
      <c r="B27" s="69" t="s">
        <v>120</v>
      </c>
      <c r="C27" s="14">
        <f>'Table 7 Local Revenue'!AE26</f>
        <v>2017927</v>
      </c>
      <c r="D27" s="14">
        <f>'Table 7 Local Revenue'!H26</f>
        <v>103771869</v>
      </c>
      <c r="E27" s="14">
        <f t="shared" si="1"/>
        <v>1788069</v>
      </c>
      <c r="F27" s="276">
        <f>'Table 7 Local Revenue'!AI26</f>
        <v>2313650</v>
      </c>
      <c r="G27" s="14">
        <f>'Table 7 Local Revenue'!AM26</f>
        <v>115682500</v>
      </c>
      <c r="H27" s="14">
        <f t="shared" si="2"/>
        <v>980798</v>
      </c>
      <c r="I27" s="238">
        <f>'Table 7 Local Revenue'!AP26</f>
        <v>102869</v>
      </c>
      <c r="J27" s="14">
        <f t="shared" si="3"/>
        <v>2871736</v>
      </c>
    </row>
    <row r="28" spans="1:13">
      <c r="A28" s="18">
        <v>20</v>
      </c>
      <c r="B28" s="19" t="s">
        <v>121</v>
      </c>
      <c r="C28" s="20">
        <f>'Table 7 Local Revenue'!AE27</f>
        <v>5526011</v>
      </c>
      <c r="D28" s="20">
        <f>'Table 7 Local Revenue'!H27</f>
        <v>171066456</v>
      </c>
      <c r="E28" s="20">
        <f t="shared" si="1"/>
        <v>2947606</v>
      </c>
      <c r="F28" s="277">
        <f>'Table 7 Local Revenue'!AI27</f>
        <v>7312111</v>
      </c>
      <c r="G28" s="20">
        <f>'Table 7 Local Revenue'!AM27</f>
        <v>365605550</v>
      </c>
      <c r="H28" s="20">
        <f t="shared" si="2"/>
        <v>3099735</v>
      </c>
      <c r="I28" s="239">
        <f>'Table 7 Local Revenue'!AP27</f>
        <v>232087.5</v>
      </c>
      <c r="J28" s="20">
        <f t="shared" si="3"/>
        <v>6279428.5</v>
      </c>
    </row>
    <row r="29" spans="1:13">
      <c r="A29" s="12">
        <v>21</v>
      </c>
      <c r="B29" s="13" t="s">
        <v>122</v>
      </c>
      <c r="C29" s="14">
        <f>'Table 7 Local Revenue'!AE28</f>
        <v>1429318</v>
      </c>
      <c r="D29" s="14">
        <f>'Table 7 Local Revenue'!H28</f>
        <v>59307949</v>
      </c>
      <c r="E29" s="14">
        <f t="shared" si="1"/>
        <v>1021922</v>
      </c>
      <c r="F29" s="276">
        <f>'Table 7 Local Revenue'!AI28</f>
        <v>4669044</v>
      </c>
      <c r="G29" s="14">
        <f>'Table 7 Local Revenue'!AM28</f>
        <v>233452200</v>
      </c>
      <c r="H29" s="14">
        <f t="shared" si="2"/>
        <v>1979292</v>
      </c>
      <c r="I29" s="238">
        <f>'Table 7 Local Revenue'!AP28</f>
        <v>76048.5</v>
      </c>
      <c r="J29" s="14">
        <f t="shared" si="3"/>
        <v>3077262.5</v>
      </c>
    </row>
    <row r="30" spans="1:13">
      <c r="A30" s="12">
        <v>22</v>
      </c>
      <c r="B30" s="13" t="s">
        <v>123</v>
      </c>
      <c r="C30" s="14">
        <f>'Table 7 Local Revenue'!AE29</f>
        <v>2725428</v>
      </c>
      <c r="D30" s="14">
        <f>'Table 7 Local Revenue'!H29</f>
        <v>38647278</v>
      </c>
      <c r="E30" s="14">
        <f t="shared" si="1"/>
        <v>665922</v>
      </c>
      <c r="F30" s="276">
        <f>'Table 7 Local Revenue'!AI29</f>
        <v>2034070</v>
      </c>
      <c r="G30" s="14">
        <f>'Table 7 Local Revenue'!AM29</f>
        <v>101703500</v>
      </c>
      <c r="H30" s="14">
        <f t="shared" si="2"/>
        <v>862279</v>
      </c>
      <c r="I30" s="238">
        <f>'Table 7 Local Revenue'!AP29</f>
        <v>406250</v>
      </c>
      <c r="J30" s="14">
        <f t="shared" si="3"/>
        <v>1934451</v>
      </c>
    </row>
    <row r="31" spans="1:13">
      <c r="A31" s="12">
        <v>23</v>
      </c>
      <c r="B31" s="13" t="s">
        <v>124</v>
      </c>
      <c r="C31" s="14">
        <f>'Table 7 Local Revenue'!AE30</f>
        <v>16048049</v>
      </c>
      <c r="D31" s="14">
        <f>'Table 7 Local Revenue'!H30</f>
        <v>507692565</v>
      </c>
      <c r="E31" s="14">
        <f t="shared" si="1"/>
        <v>8747933</v>
      </c>
      <c r="F31" s="276">
        <f>'Table 7 Local Revenue'!AI30</f>
        <v>25199860</v>
      </c>
      <c r="G31" s="14">
        <f>'Table 7 Local Revenue'!AM30</f>
        <v>1259993000</v>
      </c>
      <c r="H31" s="14">
        <f t="shared" si="2"/>
        <v>10682674</v>
      </c>
      <c r="I31" s="238">
        <f>'Table 7 Local Revenue'!AP30</f>
        <v>569331</v>
      </c>
      <c r="J31" s="14">
        <f t="shared" si="3"/>
        <v>19999938</v>
      </c>
    </row>
    <row r="32" spans="1:13">
      <c r="A32" s="12">
        <v>24</v>
      </c>
      <c r="B32" s="13" t="s">
        <v>125</v>
      </c>
      <c r="C32" s="14">
        <f>'Table 7 Local Revenue'!AE31</f>
        <v>22928051</v>
      </c>
      <c r="D32" s="14">
        <f>'Table 7 Local Revenue'!H31</f>
        <v>412190548</v>
      </c>
      <c r="E32" s="14">
        <f t="shared" si="1"/>
        <v>7102360</v>
      </c>
      <c r="F32" s="276">
        <f>'Table 7 Local Revenue'!AI31</f>
        <v>19259439</v>
      </c>
      <c r="G32" s="14">
        <f>'Table 7 Local Revenue'!AM31</f>
        <v>962971950</v>
      </c>
      <c r="H32" s="14">
        <f t="shared" si="2"/>
        <v>8164423</v>
      </c>
      <c r="I32" s="238">
        <f>'Table 7 Local Revenue'!AP31</f>
        <v>142222</v>
      </c>
      <c r="J32" s="14">
        <f t="shared" si="3"/>
        <v>15409005</v>
      </c>
    </row>
    <row r="33" spans="1:10">
      <c r="A33" s="18">
        <v>25</v>
      </c>
      <c r="B33" s="19" t="s">
        <v>126</v>
      </c>
      <c r="C33" s="20">
        <f>'Table 7 Local Revenue'!AE32</f>
        <v>5150072</v>
      </c>
      <c r="D33" s="20">
        <f>'Table 7 Local Revenue'!H32</f>
        <v>205225430</v>
      </c>
      <c r="E33" s="20">
        <f t="shared" si="1"/>
        <v>3536192</v>
      </c>
      <c r="F33" s="277">
        <f>'Table 7 Local Revenue'!AI32</f>
        <v>6267649</v>
      </c>
      <c r="G33" s="20">
        <f>'Table 7 Local Revenue'!AM32</f>
        <v>208921633</v>
      </c>
      <c r="H33" s="20">
        <f t="shared" si="2"/>
        <v>1771313</v>
      </c>
      <c r="I33" s="239">
        <f>'Table 7 Local Revenue'!AP32</f>
        <v>96687.5</v>
      </c>
      <c r="J33" s="20">
        <f t="shared" si="3"/>
        <v>5404192.5</v>
      </c>
    </row>
    <row r="34" spans="1:10">
      <c r="A34" s="12">
        <v>26</v>
      </c>
      <c r="B34" s="13" t="s">
        <v>127</v>
      </c>
      <c r="C34" s="14">
        <f>'Table 7 Local Revenue'!AE33</f>
        <v>73407246</v>
      </c>
      <c r="D34" s="14">
        <f>'Table 7 Local Revenue'!H33</f>
        <v>3234560195</v>
      </c>
      <c r="E34" s="14">
        <f t="shared" si="1"/>
        <v>55733956</v>
      </c>
      <c r="F34" s="276">
        <f>'Table 7 Local Revenue'!AI33</f>
        <v>173459233</v>
      </c>
      <c r="G34" s="14">
        <f>'Table 7 Local Revenue'!AM33</f>
        <v>8672961650</v>
      </c>
      <c r="H34" s="14">
        <f t="shared" si="2"/>
        <v>73532491</v>
      </c>
      <c r="I34" s="238">
        <f>'Table 7 Local Revenue'!AP33</f>
        <v>2185711</v>
      </c>
      <c r="J34" s="14">
        <f t="shared" si="3"/>
        <v>131452158</v>
      </c>
    </row>
    <row r="35" spans="1:10">
      <c r="A35" s="12">
        <v>27</v>
      </c>
      <c r="B35" s="13" t="s">
        <v>128</v>
      </c>
      <c r="C35" s="14">
        <f>'Table 7 Local Revenue'!AE34</f>
        <v>6869992</v>
      </c>
      <c r="D35" s="14">
        <f>'Table 7 Local Revenue'!H34</f>
        <v>174156213</v>
      </c>
      <c r="E35" s="14">
        <f t="shared" si="1"/>
        <v>3000845</v>
      </c>
      <c r="F35" s="276">
        <f>'Table 7 Local Revenue'!AI34</f>
        <v>9961152</v>
      </c>
      <c r="G35" s="14">
        <f>'Table 7 Local Revenue'!AM34</f>
        <v>398446080</v>
      </c>
      <c r="H35" s="14">
        <f t="shared" si="2"/>
        <v>3378169</v>
      </c>
      <c r="I35" s="238">
        <f>'Table 7 Local Revenue'!AP34</f>
        <v>320663</v>
      </c>
      <c r="J35" s="14">
        <f t="shared" si="3"/>
        <v>6699677</v>
      </c>
    </row>
    <row r="36" spans="1:10">
      <c r="A36" s="12">
        <v>28</v>
      </c>
      <c r="B36" s="13" t="s">
        <v>129</v>
      </c>
      <c r="C36" s="14">
        <f>'Table 7 Local Revenue'!AE35</f>
        <v>52418696</v>
      </c>
      <c r="D36" s="14">
        <f>'Table 7 Local Revenue'!H35</f>
        <v>1629435454</v>
      </c>
      <c r="E36" s="14">
        <f t="shared" si="1"/>
        <v>28076424</v>
      </c>
      <c r="F36" s="276">
        <f>'Table 7 Local Revenue'!AI35</f>
        <v>98096300</v>
      </c>
      <c r="G36" s="14">
        <f>'Table 7 Local Revenue'!AM35</f>
        <v>4904815000</v>
      </c>
      <c r="H36" s="14">
        <f t="shared" si="2"/>
        <v>41584787</v>
      </c>
      <c r="I36" s="238">
        <f>'Table 7 Local Revenue'!AP35</f>
        <v>2128077.5</v>
      </c>
      <c r="J36" s="14">
        <f t="shared" si="3"/>
        <v>71789288.5</v>
      </c>
    </row>
    <row r="37" spans="1:10">
      <c r="A37" s="12">
        <v>29</v>
      </c>
      <c r="B37" s="13" t="s">
        <v>130</v>
      </c>
      <c r="C37" s="14">
        <f>'Table 7 Local Revenue'!AE36</f>
        <v>30649898</v>
      </c>
      <c r="D37" s="14">
        <f>'Table 7 Local Revenue'!H36</f>
        <v>714727184.60000002</v>
      </c>
      <c r="E37" s="14">
        <f t="shared" si="1"/>
        <v>12315298</v>
      </c>
      <c r="F37" s="276">
        <f>'Table 7 Local Revenue'!AI36</f>
        <v>28758946</v>
      </c>
      <c r="G37" s="14">
        <f>'Table 7 Local Revenue'!AM36</f>
        <v>1437947300</v>
      </c>
      <c r="H37" s="14">
        <f t="shared" si="2"/>
        <v>12191435</v>
      </c>
      <c r="I37" s="238">
        <f>'Table 7 Local Revenue'!AP36</f>
        <v>922795.5</v>
      </c>
      <c r="J37" s="14">
        <f t="shared" si="3"/>
        <v>25429528.5</v>
      </c>
    </row>
    <row r="38" spans="1:10">
      <c r="A38" s="18">
        <v>30</v>
      </c>
      <c r="B38" s="19" t="s">
        <v>131</v>
      </c>
      <c r="C38" s="20">
        <f>'Table 7 Local Revenue'!AE37</f>
        <v>3004290</v>
      </c>
      <c r="D38" s="20">
        <f>'Table 7 Local Revenue'!H37</f>
        <v>62448120</v>
      </c>
      <c r="E38" s="20">
        <f t="shared" si="1"/>
        <v>1076029</v>
      </c>
      <c r="F38" s="277">
        <f>'Table 7 Local Revenue'!AI37</f>
        <v>5747108</v>
      </c>
      <c r="G38" s="20">
        <f>'Table 7 Local Revenue'!AM37</f>
        <v>191570267</v>
      </c>
      <c r="H38" s="20">
        <f t="shared" si="2"/>
        <v>1624202</v>
      </c>
      <c r="I38" s="239">
        <f>'Table 7 Local Revenue'!AP37</f>
        <v>79994</v>
      </c>
      <c r="J38" s="20">
        <f t="shared" si="3"/>
        <v>2780225</v>
      </c>
    </row>
    <row r="39" spans="1:10">
      <c r="A39" s="12">
        <v>31</v>
      </c>
      <c r="B39" s="13" t="s">
        <v>132</v>
      </c>
      <c r="C39" s="14">
        <f>'Table 7 Local Revenue'!AE38</f>
        <v>16143930</v>
      </c>
      <c r="D39" s="14">
        <f>'Table 7 Local Revenue'!H38</f>
        <v>353245346</v>
      </c>
      <c r="E39" s="14">
        <f t="shared" si="1"/>
        <v>6086689</v>
      </c>
      <c r="F39" s="276">
        <f>'Table 7 Local Revenue'!AI38</f>
        <v>14503760</v>
      </c>
      <c r="G39" s="14">
        <f>'Table 7 Local Revenue'!AM38</f>
        <v>725188000</v>
      </c>
      <c r="H39" s="14">
        <f t="shared" si="2"/>
        <v>6148405</v>
      </c>
      <c r="I39" s="238">
        <f>'Table 7 Local Revenue'!AP38</f>
        <v>293414</v>
      </c>
      <c r="J39" s="14">
        <f t="shared" si="3"/>
        <v>12528508</v>
      </c>
    </row>
    <row r="40" spans="1:10">
      <c r="A40" s="12">
        <v>32</v>
      </c>
      <c r="B40" s="13" t="s">
        <v>133</v>
      </c>
      <c r="C40" s="14">
        <f>'Table 7 Local Revenue'!AE39</f>
        <v>15272851</v>
      </c>
      <c r="D40" s="14">
        <f>'Table 7 Local Revenue'!H39</f>
        <v>408916490</v>
      </c>
      <c r="E40" s="14">
        <f t="shared" si="1"/>
        <v>7045945</v>
      </c>
      <c r="F40" s="276">
        <f>'Table 7 Local Revenue'!AI39</f>
        <v>31638560</v>
      </c>
      <c r="G40" s="14">
        <f>'Table 7 Local Revenue'!AM39</f>
        <v>1265542400</v>
      </c>
      <c r="H40" s="14">
        <f t="shared" si="2"/>
        <v>10729724</v>
      </c>
      <c r="I40" s="238">
        <f>'Table 7 Local Revenue'!AP39</f>
        <v>925425.5</v>
      </c>
      <c r="J40" s="14">
        <f t="shared" si="3"/>
        <v>18701094.5</v>
      </c>
    </row>
    <row r="41" spans="1:10">
      <c r="A41" s="12">
        <v>33</v>
      </c>
      <c r="B41" s="13" t="s">
        <v>134</v>
      </c>
      <c r="C41" s="14">
        <f>'Table 7 Local Revenue'!AE40</f>
        <v>2359839</v>
      </c>
      <c r="D41" s="14">
        <f>'Table 7 Local Revenue'!H40</f>
        <v>100990195.90000001</v>
      </c>
      <c r="E41" s="14">
        <f t="shared" ref="E41:E72" si="4">ROUND(D41*$E$6/1000,0)</f>
        <v>1740139</v>
      </c>
      <c r="F41" s="276">
        <f>'Table 7 Local Revenue'!AI40</f>
        <v>3117932</v>
      </c>
      <c r="G41" s="14">
        <f>'Table 7 Local Revenue'!AM40</f>
        <v>124717280</v>
      </c>
      <c r="H41" s="14">
        <f t="shared" ref="H41:H72" si="5">ROUND(G41*$H$6,0)</f>
        <v>1057398</v>
      </c>
      <c r="I41" s="238">
        <f>'Table 7 Local Revenue'!AP40</f>
        <v>55775.5</v>
      </c>
      <c r="J41" s="14">
        <f t="shared" ref="J41:J72" si="6">E41+H41+I41</f>
        <v>2853312.5</v>
      </c>
    </row>
    <row r="42" spans="1:10">
      <c r="A42" s="12">
        <v>34</v>
      </c>
      <c r="B42" s="13" t="s">
        <v>135</v>
      </c>
      <c r="C42" s="14">
        <f>'Table 7 Local Revenue'!AE41</f>
        <v>6052205</v>
      </c>
      <c r="D42" s="14">
        <f>'Table 7 Local Revenue'!H41</f>
        <v>151746769</v>
      </c>
      <c r="E42" s="14">
        <f t="shared" si="4"/>
        <v>2614713</v>
      </c>
      <c r="F42" s="276">
        <f>'Table 7 Local Revenue'!AI41</f>
        <v>5791569</v>
      </c>
      <c r="G42" s="14">
        <f>'Table 7 Local Revenue'!AM41</f>
        <v>289578450</v>
      </c>
      <c r="H42" s="14">
        <f t="shared" si="5"/>
        <v>2455150</v>
      </c>
      <c r="I42" s="238">
        <f>'Table 7 Local Revenue'!AP41</f>
        <v>258669</v>
      </c>
      <c r="J42" s="14">
        <f t="shared" si="6"/>
        <v>5328532</v>
      </c>
    </row>
    <row r="43" spans="1:10">
      <c r="A43" s="18">
        <v>35</v>
      </c>
      <c r="B43" s="19" t="s">
        <v>136</v>
      </c>
      <c r="C43" s="20">
        <f>'Table 7 Local Revenue'!AE42</f>
        <v>6765091</v>
      </c>
      <c r="D43" s="20">
        <f>'Table 7 Local Revenue'!H42</f>
        <v>224573114</v>
      </c>
      <c r="E43" s="20">
        <f t="shared" si="4"/>
        <v>3869567</v>
      </c>
      <c r="F43" s="277">
        <f>'Table 7 Local Revenue'!AI42</f>
        <v>13319148</v>
      </c>
      <c r="G43" s="20">
        <f>'Table 7 Local Revenue'!AM42</f>
        <v>631986870</v>
      </c>
      <c r="H43" s="20">
        <f t="shared" si="5"/>
        <v>5358212</v>
      </c>
      <c r="I43" s="239">
        <f>'Table 7 Local Revenue'!AP42</f>
        <v>928249</v>
      </c>
      <c r="J43" s="20">
        <f t="shared" si="6"/>
        <v>10156028</v>
      </c>
    </row>
    <row r="44" spans="1:10" s="75" customFormat="1">
      <c r="A44" s="103">
        <v>36</v>
      </c>
      <c r="B44" s="81" t="s">
        <v>137</v>
      </c>
      <c r="C44" s="77">
        <f>'Table 7 Local Revenue'!AE43</f>
        <v>110793998</v>
      </c>
      <c r="D44" s="77">
        <f>'Table 7 Local Revenue'!H43</f>
        <v>2766725610</v>
      </c>
      <c r="E44" s="77">
        <f t="shared" si="4"/>
        <v>47672807</v>
      </c>
      <c r="F44" s="278">
        <f>'Table 7 Local Revenue'!AI43</f>
        <v>95109616</v>
      </c>
      <c r="G44" s="77">
        <f>'Table 7 Local Revenue'!AM43</f>
        <v>6340641067</v>
      </c>
      <c r="H44" s="77">
        <f t="shared" si="5"/>
        <v>53758238</v>
      </c>
      <c r="I44" s="165">
        <f>'Table 7 Local Revenue'!AP43</f>
        <v>2777950</v>
      </c>
      <c r="J44" s="77">
        <f t="shared" si="6"/>
        <v>104208995</v>
      </c>
    </row>
    <row r="45" spans="1:10" s="75" customFormat="1">
      <c r="A45" s="103">
        <v>37</v>
      </c>
      <c r="B45" s="81" t="s">
        <v>138</v>
      </c>
      <c r="C45" s="77">
        <f>'Table 7 Local Revenue'!AE44</f>
        <v>21274012</v>
      </c>
      <c r="D45" s="77">
        <f>'Table 7 Local Revenue'!H44</f>
        <v>536837311</v>
      </c>
      <c r="E45" s="77">
        <f t="shared" si="4"/>
        <v>9250119</v>
      </c>
      <c r="F45" s="278">
        <f>'Table 7 Local Revenue'!AI44</f>
        <v>37627495</v>
      </c>
      <c r="G45" s="77">
        <f>'Table 7 Local Revenue'!AM44</f>
        <v>1254249833</v>
      </c>
      <c r="H45" s="77">
        <f t="shared" si="5"/>
        <v>10633982</v>
      </c>
      <c r="I45" s="165">
        <f>'Table 7 Local Revenue'!AP44</f>
        <v>836190.5</v>
      </c>
      <c r="J45" s="77">
        <f t="shared" si="6"/>
        <v>20720291.5</v>
      </c>
    </row>
    <row r="46" spans="1:10" s="75" customFormat="1">
      <c r="A46" s="103">
        <v>38</v>
      </c>
      <c r="B46" s="81" t="s">
        <v>139</v>
      </c>
      <c r="C46" s="77">
        <f>'Table 7 Local Revenue'!AE45</f>
        <v>20072226</v>
      </c>
      <c r="D46" s="77">
        <f>'Table 7 Local Revenue'!H45</f>
        <v>901760599</v>
      </c>
      <c r="E46" s="77">
        <f t="shared" si="4"/>
        <v>15538028</v>
      </c>
      <c r="F46" s="278">
        <f>'Table 7 Local Revenue'!AI45</f>
        <v>22912329</v>
      </c>
      <c r="G46" s="77">
        <f>'Table 7 Local Revenue'!AM45</f>
        <v>934993872.49999988</v>
      </c>
      <c r="H46" s="77">
        <f t="shared" si="5"/>
        <v>7927215</v>
      </c>
      <c r="I46" s="165">
        <f>'Table 7 Local Revenue'!AP45</f>
        <v>114696.5</v>
      </c>
      <c r="J46" s="77">
        <f t="shared" si="6"/>
        <v>23579939.5</v>
      </c>
    </row>
    <row r="47" spans="1:10" s="75" customFormat="1">
      <c r="A47" s="103">
        <v>39</v>
      </c>
      <c r="B47" s="81" t="s">
        <v>140</v>
      </c>
      <c r="C47" s="77">
        <f>'Table 7 Local Revenue'!AE46</f>
        <v>5997119</v>
      </c>
      <c r="D47" s="77">
        <f>'Table 7 Local Revenue'!H46</f>
        <v>340208064</v>
      </c>
      <c r="E47" s="77">
        <f t="shared" si="4"/>
        <v>5862046</v>
      </c>
      <c r="F47" s="278">
        <f>'Table 7 Local Revenue'!AI46</f>
        <v>5769660</v>
      </c>
      <c r="G47" s="77">
        <f>'Table 7 Local Revenue'!AM46</f>
        <v>288483000</v>
      </c>
      <c r="H47" s="77">
        <f t="shared" si="5"/>
        <v>2445863</v>
      </c>
      <c r="I47" s="165">
        <f>'Table 7 Local Revenue'!AP46</f>
        <v>160880</v>
      </c>
      <c r="J47" s="77">
        <f t="shared" si="6"/>
        <v>8468789</v>
      </c>
    </row>
    <row r="48" spans="1:10" s="75" customFormat="1">
      <c r="A48" s="104">
        <v>40</v>
      </c>
      <c r="B48" s="82" t="s">
        <v>141</v>
      </c>
      <c r="C48" s="78">
        <f>'Table 7 Local Revenue'!AE47</f>
        <v>31124281</v>
      </c>
      <c r="D48" s="78">
        <f>'Table 7 Local Revenue'!H47</f>
        <v>625394815</v>
      </c>
      <c r="E48" s="78">
        <f t="shared" si="4"/>
        <v>10776033</v>
      </c>
      <c r="F48" s="279">
        <f>'Table 7 Local Revenue'!AI47</f>
        <v>34570017</v>
      </c>
      <c r="G48" s="78">
        <f>'Table 7 Local Revenue'!AM47</f>
        <v>2304667800</v>
      </c>
      <c r="H48" s="78">
        <f t="shared" si="5"/>
        <v>19539803</v>
      </c>
      <c r="I48" s="166">
        <f>'Table 7 Local Revenue'!AP47</f>
        <v>1165125.5</v>
      </c>
      <c r="J48" s="20">
        <f t="shared" si="6"/>
        <v>31480961.5</v>
      </c>
    </row>
    <row r="49" spans="1:10" s="75" customFormat="1">
      <c r="A49" s="103">
        <v>41</v>
      </c>
      <c r="B49" s="81" t="s">
        <v>142</v>
      </c>
      <c r="C49" s="77">
        <f>'Table 7 Local Revenue'!AE48</f>
        <v>5197660</v>
      </c>
      <c r="D49" s="77">
        <f>'Table 7 Local Revenue'!H48</f>
        <v>74950535</v>
      </c>
      <c r="E49" s="77">
        <f t="shared" si="4"/>
        <v>1291455</v>
      </c>
      <c r="F49" s="278">
        <f>'Table 7 Local Revenue'!AI48</f>
        <v>19320204</v>
      </c>
      <c r="G49" s="77">
        <f>'Table 7 Local Revenue'!AM48</f>
        <v>951659499.99999988</v>
      </c>
      <c r="H49" s="77">
        <f t="shared" si="5"/>
        <v>8068512</v>
      </c>
      <c r="I49" s="165">
        <f>'Table 7 Local Revenue'!AP48</f>
        <v>67015</v>
      </c>
      <c r="J49" s="77">
        <f t="shared" si="6"/>
        <v>9426982</v>
      </c>
    </row>
    <row r="50" spans="1:10" s="75" customFormat="1">
      <c r="A50" s="103">
        <v>42</v>
      </c>
      <c r="B50" s="81" t="s">
        <v>143</v>
      </c>
      <c r="C50" s="77">
        <f>'Table 7 Local Revenue'!AE49</f>
        <v>4363103</v>
      </c>
      <c r="D50" s="77">
        <f>'Table 7 Local Revenue'!H49</f>
        <v>141353615.70000002</v>
      </c>
      <c r="E50" s="77">
        <f t="shared" si="4"/>
        <v>2435631</v>
      </c>
      <c r="F50" s="278">
        <f>'Table 7 Local Revenue'!AI49</f>
        <v>5866645</v>
      </c>
      <c r="G50" s="77">
        <f>'Table 7 Local Revenue'!AM49</f>
        <v>293332250</v>
      </c>
      <c r="H50" s="77">
        <f t="shared" si="5"/>
        <v>2486976</v>
      </c>
      <c r="I50" s="165">
        <f>'Table 7 Local Revenue'!AP49</f>
        <v>226071.5</v>
      </c>
      <c r="J50" s="77">
        <f t="shared" si="6"/>
        <v>5148678.5</v>
      </c>
    </row>
    <row r="51" spans="1:10" s="75" customFormat="1">
      <c r="A51" s="103">
        <v>43</v>
      </c>
      <c r="B51" s="81" t="s">
        <v>144</v>
      </c>
      <c r="C51" s="77">
        <f>'Table 7 Local Revenue'!AE50</f>
        <v>3720448</v>
      </c>
      <c r="D51" s="77">
        <f>'Table 7 Local Revenue'!H50</f>
        <v>103019088.7</v>
      </c>
      <c r="E51" s="77">
        <f t="shared" si="4"/>
        <v>1775098</v>
      </c>
      <c r="F51" s="278">
        <f>'Table 7 Local Revenue'!AI50</f>
        <v>17579242</v>
      </c>
      <c r="G51" s="77">
        <f>'Table 7 Local Revenue'!AM50</f>
        <v>432074227.99999994</v>
      </c>
      <c r="H51" s="77">
        <f t="shared" si="5"/>
        <v>3663281</v>
      </c>
      <c r="I51" s="165">
        <f>'Table 7 Local Revenue'!AP50</f>
        <v>151429</v>
      </c>
      <c r="J51" s="77">
        <f t="shared" si="6"/>
        <v>5589808</v>
      </c>
    </row>
    <row r="52" spans="1:10" s="75" customFormat="1">
      <c r="A52" s="103">
        <v>44</v>
      </c>
      <c r="B52" s="81" t="s">
        <v>145</v>
      </c>
      <c r="C52" s="77">
        <f>'Table 7 Local Revenue'!AE51</f>
        <v>12810113</v>
      </c>
      <c r="D52" s="77">
        <f>'Table 7 Local Revenue'!H51</f>
        <v>292917443</v>
      </c>
      <c r="E52" s="77">
        <f t="shared" si="4"/>
        <v>5047193</v>
      </c>
      <c r="F52" s="278">
        <f>'Table 7 Local Revenue'!AI51</f>
        <v>18503059</v>
      </c>
      <c r="G52" s="77">
        <f>'Table 7 Local Revenue'!AM51</f>
        <v>838512782.49999988</v>
      </c>
      <c r="H52" s="77">
        <f t="shared" si="5"/>
        <v>7109213</v>
      </c>
      <c r="I52" s="165">
        <f>'Table 7 Local Revenue'!AP51</f>
        <v>26659</v>
      </c>
      <c r="J52" s="77">
        <f t="shared" si="6"/>
        <v>12183065</v>
      </c>
    </row>
    <row r="53" spans="1:10">
      <c r="A53" s="18">
        <v>45</v>
      </c>
      <c r="B53" s="19" t="s">
        <v>146</v>
      </c>
      <c r="C53" s="20">
        <f>'Table 7 Local Revenue'!AE52</f>
        <v>56179756</v>
      </c>
      <c r="D53" s="20">
        <f>'Table 7 Local Revenue'!H52</f>
        <v>1019833123</v>
      </c>
      <c r="E53" s="20">
        <f t="shared" si="4"/>
        <v>17572508</v>
      </c>
      <c r="F53" s="277">
        <f>'Table 7 Local Revenue'!AI52</f>
        <v>45774239</v>
      </c>
      <c r="G53" s="20">
        <f>'Table 7 Local Revenue'!AM52</f>
        <v>1525807967</v>
      </c>
      <c r="H53" s="20">
        <f t="shared" si="5"/>
        <v>12936349</v>
      </c>
      <c r="I53" s="239">
        <f>'Table 7 Local Revenue'!AP52</f>
        <v>280719</v>
      </c>
      <c r="J53" s="20">
        <f t="shared" si="6"/>
        <v>30789576</v>
      </c>
    </row>
    <row r="54" spans="1:10">
      <c r="A54" s="12">
        <v>46</v>
      </c>
      <c r="B54" s="13" t="s">
        <v>147</v>
      </c>
      <c r="C54" s="14">
        <f>'Table 7 Local Revenue'!AE53</f>
        <v>721275</v>
      </c>
      <c r="D54" s="14">
        <f>'Table 7 Local Revenue'!H53</f>
        <v>40445540</v>
      </c>
      <c r="E54" s="14">
        <f t="shared" si="4"/>
        <v>696908</v>
      </c>
      <c r="F54" s="276">
        <f>'Table 7 Local Revenue'!AI53</f>
        <v>1244037</v>
      </c>
      <c r="G54" s="14">
        <f>'Table 7 Local Revenue'!AM53</f>
        <v>61416554.999999993</v>
      </c>
      <c r="H54" s="14">
        <f t="shared" si="5"/>
        <v>520712</v>
      </c>
      <c r="I54" s="238">
        <f>'Table 7 Local Revenue'!AP53</f>
        <v>31608</v>
      </c>
      <c r="J54" s="14">
        <f t="shared" si="6"/>
        <v>1249228</v>
      </c>
    </row>
    <row r="55" spans="1:10">
      <c r="A55" s="12">
        <v>47</v>
      </c>
      <c r="B55" s="13" t="s">
        <v>148</v>
      </c>
      <c r="C55" s="14">
        <f>'Table 7 Local Revenue'!AE54</f>
        <v>17116142</v>
      </c>
      <c r="D55" s="14">
        <f>'Table 7 Local Revenue'!H54</f>
        <v>379469007</v>
      </c>
      <c r="E55" s="14">
        <f t="shared" si="4"/>
        <v>6538542</v>
      </c>
      <c r="F55" s="276">
        <f>'Table 7 Local Revenue'!AI54</f>
        <v>18744037</v>
      </c>
      <c r="G55" s="14">
        <f>'Table 7 Local Revenue'!AM54</f>
        <v>585893812</v>
      </c>
      <c r="H55" s="14">
        <f t="shared" si="5"/>
        <v>4967419</v>
      </c>
      <c r="I55" s="238">
        <f>'Table 7 Local Revenue'!AP54</f>
        <v>87474</v>
      </c>
      <c r="J55" s="14">
        <f t="shared" si="6"/>
        <v>11593435</v>
      </c>
    </row>
    <row r="56" spans="1:10">
      <c r="A56" s="12">
        <v>48</v>
      </c>
      <c r="B56" s="13" t="s">
        <v>217</v>
      </c>
      <c r="C56" s="14">
        <f>'Table 7 Local Revenue'!AE55</f>
        <v>13018061</v>
      </c>
      <c r="D56" s="14">
        <f>'Table 7 Local Revenue'!H55</f>
        <v>348795451</v>
      </c>
      <c r="E56" s="14">
        <f t="shared" si="4"/>
        <v>6010013</v>
      </c>
      <c r="F56" s="276">
        <f>'Table 7 Local Revenue'!AI55</f>
        <v>18562036</v>
      </c>
      <c r="G56" s="14">
        <f>'Table 7 Local Revenue'!AM55</f>
        <v>824979378</v>
      </c>
      <c r="H56" s="14">
        <f t="shared" si="5"/>
        <v>6994472</v>
      </c>
      <c r="I56" s="238">
        <f>'Table 7 Local Revenue'!AP55</f>
        <v>208463.5</v>
      </c>
      <c r="J56" s="14">
        <f t="shared" si="6"/>
        <v>13212948.5</v>
      </c>
    </row>
    <row r="57" spans="1:10">
      <c r="A57" s="12">
        <v>49</v>
      </c>
      <c r="B57" s="13" t="s">
        <v>149</v>
      </c>
      <c r="C57" s="14">
        <f>'Table 7 Local Revenue'!AE56</f>
        <v>9715247</v>
      </c>
      <c r="D57" s="14">
        <f>'Table 7 Local Revenue'!H56</f>
        <v>495657100</v>
      </c>
      <c r="E57" s="14">
        <f t="shared" si="4"/>
        <v>8540552</v>
      </c>
      <c r="F57" s="276">
        <f>'Table 7 Local Revenue'!AI56</f>
        <v>22302404</v>
      </c>
      <c r="G57" s="14">
        <f>'Table 7 Local Revenue'!AM56</f>
        <v>1115120200</v>
      </c>
      <c r="H57" s="14">
        <f t="shared" si="5"/>
        <v>9454390</v>
      </c>
      <c r="I57" s="238">
        <f>'Table 7 Local Revenue'!AP56</f>
        <v>478841.5</v>
      </c>
      <c r="J57" s="14">
        <f t="shared" si="6"/>
        <v>18473783.5</v>
      </c>
    </row>
    <row r="58" spans="1:10">
      <c r="A58" s="18">
        <v>50</v>
      </c>
      <c r="B58" s="19" t="s">
        <v>150</v>
      </c>
      <c r="C58" s="20">
        <f>'Table 7 Local Revenue'!AE57</f>
        <v>8799373</v>
      </c>
      <c r="D58" s="20">
        <f>'Table 7 Local Revenue'!H57</f>
        <v>253905615.70000002</v>
      </c>
      <c r="E58" s="20">
        <f t="shared" si="4"/>
        <v>4374989</v>
      </c>
      <c r="F58" s="277">
        <f>'Table 7 Local Revenue'!AI57</f>
        <v>11765666</v>
      </c>
      <c r="G58" s="20">
        <f>'Table 7 Local Revenue'!AM57</f>
        <v>588283300</v>
      </c>
      <c r="H58" s="20">
        <f t="shared" si="5"/>
        <v>4987678</v>
      </c>
      <c r="I58" s="239">
        <f>'Table 7 Local Revenue'!AP57</f>
        <v>432345.5</v>
      </c>
      <c r="J58" s="20">
        <f t="shared" si="6"/>
        <v>9795012.5</v>
      </c>
    </row>
    <row r="59" spans="1:10">
      <c r="A59" s="12">
        <v>51</v>
      </c>
      <c r="B59" s="13" t="s">
        <v>151</v>
      </c>
      <c r="C59" s="14">
        <f>'Table 7 Local Revenue'!AE58</f>
        <v>19008407</v>
      </c>
      <c r="D59" s="14">
        <f>'Table 7 Local Revenue'!H58</f>
        <v>564079534.70000005</v>
      </c>
      <c r="E59" s="14">
        <f t="shared" si="4"/>
        <v>9719524</v>
      </c>
      <c r="F59" s="276">
        <f>'Table 7 Local Revenue'!AI58</f>
        <v>17685184</v>
      </c>
      <c r="G59" s="14">
        <f>'Table 7 Local Revenue'!AM58</f>
        <v>995685048.89999998</v>
      </c>
      <c r="H59" s="14">
        <f t="shared" si="5"/>
        <v>8441776</v>
      </c>
      <c r="I59" s="238">
        <f>'Table 7 Local Revenue'!AP58</f>
        <v>495361</v>
      </c>
      <c r="J59" s="14">
        <f t="shared" si="6"/>
        <v>18656661</v>
      </c>
    </row>
    <row r="60" spans="1:10">
      <c r="A60" s="12">
        <v>52</v>
      </c>
      <c r="B60" s="13" t="s">
        <v>152</v>
      </c>
      <c r="C60" s="14">
        <f>'Table 7 Local Revenue'!AE59</f>
        <v>103806718</v>
      </c>
      <c r="D60" s="14">
        <f>'Table 7 Local Revenue'!H59</f>
        <v>1573739407</v>
      </c>
      <c r="E60" s="14">
        <f t="shared" si="4"/>
        <v>27116739</v>
      </c>
      <c r="F60" s="276">
        <f>'Table 7 Local Revenue'!AI59</f>
        <v>75235263</v>
      </c>
      <c r="G60" s="14">
        <f>'Table 7 Local Revenue'!AM59</f>
        <v>3761763150</v>
      </c>
      <c r="H60" s="14">
        <f t="shared" si="5"/>
        <v>31893582</v>
      </c>
      <c r="I60" s="238">
        <f>'Table 7 Local Revenue'!AP59</f>
        <v>1943649</v>
      </c>
      <c r="J60" s="14">
        <f t="shared" si="6"/>
        <v>60953970</v>
      </c>
    </row>
    <row r="61" spans="1:10">
      <c r="A61" s="12">
        <v>53</v>
      </c>
      <c r="B61" s="13" t="s">
        <v>153</v>
      </c>
      <c r="C61" s="14">
        <f>'Table 7 Local Revenue'!AE60</f>
        <v>5224571</v>
      </c>
      <c r="D61" s="14">
        <f>'Table 7 Local Revenue'!H60</f>
        <v>490813260</v>
      </c>
      <c r="E61" s="14">
        <f t="shared" si="4"/>
        <v>8457089</v>
      </c>
      <c r="F61" s="276">
        <f>'Table 7 Local Revenue'!AI60</f>
        <v>31322414</v>
      </c>
      <c r="G61" s="14">
        <f>'Table 7 Local Revenue'!AM60</f>
        <v>1566120700</v>
      </c>
      <c r="H61" s="14">
        <f t="shared" si="5"/>
        <v>13278135</v>
      </c>
      <c r="I61" s="238">
        <f>'Table 7 Local Revenue'!AP60</f>
        <v>139130</v>
      </c>
      <c r="J61" s="14">
        <f t="shared" si="6"/>
        <v>21874354</v>
      </c>
    </row>
    <row r="62" spans="1:10">
      <c r="A62" s="12">
        <v>54</v>
      </c>
      <c r="B62" s="13" t="s">
        <v>154</v>
      </c>
      <c r="C62" s="14">
        <f>'Table 7 Local Revenue'!AE61</f>
        <v>1501999</v>
      </c>
      <c r="D62" s="14">
        <f>'Table 7 Local Revenue'!H61</f>
        <v>40713583</v>
      </c>
      <c r="E62" s="14">
        <f t="shared" si="4"/>
        <v>701526</v>
      </c>
      <c r="F62" s="276">
        <f>'Table 7 Local Revenue'!AI61</f>
        <v>594679</v>
      </c>
      <c r="G62" s="14">
        <f>'Table 7 Local Revenue'!AM61</f>
        <v>39645267</v>
      </c>
      <c r="H62" s="14">
        <f t="shared" si="5"/>
        <v>336127</v>
      </c>
      <c r="I62" s="238">
        <f>'Table 7 Local Revenue'!AP61</f>
        <v>52973.5</v>
      </c>
      <c r="J62" s="14">
        <f t="shared" si="6"/>
        <v>1090626.5</v>
      </c>
    </row>
    <row r="63" spans="1:10">
      <c r="A63" s="18">
        <v>55</v>
      </c>
      <c r="B63" s="19" t="s">
        <v>155</v>
      </c>
      <c r="C63" s="20">
        <f>'Table 7 Local Revenue'!AE62</f>
        <v>6511225</v>
      </c>
      <c r="D63" s="20">
        <f>'Table 7 Local Revenue'!H62</f>
        <v>741791975</v>
      </c>
      <c r="E63" s="20">
        <f t="shared" si="4"/>
        <v>12781645</v>
      </c>
      <c r="F63" s="277">
        <f>'Table 7 Local Revenue'!AI62</f>
        <v>46884621</v>
      </c>
      <c r="G63" s="20">
        <f>'Table 7 Local Revenue'!AM62</f>
        <v>2254068317</v>
      </c>
      <c r="H63" s="20">
        <f t="shared" si="5"/>
        <v>19110803</v>
      </c>
      <c r="I63" s="239">
        <f>'Table 7 Local Revenue'!AP62</f>
        <v>406862</v>
      </c>
      <c r="J63" s="20">
        <f t="shared" si="6"/>
        <v>32299310</v>
      </c>
    </row>
    <row r="64" spans="1:10">
      <c r="A64" s="12">
        <v>56</v>
      </c>
      <c r="B64" s="13" t="s">
        <v>156</v>
      </c>
      <c r="C64" s="14">
        <f>'Table 7 Local Revenue'!AE63</f>
        <v>3605770</v>
      </c>
      <c r="D64" s="14">
        <f>'Table 7 Local Revenue'!H63</f>
        <v>144004495.80000001</v>
      </c>
      <c r="E64" s="14">
        <f t="shared" si="4"/>
        <v>2481308</v>
      </c>
      <c r="F64" s="276">
        <f>'Table 7 Local Revenue'!AI63</f>
        <v>4787471</v>
      </c>
      <c r="G64" s="14">
        <f>'Table 7 Local Revenue'!AM63</f>
        <v>239373550</v>
      </c>
      <c r="H64" s="14">
        <f t="shared" si="5"/>
        <v>2029495</v>
      </c>
      <c r="I64" s="238">
        <f>'Table 7 Local Revenue'!AP63</f>
        <v>151687.5</v>
      </c>
      <c r="J64" s="14">
        <f t="shared" si="6"/>
        <v>4662490.5</v>
      </c>
    </row>
    <row r="65" spans="1:10">
      <c r="A65" s="12">
        <v>57</v>
      </c>
      <c r="B65" s="13" t="s">
        <v>157</v>
      </c>
      <c r="C65" s="14">
        <f>'Table 7 Local Revenue'!AE64</f>
        <v>12091196</v>
      </c>
      <c r="D65" s="14">
        <f>'Table 7 Local Revenue'!H64</f>
        <v>309620720</v>
      </c>
      <c r="E65" s="14">
        <f t="shared" si="4"/>
        <v>5335003</v>
      </c>
      <c r="F65" s="276">
        <f>'Table 7 Local Revenue'!AI64</f>
        <v>11023107</v>
      </c>
      <c r="G65" s="14">
        <f>'Table 7 Local Revenue'!AM64</f>
        <v>716728452.94999993</v>
      </c>
      <c r="H65" s="14">
        <f t="shared" si="5"/>
        <v>6076682</v>
      </c>
      <c r="I65" s="238">
        <f>'Table 7 Local Revenue'!AP64</f>
        <v>2377214</v>
      </c>
      <c r="J65" s="14">
        <f t="shared" si="6"/>
        <v>13788899</v>
      </c>
    </row>
    <row r="66" spans="1:10">
      <c r="A66" s="12">
        <v>58</v>
      </c>
      <c r="B66" s="13" t="s">
        <v>158</v>
      </c>
      <c r="C66" s="14">
        <f>'Table 7 Local Revenue'!AE65</f>
        <v>6132455</v>
      </c>
      <c r="D66" s="14">
        <f>'Table 7 Local Revenue'!H65</f>
        <v>117095033</v>
      </c>
      <c r="E66" s="14">
        <f t="shared" si="4"/>
        <v>2017637</v>
      </c>
      <c r="F66" s="276">
        <f>'Table 7 Local Revenue'!AI65</f>
        <v>10811799</v>
      </c>
      <c r="G66" s="14">
        <f>'Table 7 Local Revenue'!AM65</f>
        <v>540589950</v>
      </c>
      <c r="H66" s="14">
        <f t="shared" si="5"/>
        <v>4583316</v>
      </c>
      <c r="I66" s="238">
        <f>'Table 7 Local Revenue'!AP65</f>
        <v>432567</v>
      </c>
      <c r="J66" s="14">
        <f t="shared" si="6"/>
        <v>7033520</v>
      </c>
    </row>
    <row r="67" spans="1:10">
      <c r="A67" s="12">
        <v>59</v>
      </c>
      <c r="B67" s="13" t="s">
        <v>159</v>
      </c>
      <c r="C67" s="14">
        <f>'Table 7 Local Revenue'!AE66</f>
        <v>4637189</v>
      </c>
      <c r="D67" s="14">
        <f>'Table 7 Local Revenue'!H66</f>
        <v>82193101</v>
      </c>
      <c r="E67" s="14">
        <f t="shared" si="4"/>
        <v>1416250</v>
      </c>
      <c r="F67" s="276">
        <f>'Table 7 Local Revenue'!AI66</f>
        <v>3958010</v>
      </c>
      <c r="G67" s="14">
        <f>'Table 7 Local Revenue'!AM66</f>
        <v>197900500</v>
      </c>
      <c r="H67" s="14">
        <f t="shared" si="5"/>
        <v>1677872</v>
      </c>
      <c r="I67" s="238">
        <f>'Table 7 Local Revenue'!AP66</f>
        <v>161850</v>
      </c>
      <c r="J67" s="14">
        <f t="shared" si="6"/>
        <v>3255972</v>
      </c>
    </row>
    <row r="68" spans="1:10">
      <c r="A68" s="18">
        <v>60</v>
      </c>
      <c r="B68" s="19" t="s">
        <v>160</v>
      </c>
      <c r="C68" s="20">
        <f>'Table 7 Local Revenue'!AE67</f>
        <v>11304862</v>
      </c>
      <c r="D68" s="20">
        <f>'Table 7 Local Revenue'!H67</f>
        <v>228007251</v>
      </c>
      <c r="E68" s="20">
        <f t="shared" si="4"/>
        <v>3928740</v>
      </c>
      <c r="F68" s="277">
        <f>'Table 7 Local Revenue'!AI67</f>
        <v>14308091</v>
      </c>
      <c r="G68" s="20">
        <f>'Table 7 Local Revenue'!AM67</f>
        <v>671741362</v>
      </c>
      <c r="H68" s="20">
        <f t="shared" si="5"/>
        <v>5695265</v>
      </c>
      <c r="I68" s="239">
        <f>'Table 7 Local Revenue'!AP67</f>
        <v>354884.5</v>
      </c>
      <c r="J68" s="20">
        <f t="shared" si="6"/>
        <v>9978889.5</v>
      </c>
    </row>
    <row r="69" spans="1:10">
      <c r="A69" s="12">
        <v>61</v>
      </c>
      <c r="B69" s="13" t="s">
        <v>161</v>
      </c>
      <c r="C69" s="14">
        <f>'Table 7 Local Revenue'!AE68</f>
        <v>11598428</v>
      </c>
      <c r="D69" s="14">
        <f>'Table 7 Local Revenue'!H68</f>
        <v>328455777</v>
      </c>
      <c r="E69" s="14">
        <f t="shared" si="4"/>
        <v>5659545</v>
      </c>
      <c r="F69" s="276">
        <f>'Table 7 Local Revenue'!AI68</f>
        <v>10207463</v>
      </c>
      <c r="G69" s="14">
        <f>'Table 7 Local Revenue'!AM68</f>
        <v>510373150</v>
      </c>
      <c r="H69" s="14">
        <f t="shared" si="5"/>
        <v>4327127</v>
      </c>
      <c r="I69" s="238">
        <f>'Table 7 Local Revenue'!AP68</f>
        <v>210970.5</v>
      </c>
      <c r="J69" s="14">
        <f t="shared" si="6"/>
        <v>10197642.5</v>
      </c>
    </row>
    <row r="70" spans="1:10">
      <c r="A70" s="12">
        <v>62</v>
      </c>
      <c r="B70" s="13" t="s">
        <v>162</v>
      </c>
      <c r="C70" s="14">
        <f>'Table 7 Local Revenue'!AE69</f>
        <v>1243680</v>
      </c>
      <c r="D70" s="14">
        <f>'Table 7 Local Revenue'!H69</f>
        <v>50448171</v>
      </c>
      <c r="E70" s="14">
        <f t="shared" si="4"/>
        <v>869261</v>
      </c>
      <c r="F70" s="276">
        <f>'Table 7 Local Revenue'!AI69</f>
        <v>2272494</v>
      </c>
      <c r="G70" s="14">
        <f>'Table 7 Local Revenue'!AM69</f>
        <v>113624700</v>
      </c>
      <c r="H70" s="14">
        <f t="shared" si="5"/>
        <v>963351</v>
      </c>
      <c r="I70" s="238">
        <f>'Table 7 Local Revenue'!AP69</f>
        <v>97717.5</v>
      </c>
      <c r="J70" s="14">
        <f t="shared" si="6"/>
        <v>1930329.5</v>
      </c>
    </row>
    <row r="71" spans="1:10">
      <c r="A71" s="12">
        <v>63</v>
      </c>
      <c r="B71" s="13" t="s">
        <v>163</v>
      </c>
      <c r="C71" s="14">
        <f>'Table 7 Local Revenue'!AE70</f>
        <v>9895935</v>
      </c>
      <c r="D71" s="14">
        <f>'Table 7 Local Revenue'!H70</f>
        <v>271070965</v>
      </c>
      <c r="E71" s="14">
        <f t="shared" si="4"/>
        <v>4670761</v>
      </c>
      <c r="F71" s="276">
        <f>'Table 7 Local Revenue'!AI70</f>
        <v>4158235</v>
      </c>
      <c r="G71" s="14">
        <f>'Table 7 Local Revenue'!AM70</f>
        <v>166329400</v>
      </c>
      <c r="H71" s="14">
        <f t="shared" si="5"/>
        <v>1410201</v>
      </c>
      <c r="I71" s="238">
        <f>'Table 7 Local Revenue'!AP70</f>
        <v>55770.5</v>
      </c>
      <c r="J71" s="14">
        <f t="shared" si="6"/>
        <v>6136732.5</v>
      </c>
    </row>
    <row r="72" spans="1:10">
      <c r="A72" s="12">
        <v>64</v>
      </c>
      <c r="B72" s="13" t="s">
        <v>164</v>
      </c>
      <c r="C72" s="14">
        <f>'Table 7 Local Revenue'!AE71</f>
        <v>2852830</v>
      </c>
      <c r="D72" s="14">
        <f>'Table 7 Local Revenue'!H71</f>
        <v>65071153.400000006</v>
      </c>
      <c r="E72" s="14">
        <f t="shared" si="4"/>
        <v>1121226</v>
      </c>
      <c r="F72" s="276">
        <f>'Table 7 Local Revenue'!AI71</f>
        <v>3504036</v>
      </c>
      <c r="G72" s="14">
        <f>'Table 7 Local Revenue'!AM71</f>
        <v>175201800</v>
      </c>
      <c r="H72" s="14">
        <f t="shared" si="5"/>
        <v>1485424</v>
      </c>
      <c r="I72" s="238">
        <f>'Table 7 Local Revenue'!AP71</f>
        <v>309841</v>
      </c>
      <c r="J72" s="14">
        <f t="shared" si="6"/>
        <v>2916491</v>
      </c>
    </row>
    <row r="73" spans="1:10">
      <c r="A73" s="18">
        <v>65</v>
      </c>
      <c r="B73" s="19" t="s">
        <v>165</v>
      </c>
      <c r="C73" s="20">
        <f>'Table 7 Local Revenue'!AE72</f>
        <v>15020608</v>
      </c>
      <c r="D73" s="20">
        <f>'Table 7 Local Revenue'!H72</f>
        <v>337062437</v>
      </c>
      <c r="E73" s="20">
        <f>ROUND(D73*$E$6/1000,0)</f>
        <v>5807845</v>
      </c>
      <c r="F73" s="277">
        <f>'Table 7 Local Revenue'!AI72</f>
        <v>24878003</v>
      </c>
      <c r="G73" s="20">
        <f>'Table 7 Local Revenue'!AM72</f>
        <v>1243900150</v>
      </c>
      <c r="H73" s="20">
        <f>ROUND(G73*$H$6,0)</f>
        <v>10546233</v>
      </c>
      <c r="I73" s="239">
        <f>'Table 7 Local Revenue'!AP72</f>
        <v>303721</v>
      </c>
      <c r="J73" s="20">
        <f>E73+H73+I73</f>
        <v>16657799</v>
      </c>
    </row>
    <row r="74" spans="1:10">
      <c r="A74" s="12">
        <v>66</v>
      </c>
      <c r="B74" s="13" t="s">
        <v>166</v>
      </c>
      <c r="C74" s="14">
        <f>'Table 7 Local Revenue'!AE73</f>
        <v>4719857</v>
      </c>
      <c r="D74" s="14">
        <f>'Table 7 Local Revenue'!H73</f>
        <v>78604030</v>
      </c>
      <c r="E74" s="14">
        <f>ROUND(D74*$E$6/1000,0)</f>
        <v>1354408</v>
      </c>
      <c r="F74" s="276">
        <f>'Table 7 Local Revenue'!AI73</f>
        <v>2310643</v>
      </c>
      <c r="G74" s="14">
        <f>'Table 7 Local Revenue'!AM73</f>
        <v>231064300</v>
      </c>
      <c r="H74" s="14">
        <f>ROUND(G74*$H$6,0)</f>
        <v>1959046</v>
      </c>
      <c r="I74" s="238">
        <f>'Table 7 Local Revenue'!AP73</f>
        <v>214465</v>
      </c>
      <c r="J74" s="14">
        <f>E74+H74+I74</f>
        <v>3527919</v>
      </c>
    </row>
    <row r="75" spans="1:10">
      <c r="A75" s="12">
        <v>67</v>
      </c>
      <c r="B75" s="13" t="s">
        <v>33</v>
      </c>
      <c r="C75" s="14">
        <f>'Table 7 Local Revenue'!AE74</f>
        <v>14532706</v>
      </c>
      <c r="D75" s="14">
        <f>'Table 7 Local Revenue'!H74</f>
        <v>186663350</v>
      </c>
      <c r="E75" s="14">
        <f>ROUND(D75*$E$6/1000,0)</f>
        <v>3216353</v>
      </c>
      <c r="F75" s="276">
        <f>'Table 7 Local Revenue'!AI74</f>
        <v>7761984</v>
      </c>
      <c r="G75" s="14">
        <f>'Table 7 Local Revenue'!AM74</f>
        <v>388099200</v>
      </c>
      <c r="H75" s="14">
        <f>ROUND(G75*$H$6,0)</f>
        <v>3290445</v>
      </c>
      <c r="I75" s="238">
        <f>'Table 7 Local Revenue'!AP74</f>
        <v>81064</v>
      </c>
      <c r="J75" s="14">
        <f>E75+H75+I75</f>
        <v>6587862</v>
      </c>
    </row>
    <row r="76" spans="1:10">
      <c r="A76" s="12">
        <v>68</v>
      </c>
      <c r="B76" s="13" t="s">
        <v>31</v>
      </c>
      <c r="C76" s="14">
        <f>'Table 7 Local Revenue'!AE75</f>
        <v>1821566</v>
      </c>
      <c r="D76" s="14">
        <f>'Table 7 Local Revenue'!H75</f>
        <v>44450770</v>
      </c>
      <c r="E76" s="14">
        <f>ROUND(D76*$E$6/1000,0)</f>
        <v>765921</v>
      </c>
      <c r="F76" s="276">
        <f>'Table 7 Local Revenue'!AI75</f>
        <v>3220233</v>
      </c>
      <c r="G76" s="14">
        <f>'Table 7 Local Revenue'!AM75</f>
        <v>161011650</v>
      </c>
      <c r="H76" s="14">
        <f>ROUND(G76*$H$6,0)</f>
        <v>1365115</v>
      </c>
      <c r="I76" s="238">
        <f>'Table 7 Local Revenue'!AP75</f>
        <v>45686</v>
      </c>
      <c r="J76" s="14">
        <f>E76+H76+I76</f>
        <v>2176722</v>
      </c>
    </row>
    <row r="77" spans="1:10">
      <c r="A77" s="155">
        <v>69</v>
      </c>
      <c r="B77" s="19" t="s">
        <v>229</v>
      </c>
      <c r="C77" s="14">
        <f>'Table 7 Local Revenue'!AE76</f>
        <v>6512200</v>
      </c>
      <c r="D77" s="14">
        <f>'Table 7 Local Revenue'!H76</f>
        <v>105395730</v>
      </c>
      <c r="E77" s="14">
        <f>ROUND(D77*$E$6/1000,0)</f>
        <v>1816049</v>
      </c>
      <c r="F77" s="276">
        <f>'Table 7 Local Revenue'!AI76</f>
        <v>6717258</v>
      </c>
      <c r="G77" s="14">
        <f>'Table 7 Local Revenue'!AM76</f>
        <v>268690320</v>
      </c>
      <c r="H77" s="14">
        <f>ROUND(G77*$H$6,0)</f>
        <v>2278053</v>
      </c>
      <c r="I77" s="238">
        <f>'Table 7 Local Revenue'!AP76</f>
        <v>0</v>
      </c>
      <c r="J77" s="14">
        <f>E77+H77+I77</f>
        <v>4094102</v>
      </c>
    </row>
    <row r="78" spans="1:10" ht="13.5" thickBot="1">
      <c r="A78" s="17"/>
      <c r="B78" s="43" t="s">
        <v>98</v>
      </c>
      <c r="C78" s="44">
        <f t="shared" ref="C78:J78" si="7">SUM(C9:C77)</f>
        <v>1308298117</v>
      </c>
      <c r="D78" s="44">
        <f t="shared" si="7"/>
        <v>32368249012.300007</v>
      </c>
      <c r="E78" s="44">
        <f t="shared" si="7"/>
        <v>557729787</v>
      </c>
      <c r="F78" s="44">
        <f t="shared" si="7"/>
        <v>1644278388</v>
      </c>
      <c r="G78" s="44">
        <f t="shared" si="7"/>
        <v>81720840432.400009</v>
      </c>
      <c r="H78" s="44">
        <f t="shared" si="7"/>
        <v>692858701</v>
      </c>
      <c r="I78" s="262">
        <f t="shared" si="7"/>
        <v>38141997.5</v>
      </c>
      <c r="J78" s="44">
        <f t="shared" si="7"/>
        <v>1288730485.5</v>
      </c>
    </row>
    <row r="79" spans="1:10" ht="13.5" thickTop="1"/>
    <row r="81" spans="5:6">
      <c r="F81" s="434">
        <f>'Table 3 Levels 1&amp;2'!V77</f>
        <v>0.65</v>
      </c>
    </row>
    <row r="84" spans="5:6" ht="18">
      <c r="E84" s="235"/>
      <c r="F84" s="236"/>
    </row>
  </sheetData>
  <mergeCells count="10">
    <mergeCell ref="A4:A6"/>
    <mergeCell ref="B4:B6"/>
    <mergeCell ref="C4:E4"/>
    <mergeCell ref="F4:J4"/>
    <mergeCell ref="C5:C6"/>
    <mergeCell ref="D5:D6"/>
    <mergeCell ref="F5:F6"/>
    <mergeCell ref="G5:G6"/>
    <mergeCell ref="I5:I6"/>
    <mergeCell ref="J5:J6"/>
  </mergeCells>
  <phoneticPr fontId="0" type="noConversion"/>
  <printOptions horizontalCentered="1"/>
  <pageMargins left="0.68" right="0.28999999999999998" top="1.19" bottom="0.38" header="0.33" footer="0.18"/>
  <pageSetup paperSize="5" scale="87" firstPageNumber="95" orientation="portrait" useFirstPageNumber="1" r:id="rId1"/>
  <headerFooter alignWithMargins="0">
    <oddHeader>&amp;L&amp;"Arial,Bold"&amp;18TABLE 6: FY2012-13 Budget Letter (May 2013)
Local Deduction Calculation</oddHeader>
    <oddFooter>&amp;R&amp;12&amp;P</oddFooter>
  </headerFooter>
  <colBreaks count="1" manualBreakCount="1">
    <brk id="5" min="2" max="7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"/>
  <sheetViews>
    <sheetView view="pageBreakPreview" topLeftCell="A3" zoomScaleNormal="85" zoomScaleSheetLayoutView="100" workbookViewId="0">
      <pane xSplit="2" ySplit="4" topLeftCell="C7" activePane="bottomRight" state="frozen"/>
      <selection activeCell="A8" sqref="A8:A9"/>
      <selection pane="topRight" activeCell="A8" sqref="A8:A9"/>
      <selection pane="bottomLeft" activeCell="A8" sqref="A8:A9"/>
      <selection pane="bottomRight" activeCell="B3" sqref="B3:B5"/>
    </sheetView>
  </sheetViews>
  <sheetFormatPr defaultRowHeight="12.75"/>
  <cols>
    <col min="1" max="1" width="4.7109375" customWidth="1"/>
    <col min="2" max="2" width="18.5703125" customWidth="1"/>
    <col min="3" max="3" width="16" customWidth="1"/>
    <col min="4" max="4" width="14.85546875" customWidth="1"/>
    <col min="5" max="5" width="15.7109375" customWidth="1"/>
    <col min="6" max="6" width="15.28515625" customWidth="1"/>
    <col min="7" max="7" width="9" customWidth="1"/>
    <col min="8" max="8" width="15.85546875" customWidth="1"/>
    <col min="9" max="9" width="10.42578125" bestFit="1" customWidth="1"/>
    <col min="10" max="10" width="13.140625" bestFit="1" customWidth="1"/>
    <col min="11" max="11" width="10.42578125" bestFit="1" customWidth="1"/>
    <col min="12" max="12" width="13" customWidth="1"/>
    <col min="13" max="15" width="8.28515625" bestFit="1" customWidth="1"/>
    <col min="16" max="16" width="11.7109375" bestFit="1" customWidth="1"/>
    <col min="17" max="17" width="15.42578125" customWidth="1"/>
    <col min="18" max="18" width="7.85546875" customWidth="1"/>
    <col min="19" max="19" width="17.140625" bestFit="1" customWidth="1"/>
    <col min="20" max="21" width="10.7109375" customWidth="1"/>
    <col min="22" max="22" width="9.140625" customWidth="1"/>
    <col min="23" max="23" width="16.5703125" bestFit="1" customWidth="1"/>
    <col min="24" max="24" width="13" bestFit="1" customWidth="1"/>
    <col min="25" max="25" width="12.85546875" customWidth="1"/>
    <col min="26" max="26" width="14.42578125" customWidth="1"/>
    <col min="27" max="27" width="12.85546875" customWidth="1"/>
    <col min="28" max="30" width="10.7109375" customWidth="1"/>
    <col min="31" max="31" width="16.140625" customWidth="1"/>
    <col min="32" max="32" width="10.5703125" customWidth="1"/>
    <col min="33" max="33" width="16.42578125" bestFit="1" customWidth="1"/>
    <col min="34" max="34" width="15.42578125" bestFit="1" customWidth="1"/>
    <col min="35" max="35" width="18.42578125" customWidth="1"/>
    <col min="36" max="36" width="16.85546875" bestFit="1" customWidth="1"/>
    <col min="37" max="37" width="17.42578125" bestFit="1" customWidth="1"/>
    <col min="38" max="38" width="12.28515625" bestFit="1" customWidth="1"/>
    <col min="39" max="39" width="20.140625" bestFit="1" customWidth="1"/>
    <col min="40" max="41" width="13.42578125" bestFit="1" customWidth="1"/>
    <col min="42" max="42" width="23.85546875" customWidth="1"/>
    <col min="43" max="43" width="19.140625" bestFit="1" customWidth="1"/>
    <col min="44" max="44" width="14.42578125" bestFit="1" customWidth="1"/>
    <col min="45" max="45" width="10.42578125" bestFit="1" customWidth="1"/>
  </cols>
  <sheetData>
    <row r="1" spans="1:44" ht="20.25" hidden="1">
      <c r="A1" s="48" t="s">
        <v>218</v>
      </c>
      <c r="B1" s="152"/>
      <c r="C1" s="153"/>
      <c r="D1" s="154"/>
      <c r="E1" s="154"/>
      <c r="F1" s="154"/>
      <c r="G1" s="154"/>
      <c r="H1" s="15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143"/>
      <c r="AF1" s="144"/>
      <c r="AG1" s="2"/>
      <c r="AH1" s="2"/>
      <c r="AI1" s="2"/>
      <c r="AJ1" s="2"/>
      <c r="AK1" s="2"/>
      <c r="AL1" s="2"/>
      <c r="AM1" s="2"/>
      <c r="AN1" s="2"/>
      <c r="AO1" s="2"/>
      <c r="AP1" s="145"/>
      <c r="AQ1" s="2"/>
    </row>
    <row r="2" spans="1:44" ht="40.5" hidden="1">
      <c r="A2" s="48"/>
      <c r="C2" s="2126" t="s">
        <v>26</v>
      </c>
      <c r="D2" s="2127"/>
      <c r="E2" s="127"/>
      <c r="F2" s="127"/>
      <c r="G2" s="127"/>
      <c r="H2" s="127"/>
      <c r="I2" s="152" t="s">
        <v>41</v>
      </c>
      <c r="J2" s="152" t="s">
        <v>42</v>
      </c>
      <c r="K2" s="152" t="s">
        <v>43</v>
      </c>
      <c r="L2" s="152" t="s">
        <v>44</v>
      </c>
      <c r="M2" s="152" t="s">
        <v>45</v>
      </c>
      <c r="N2" s="152" t="s">
        <v>46</v>
      </c>
      <c r="O2" s="152" t="s">
        <v>47</v>
      </c>
      <c r="P2" s="152" t="s">
        <v>48</v>
      </c>
      <c r="Q2" s="127" t="s">
        <v>24</v>
      </c>
      <c r="R2" s="152" t="s">
        <v>49</v>
      </c>
      <c r="S2" s="152" t="s">
        <v>50</v>
      </c>
      <c r="T2" s="152" t="s">
        <v>51</v>
      </c>
      <c r="U2" s="152" t="s">
        <v>52</v>
      </c>
      <c r="V2" s="152" t="s">
        <v>53</v>
      </c>
      <c r="W2" s="152" t="s">
        <v>54</v>
      </c>
      <c r="X2" s="127" t="s">
        <v>25</v>
      </c>
      <c r="Y2" s="127" t="s">
        <v>35</v>
      </c>
      <c r="Z2" s="127" t="s">
        <v>36</v>
      </c>
      <c r="AA2" s="127" t="s">
        <v>37</v>
      </c>
      <c r="AB2" s="127" t="s">
        <v>38</v>
      </c>
      <c r="AC2" s="127" t="s">
        <v>39</v>
      </c>
      <c r="AD2" s="127" t="s">
        <v>27</v>
      </c>
      <c r="AE2" s="284"/>
      <c r="AF2" s="120" t="s">
        <v>72</v>
      </c>
      <c r="AG2" s="120" t="s">
        <v>73</v>
      </c>
      <c r="AH2" s="119" t="s">
        <v>205</v>
      </c>
      <c r="AI2" s="119"/>
      <c r="AJ2" s="121"/>
      <c r="AK2" s="121" t="s">
        <v>28</v>
      </c>
      <c r="AL2" s="182"/>
      <c r="AM2" s="182"/>
      <c r="AN2" s="127" t="s">
        <v>29</v>
      </c>
      <c r="AO2" s="127" t="s">
        <v>30</v>
      </c>
      <c r="AP2" s="132" t="s">
        <v>83</v>
      </c>
      <c r="AQ2" s="167" t="s">
        <v>22</v>
      </c>
      <c r="AR2" s="132" t="s">
        <v>84</v>
      </c>
    </row>
    <row r="3" spans="1:44" ht="39.75" customHeight="1">
      <c r="A3" s="1811" t="s">
        <v>203</v>
      </c>
      <c r="B3" s="1811" t="s">
        <v>3</v>
      </c>
      <c r="C3" s="2129" t="s">
        <v>678</v>
      </c>
      <c r="D3" s="2130"/>
      <c r="E3" s="2131"/>
      <c r="F3" s="2131"/>
      <c r="G3" s="2131"/>
      <c r="H3" s="2132"/>
      <c r="I3" s="2108" t="s">
        <v>4</v>
      </c>
      <c r="J3" s="2110"/>
      <c r="K3" s="2123" t="s">
        <v>55</v>
      </c>
      <c r="L3" s="2124"/>
      <c r="M3" s="2124"/>
      <c r="N3" s="2124"/>
      <c r="O3" s="2124"/>
      <c r="P3" s="2128"/>
      <c r="Q3" s="2115" t="s">
        <v>243</v>
      </c>
      <c r="R3" s="2123" t="s">
        <v>56</v>
      </c>
      <c r="S3" s="2124"/>
      <c r="T3" s="2124"/>
      <c r="U3" s="2124"/>
      <c r="V3" s="2124"/>
      <c r="W3" s="2128"/>
      <c r="X3" s="2115" t="s">
        <v>57</v>
      </c>
      <c r="Y3" s="2123" t="s">
        <v>40</v>
      </c>
      <c r="Z3" s="2124"/>
      <c r="AA3" s="2124"/>
      <c r="AB3" s="2124"/>
      <c r="AC3" s="2124"/>
      <c r="AD3" s="2124"/>
      <c r="AE3" s="2115" t="s">
        <v>673</v>
      </c>
      <c r="AF3" s="2123" t="s">
        <v>76</v>
      </c>
      <c r="AG3" s="2124"/>
      <c r="AH3" s="2124"/>
      <c r="AI3" s="2115" t="s">
        <v>674</v>
      </c>
      <c r="AJ3" s="2123" t="s">
        <v>99</v>
      </c>
      <c r="AK3" s="2124"/>
      <c r="AL3" s="2124"/>
      <c r="AM3" s="2124"/>
      <c r="AN3" s="2124"/>
      <c r="AO3" s="2128"/>
      <c r="AP3" s="2120" t="s">
        <v>677</v>
      </c>
      <c r="AQ3" s="2114" t="s">
        <v>268</v>
      </c>
      <c r="AR3" s="2111" t="s">
        <v>279</v>
      </c>
    </row>
    <row r="4" spans="1:44" ht="71.25" customHeight="1">
      <c r="A4" s="2106"/>
      <c r="B4" s="2106"/>
      <c r="C4" s="2075" t="s">
        <v>668</v>
      </c>
      <c r="D4" s="2075" t="s">
        <v>669</v>
      </c>
      <c r="E4" s="1811" t="s">
        <v>670</v>
      </c>
      <c r="F4" s="2075" t="s">
        <v>671</v>
      </c>
      <c r="G4" s="2075" t="s">
        <v>230</v>
      </c>
      <c r="H4" s="67" t="s">
        <v>672</v>
      </c>
      <c r="I4" s="2125" t="s">
        <v>8</v>
      </c>
      <c r="J4" s="2125" t="s">
        <v>58</v>
      </c>
      <c r="K4" s="2125" t="s">
        <v>8</v>
      </c>
      <c r="L4" s="2125" t="s">
        <v>58</v>
      </c>
      <c r="M4" s="2125" t="s">
        <v>59</v>
      </c>
      <c r="N4" s="2125" t="s">
        <v>60</v>
      </c>
      <c r="O4" s="2125" t="s">
        <v>61</v>
      </c>
      <c r="P4" s="2125" t="s">
        <v>261</v>
      </c>
      <c r="Q4" s="2116"/>
      <c r="R4" s="2125" t="s">
        <v>8</v>
      </c>
      <c r="S4" s="2125" t="s">
        <v>13</v>
      </c>
      <c r="T4" s="2125" t="s">
        <v>9</v>
      </c>
      <c r="U4" s="2125" t="s">
        <v>10</v>
      </c>
      <c r="V4" s="2125" t="s">
        <v>11</v>
      </c>
      <c r="W4" s="2125" t="s">
        <v>12</v>
      </c>
      <c r="X4" s="2116"/>
      <c r="Y4" s="2125" t="s">
        <v>18</v>
      </c>
      <c r="Z4" s="2125" t="s">
        <v>17</v>
      </c>
      <c r="AA4" s="2125" t="s">
        <v>16</v>
      </c>
      <c r="AB4" s="2125" t="s">
        <v>15</v>
      </c>
      <c r="AC4" s="2125" t="s">
        <v>14</v>
      </c>
      <c r="AD4" s="2125" t="s">
        <v>19</v>
      </c>
      <c r="AE4" s="2116"/>
      <c r="AF4" s="2119" t="s">
        <v>5</v>
      </c>
      <c r="AG4" s="2119" t="s">
        <v>6</v>
      </c>
      <c r="AH4" s="2119" t="s">
        <v>7</v>
      </c>
      <c r="AI4" s="2116"/>
      <c r="AJ4" s="2118" t="s">
        <v>675</v>
      </c>
      <c r="AK4" s="2118" t="s">
        <v>676</v>
      </c>
      <c r="AL4" s="2118" t="s">
        <v>224</v>
      </c>
      <c r="AM4" s="375" t="s">
        <v>97</v>
      </c>
      <c r="AN4" s="2119" t="s">
        <v>100</v>
      </c>
      <c r="AO4" s="2119" t="s">
        <v>20</v>
      </c>
      <c r="AP4" s="2121"/>
      <c r="AQ4" s="2112"/>
      <c r="AR4" s="2112"/>
    </row>
    <row r="5" spans="1:44" s="426" customFormat="1" ht="16.5" customHeight="1">
      <c r="A5" s="2107"/>
      <c r="B5" s="2107"/>
      <c r="C5" s="2075"/>
      <c r="D5" s="2075"/>
      <c r="E5" s="1797"/>
      <c r="F5" s="2075"/>
      <c r="G5" s="2075"/>
      <c r="H5" s="595">
        <v>0.1</v>
      </c>
      <c r="I5" s="2125"/>
      <c r="J5" s="2125"/>
      <c r="K5" s="2125"/>
      <c r="L5" s="2125"/>
      <c r="M5" s="2125"/>
      <c r="N5" s="2125"/>
      <c r="O5" s="2125"/>
      <c r="P5" s="2125"/>
      <c r="Q5" s="2117"/>
      <c r="R5" s="2125"/>
      <c r="S5" s="2125"/>
      <c r="T5" s="2125"/>
      <c r="U5" s="2125"/>
      <c r="V5" s="2125"/>
      <c r="W5" s="2125"/>
      <c r="X5" s="2117"/>
      <c r="Y5" s="2125"/>
      <c r="Z5" s="2125"/>
      <c r="AA5" s="2125"/>
      <c r="AB5" s="2125"/>
      <c r="AC5" s="2125"/>
      <c r="AD5" s="2125"/>
      <c r="AE5" s="2117"/>
      <c r="AF5" s="2119"/>
      <c r="AG5" s="2119"/>
      <c r="AH5" s="2119"/>
      <c r="AI5" s="2117"/>
      <c r="AJ5" s="2118"/>
      <c r="AK5" s="2118"/>
      <c r="AL5" s="2118"/>
      <c r="AM5" s="595">
        <v>0.15</v>
      </c>
      <c r="AN5" s="2119"/>
      <c r="AO5" s="2119"/>
      <c r="AP5" s="2122"/>
      <c r="AQ5" s="2113"/>
      <c r="AR5" s="2113"/>
    </row>
    <row r="6" spans="1:44">
      <c r="A6" s="63"/>
      <c r="B6" s="71"/>
      <c r="C6" s="230">
        <v>1</v>
      </c>
      <c r="D6" s="229">
        <f>C6+1</f>
        <v>2</v>
      </c>
      <c r="E6" s="229">
        <v>3</v>
      </c>
      <c r="F6" s="261" t="s">
        <v>239</v>
      </c>
      <c r="G6" s="261" t="s">
        <v>240</v>
      </c>
      <c r="H6" s="216" t="s">
        <v>241</v>
      </c>
      <c r="I6" s="215">
        <f>E6+1</f>
        <v>4</v>
      </c>
      <c r="J6" s="229">
        <f t="shared" ref="J6:AR6" si="0">I6+1</f>
        <v>5</v>
      </c>
      <c r="K6" s="229">
        <f t="shared" si="0"/>
        <v>6</v>
      </c>
      <c r="L6" s="229">
        <f t="shared" si="0"/>
        <v>7</v>
      </c>
      <c r="M6" s="229">
        <f t="shared" si="0"/>
        <v>8</v>
      </c>
      <c r="N6" s="229">
        <f t="shared" si="0"/>
        <v>9</v>
      </c>
      <c r="O6" s="229">
        <f t="shared" si="0"/>
        <v>10</v>
      </c>
      <c r="P6" s="229">
        <f t="shared" si="0"/>
        <v>11</v>
      </c>
      <c r="Q6" s="229">
        <f t="shared" si="0"/>
        <v>12</v>
      </c>
      <c r="R6" s="229">
        <f t="shared" si="0"/>
        <v>13</v>
      </c>
      <c r="S6" s="229">
        <f t="shared" si="0"/>
        <v>14</v>
      </c>
      <c r="T6" s="229">
        <f t="shared" si="0"/>
        <v>15</v>
      </c>
      <c r="U6" s="229">
        <f t="shared" si="0"/>
        <v>16</v>
      </c>
      <c r="V6" s="229">
        <f t="shared" si="0"/>
        <v>17</v>
      </c>
      <c r="W6" s="229">
        <f t="shared" si="0"/>
        <v>18</v>
      </c>
      <c r="X6" s="229">
        <f t="shared" si="0"/>
        <v>19</v>
      </c>
      <c r="Y6" s="229">
        <f t="shared" si="0"/>
        <v>20</v>
      </c>
      <c r="Z6" s="229">
        <f t="shared" si="0"/>
        <v>21</v>
      </c>
      <c r="AA6" s="229">
        <f t="shared" si="0"/>
        <v>22</v>
      </c>
      <c r="AB6" s="229">
        <f t="shared" si="0"/>
        <v>23</v>
      </c>
      <c r="AC6" s="229">
        <f t="shared" si="0"/>
        <v>24</v>
      </c>
      <c r="AD6" s="229">
        <f t="shared" si="0"/>
        <v>25</v>
      </c>
      <c r="AE6" s="229">
        <f t="shared" si="0"/>
        <v>26</v>
      </c>
      <c r="AF6" s="229">
        <f t="shared" si="0"/>
        <v>27</v>
      </c>
      <c r="AG6" s="229">
        <f t="shared" si="0"/>
        <v>28</v>
      </c>
      <c r="AH6" s="229">
        <f t="shared" si="0"/>
        <v>29</v>
      </c>
      <c r="AI6" s="229">
        <f t="shared" si="0"/>
        <v>30</v>
      </c>
      <c r="AJ6" s="229">
        <f t="shared" si="0"/>
        <v>31</v>
      </c>
      <c r="AK6" s="229">
        <f t="shared" si="0"/>
        <v>32</v>
      </c>
      <c r="AL6" s="229">
        <f t="shared" si="0"/>
        <v>33</v>
      </c>
      <c r="AM6" s="229">
        <f t="shared" si="0"/>
        <v>34</v>
      </c>
      <c r="AN6" s="229">
        <f t="shared" si="0"/>
        <v>35</v>
      </c>
      <c r="AO6" s="229">
        <f t="shared" si="0"/>
        <v>36</v>
      </c>
      <c r="AP6" s="229">
        <f t="shared" si="0"/>
        <v>37</v>
      </c>
      <c r="AQ6" s="229">
        <f t="shared" si="0"/>
        <v>38</v>
      </c>
      <c r="AR6" s="215">
        <f t="shared" si="0"/>
        <v>39</v>
      </c>
    </row>
    <row r="7" spans="1:44" ht="0.75" customHeight="1">
      <c r="A7" s="9"/>
      <c r="B7" s="265"/>
      <c r="C7" s="271"/>
      <c r="D7" s="272"/>
      <c r="E7" s="272"/>
      <c r="F7" s="133"/>
      <c r="G7" s="133"/>
      <c r="H7" s="133"/>
      <c r="I7" s="352"/>
      <c r="J7" s="281"/>
      <c r="K7" s="271"/>
      <c r="L7" s="281"/>
      <c r="M7" s="271"/>
      <c r="N7" s="271"/>
      <c r="O7" s="271"/>
      <c r="P7" s="281"/>
      <c r="Q7" s="271"/>
      <c r="R7" s="271"/>
      <c r="S7" s="281"/>
      <c r="T7" s="271"/>
      <c r="U7" s="271"/>
      <c r="V7" s="271"/>
      <c r="W7" s="281"/>
      <c r="X7" s="271"/>
      <c r="Y7" s="271"/>
      <c r="Z7" s="271"/>
      <c r="AA7" s="271"/>
      <c r="AB7" s="271"/>
      <c r="AC7" s="271"/>
      <c r="AD7" s="272"/>
      <c r="AE7" s="285"/>
      <c r="AF7" s="343"/>
      <c r="AG7" s="273"/>
      <c r="AH7" s="274"/>
      <c r="AI7" s="275"/>
      <c r="AJ7" s="10"/>
      <c r="AK7" s="10"/>
      <c r="AL7" s="11"/>
      <c r="AM7" s="11"/>
      <c r="AN7" s="11"/>
      <c r="AO7" s="11"/>
      <c r="AP7" s="68"/>
      <c r="AQ7" s="134"/>
      <c r="AR7" s="134"/>
    </row>
    <row r="8" spans="1:44">
      <c r="A8" s="12">
        <v>1</v>
      </c>
      <c r="B8" s="69" t="s">
        <v>102</v>
      </c>
      <c r="C8" s="14">
        <v>368106563</v>
      </c>
      <c r="D8" s="14">
        <v>82964546</v>
      </c>
      <c r="E8" s="14">
        <f>C8-D8</f>
        <v>285142017</v>
      </c>
      <c r="F8" s="14">
        <v>269468135</v>
      </c>
      <c r="G8" s="582">
        <f>(E8-F8)/F8</f>
        <v>5.8165994283517049E-2</v>
      </c>
      <c r="H8" s="583">
        <f t="shared" ref="H8:H39" si="1">IF((E8-F8)/F8&gt;$H$5,F8*(1+$H$5),E8)</f>
        <v>285142017</v>
      </c>
      <c r="I8" s="498">
        <v>5.14</v>
      </c>
      <c r="J8" s="482">
        <v>1415481</v>
      </c>
      <c r="K8" s="498">
        <v>20.03</v>
      </c>
      <c r="L8" s="482">
        <v>5506775</v>
      </c>
      <c r="M8" s="481">
        <v>0</v>
      </c>
      <c r="N8" s="481">
        <v>13.45</v>
      </c>
      <c r="O8" s="481">
        <v>2</v>
      </c>
      <c r="P8" s="482">
        <v>955541</v>
      </c>
      <c r="Q8" s="14">
        <f>J8+L8+P8</f>
        <v>7877797</v>
      </c>
      <c r="R8" s="588">
        <v>0</v>
      </c>
      <c r="S8" s="482">
        <v>0</v>
      </c>
      <c r="T8" s="481">
        <v>0</v>
      </c>
      <c r="U8" s="481">
        <v>16.8</v>
      </c>
      <c r="V8" s="481">
        <v>5</v>
      </c>
      <c r="W8" s="482">
        <v>704587</v>
      </c>
      <c r="X8" s="14">
        <f>S8+W8</f>
        <v>704587</v>
      </c>
      <c r="Y8" s="146">
        <f>I8+K8+R8</f>
        <v>25.17</v>
      </c>
      <c r="Z8" s="14">
        <f>J8+L8+S8</f>
        <v>6922256</v>
      </c>
      <c r="AA8" s="14">
        <f>P8+W8</f>
        <v>1660128</v>
      </c>
      <c r="AB8" s="147">
        <f t="shared" ref="AB8:AB39" si="2">ROUND((X8/E8)*1000,2)</f>
        <v>2.4700000000000002</v>
      </c>
      <c r="AC8" s="148">
        <f t="shared" ref="AC8:AC39" si="3">ROUND((Q8/E8)*1000,2)</f>
        <v>27.63</v>
      </c>
      <c r="AD8" s="128">
        <f t="shared" ref="AD8:AD39" si="4">ROUND((AE8/E8)*1000,2)</f>
        <v>30.1</v>
      </c>
      <c r="AE8" s="77">
        <f>X8+Q8</f>
        <v>8582384</v>
      </c>
      <c r="AF8" s="157">
        <v>1.4999999999999999E-2</v>
      </c>
      <c r="AG8" s="278">
        <v>10086499</v>
      </c>
      <c r="AH8" s="278">
        <v>0</v>
      </c>
      <c r="AI8" s="492">
        <f>AG8+AH8</f>
        <v>10086499</v>
      </c>
      <c r="AJ8" s="77">
        <v>675398400</v>
      </c>
      <c r="AK8" s="77">
        <f t="shared" ref="AK8:AK18" si="5">ROUND(AI8/AF8,0)</f>
        <v>672433267</v>
      </c>
      <c r="AL8" s="589">
        <f>(AK8-AJ8)/AJ8</f>
        <v>-4.3901984369521755E-3</v>
      </c>
      <c r="AM8" s="592">
        <f>IF((AK8-AJ8)/AJ8&gt;$AM$5,AJ8*(1+$AM$5),AK8)</f>
        <v>672433267</v>
      </c>
      <c r="AN8" s="130">
        <f t="shared" ref="AN8:AN39" si="6">AG8/AK8</f>
        <v>1.4999999992564317E-2</v>
      </c>
      <c r="AO8" s="130">
        <f t="shared" ref="AO8:AO39" si="7">AH8/AK8</f>
        <v>0</v>
      </c>
      <c r="AP8" s="77">
        <v>453923.5</v>
      </c>
      <c r="AQ8" s="77">
        <f t="shared" ref="AQ8:AQ39" si="8">AP8+AE8+AI8</f>
        <v>19122806.5</v>
      </c>
      <c r="AR8" s="77">
        <f>ROUND(AQ8/'Table 3 Levels 1&amp;2'!C8,2)</f>
        <v>2046.1</v>
      </c>
    </row>
    <row r="9" spans="1:44">
      <c r="A9" s="12">
        <v>2</v>
      </c>
      <c r="B9" s="69" t="s">
        <v>103</v>
      </c>
      <c r="C9" s="14">
        <v>100424310</v>
      </c>
      <c r="D9" s="14">
        <v>25532260</v>
      </c>
      <c r="E9" s="14">
        <f t="shared" ref="E9:E72" si="9">C9-D9</f>
        <v>74892050</v>
      </c>
      <c r="F9" s="14">
        <v>75199728</v>
      </c>
      <c r="G9" s="582">
        <f t="shared" ref="G9:G72" si="10">(E9-F9)/F9</f>
        <v>-4.0914775649188518E-3</v>
      </c>
      <c r="H9" s="583">
        <f t="shared" si="1"/>
        <v>74892050</v>
      </c>
      <c r="I9" s="498">
        <v>4.28</v>
      </c>
      <c r="J9" s="482">
        <v>306170</v>
      </c>
      <c r="K9" s="498">
        <v>5.15</v>
      </c>
      <c r="L9" s="482">
        <v>368407</v>
      </c>
      <c r="M9" s="481">
        <v>12.89</v>
      </c>
      <c r="N9" s="481">
        <v>89.78</v>
      </c>
      <c r="O9" s="481">
        <v>6</v>
      </c>
      <c r="P9" s="482">
        <v>1444189</v>
      </c>
      <c r="Q9" s="14">
        <f t="shared" ref="Q9:Q72" si="11">J9+L9+P9</f>
        <v>2118766</v>
      </c>
      <c r="R9" s="481">
        <v>0</v>
      </c>
      <c r="S9" s="482">
        <v>0</v>
      </c>
      <c r="T9" s="481">
        <v>22.8</v>
      </c>
      <c r="U9" s="481">
        <v>41</v>
      </c>
      <c r="V9" s="481">
        <v>4</v>
      </c>
      <c r="W9" s="482">
        <v>1590863</v>
      </c>
      <c r="X9" s="14">
        <f t="shared" ref="X9:X72" si="12">S9+W9</f>
        <v>1590863</v>
      </c>
      <c r="Y9" s="146">
        <f t="shared" ref="Y9:Y72" si="13">I9+K9+R9</f>
        <v>9.43</v>
      </c>
      <c r="Z9" s="14">
        <f t="shared" ref="Z9:Z72" si="14">J9+L9+S9</f>
        <v>674577</v>
      </c>
      <c r="AA9" s="14">
        <f t="shared" ref="AA9:AA72" si="15">P9+W9</f>
        <v>3035052</v>
      </c>
      <c r="AB9" s="147">
        <f t="shared" si="2"/>
        <v>21.24</v>
      </c>
      <c r="AC9" s="148">
        <f t="shared" si="3"/>
        <v>28.29</v>
      </c>
      <c r="AD9" s="128">
        <f t="shared" si="4"/>
        <v>49.53</v>
      </c>
      <c r="AE9" s="77">
        <f t="shared" ref="AE9:AE72" si="16">X9+Q9</f>
        <v>3709629</v>
      </c>
      <c r="AF9" s="157">
        <v>0.03</v>
      </c>
      <c r="AG9" s="278">
        <v>6727419</v>
      </c>
      <c r="AH9" s="278">
        <v>0</v>
      </c>
      <c r="AI9" s="492">
        <f t="shared" ref="AI9:AI72" si="17">AG9+AH9</f>
        <v>6727419</v>
      </c>
      <c r="AJ9" s="77">
        <v>208582567</v>
      </c>
      <c r="AK9" s="77">
        <f t="shared" si="5"/>
        <v>224247300</v>
      </c>
      <c r="AL9" s="589">
        <f t="shared" ref="AL9:AL72" si="18">(AK9-AJ9)/AJ9</f>
        <v>7.5100873602730184E-2</v>
      </c>
      <c r="AM9" s="592">
        <f t="shared" ref="AM9:AM72" si="19">IF((AK9-AJ9)/AJ9&gt;$AM$5,AJ9*(1+$AM$5),AK9)</f>
        <v>224247300</v>
      </c>
      <c r="AN9" s="130">
        <f t="shared" si="6"/>
        <v>0.03</v>
      </c>
      <c r="AO9" s="130">
        <f t="shared" si="7"/>
        <v>0</v>
      </c>
      <c r="AP9" s="77">
        <v>100302</v>
      </c>
      <c r="AQ9" s="77">
        <f t="shared" si="8"/>
        <v>10537350</v>
      </c>
      <c r="AR9" s="77">
        <f>ROUND(AQ9/'Table 3 Levels 1&amp;2'!C9,2)</f>
        <v>2616.67</v>
      </c>
    </row>
    <row r="10" spans="1:44">
      <c r="A10" s="12">
        <v>3</v>
      </c>
      <c r="B10" s="69" t="s">
        <v>104</v>
      </c>
      <c r="C10" s="14">
        <v>1003746600</v>
      </c>
      <c r="D10" s="14">
        <v>190169730</v>
      </c>
      <c r="E10" s="14">
        <f t="shared" si="9"/>
        <v>813576870</v>
      </c>
      <c r="F10" s="14">
        <v>827139640</v>
      </c>
      <c r="G10" s="582">
        <f t="shared" si="10"/>
        <v>-1.6397195037104014E-2</v>
      </c>
      <c r="H10" s="583">
        <f t="shared" si="1"/>
        <v>813576870</v>
      </c>
      <c r="I10" s="498">
        <v>3.61</v>
      </c>
      <c r="J10" s="482">
        <v>2130057</v>
      </c>
      <c r="K10" s="498">
        <v>42.9</v>
      </c>
      <c r="L10" s="482">
        <v>34917001</v>
      </c>
      <c r="M10" s="481">
        <v>0</v>
      </c>
      <c r="N10" s="481">
        <v>0</v>
      </c>
      <c r="O10" s="481">
        <v>0</v>
      </c>
      <c r="P10" s="482">
        <v>0</v>
      </c>
      <c r="Q10" s="14">
        <f t="shared" si="11"/>
        <v>37047058</v>
      </c>
      <c r="R10" s="481">
        <v>15.08</v>
      </c>
      <c r="S10" s="482">
        <v>12992019</v>
      </c>
      <c r="T10" s="481">
        <v>0</v>
      </c>
      <c r="U10" s="481">
        <v>0</v>
      </c>
      <c r="V10" s="481">
        <v>0</v>
      </c>
      <c r="W10" s="482">
        <v>0</v>
      </c>
      <c r="X10" s="14">
        <f t="shared" si="12"/>
        <v>12992019</v>
      </c>
      <c r="Y10" s="146">
        <f t="shared" si="13"/>
        <v>61.589999999999996</v>
      </c>
      <c r="Z10" s="14">
        <f t="shared" si="14"/>
        <v>50039077</v>
      </c>
      <c r="AA10" s="14">
        <f t="shared" si="15"/>
        <v>0</v>
      </c>
      <c r="AB10" s="147">
        <f t="shared" si="2"/>
        <v>15.97</v>
      </c>
      <c r="AC10" s="148">
        <f t="shared" si="3"/>
        <v>45.54</v>
      </c>
      <c r="AD10" s="128">
        <f t="shared" si="4"/>
        <v>61.51</v>
      </c>
      <c r="AE10" s="77">
        <f t="shared" si="16"/>
        <v>50039077</v>
      </c>
      <c r="AF10" s="157">
        <v>0.02</v>
      </c>
      <c r="AG10" s="278">
        <v>43829258</v>
      </c>
      <c r="AH10" s="278">
        <v>0</v>
      </c>
      <c r="AI10" s="492">
        <f t="shared" si="17"/>
        <v>43829258</v>
      </c>
      <c r="AJ10" s="77">
        <v>2240325550</v>
      </c>
      <c r="AK10" s="77">
        <f t="shared" si="5"/>
        <v>2191462900</v>
      </c>
      <c r="AL10" s="589">
        <f t="shared" si="18"/>
        <v>-2.1810513208671837E-2</v>
      </c>
      <c r="AM10" s="592">
        <f t="shared" si="19"/>
        <v>2191462900</v>
      </c>
      <c r="AN10" s="130">
        <f t="shared" si="6"/>
        <v>0.02</v>
      </c>
      <c r="AO10" s="130">
        <f t="shared" si="7"/>
        <v>0</v>
      </c>
      <c r="AP10" s="77">
        <v>193863</v>
      </c>
      <c r="AQ10" s="77">
        <f t="shared" si="8"/>
        <v>94062198</v>
      </c>
      <c r="AR10" s="77">
        <f>ROUND(AQ10/'Table 3 Levels 1&amp;2'!C10,2)</f>
        <v>4673.43</v>
      </c>
    </row>
    <row r="11" spans="1:44">
      <c r="A11" s="12">
        <v>4</v>
      </c>
      <c r="B11" s="69" t="s">
        <v>105</v>
      </c>
      <c r="C11" s="14">
        <v>169967410</v>
      </c>
      <c r="D11" s="14">
        <v>35552196</v>
      </c>
      <c r="E11" s="14">
        <f t="shared" si="9"/>
        <v>134415214</v>
      </c>
      <c r="F11" s="14">
        <v>122491823</v>
      </c>
      <c r="G11" s="582">
        <f t="shared" si="10"/>
        <v>9.7340301646094363E-2</v>
      </c>
      <c r="H11" s="583">
        <f t="shared" si="1"/>
        <v>134415214</v>
      </c>
      <c r="I11" s="498">
        <v>5.49</v>
      </c>
      <c r="J11" s="482">
        <v>724581</v>
      </c>
      <c r="K11" s="498">
        <v>33.880000000000003</v>
      </c>
      <c r="L11" s="482">
        <v>4470931</v>
      </c>
      <c r="M11" s="481">
        <v>0</v>
      </c>
      <c r="N11" s="481">
        <v>0</v>
      </c>
      <c r="O11" s="481">
        <v>1</v>
      </c>
      <c r="P11" s="482">
        <v>0</v>
      </c>
      <c r="Q11" s="14">
        <f t="shared" si="11"/>
        <v>5195512</v>
      </c>
      <c r="R11" s="481">
        <v>0</v>
      </c>
      <c r="S11" s="482">
        <v>21</v>
      </c>
      <c r="T11" s="481">
        <v>0</v>
      </c>
      <c r="U11" s="481">
        <v>0</v>
      </c>
      <c r="V11" s="481">
        <v>1</v>
      </c>
      <c r="W11" s="482">
        <v>0</v>
      </c>
      <c r="X11" s="14">
        <f t="shared" si="12"/>
        <v>21</v>
      </c>
      <c r="Y11" s="146">
        <f t="shared" si="13"/>
        <v>39.370000000000005</v>
      </c>
      <c r="Z11" s="14">
        <f t="shared" si="14"/>
        <v>5195533</v>
      </c>
      <c r="AA11" s="14">
        <f t="shared" si="15"/>
        <v>0</v>
      </c>
      <c r="AB11" s="147">
        <f t="shared" si="2"/>
        <v>0</v>
      </c>
      <c r="AC11" s="148">
        <f t="shared" si="3"/>
        <v>38.65</v>
      </c>
      <c r="AD11" s="128">
        <f t="shared" si="4"/>
        <v>38.65</v>
      </c>
      <c r="AE11" s="77">
        <f t="shared" si="16"/>
        <v>5195533</v>
      </c>
      <c r="AF11" s="157">
        <v>0.03</v>
      </c>
      <c r="AG11" s="278">
        <v>6270699</v>
      </c>
      <c r="AH11" s="278">
        <v>0</v>
      </c>
      <c r="AI11" s="492">
        <f t="shared" si="17"/>
        <v>6270699</v>
      </c>
      <c r="AJ11" s="77">
        <v>175646267</v>
      </c>
      <c r="AK11" s="77">
        <f t="shared" si="5"/>
        <v>209023300</v>
      </c>
      <c r="AL11" s="591">
        <f t="shared" si="18"/>
        <v>0.19002415234933515</v>
      </c>
      <c r="AM11" s="594">
        <f t="shared" si="19"/>
        <v>201993207.04999998</v>
      </c>
      <c r="AN11" s="130">
        <f t="shared" si="6"/>
        <v>0.03</v>
      </c>
      <c r="AO11" s="130">
        <f t="shared" si="7"/>
        <v>0</v>
      </c>
      <c r="AP11" s="77">
        <v>114712</v>
      </c>
      <c r="AQ11" s="77">
        <f t="shared" si="8"/>
        <v>11580944</v>
      </c>
      <c r="AR11" s="77">
        <f>ROUND(AQ11/'Table 3 Levels 1&amp;2'!C11,2)</f>
        <v>3243.05</v>
      </c>
    </row>
    <row r="12" spans="1:44">
      <c r="A12" s="18">
        <v>5</v>
      </c>
      <c r="B12" s="70" t="s">
        <v>106</v>
      </c>
      <c r="C12" s="20">
        <v>156126914</v>
      </c>
      <c r="D12" s="20">
        <v>57564157</v>
      </c>
      <c r="E12" s="20">
        <f t="shared" si="9"/>
        <v>98562757</v>
      </c>
      <c r="F12" s="20">
        <v>94593732</v>
      </c>
      <c r="G12" s="756">
        <f t="shared" si="10"/>
        <v>4.1958646900621281E-2</v>
      </c>
      <c r="H12" s="757">
        <f t="shared" si="1"/>
        <v>98562757</v>
      </c>
      <c r="I12" s="499">
        <v>3.62</v>
      </c>
      <c r="J12" s="484">
        <v>353692</v>
      </c>
      <c r="K12" s="499">
        <v>10</v>
      </c>
      <c r="L12" s="484">
        <v>977168</v>
      </c>
      <c r="M12" s="483">
        <v>0</v>
      </c>
      <c r="N12" s="483">
        <v>0</v>
      </c>
      <c r="O12" s="483">
        <v>0</v>
      </c>
      <c r="P12" s="484">
        <v>0</v>
      </c>
      <c r="Q12" s="20">
        <f t="shared" si="11"/>
        <v>1330860</v>
      </c>
      <c r="R12" s="483">
        <v>0</v>
      </c>
      <c r="S12" s="484">
        <v>0</v>
      </c>
      <c r="T12" s="483">
        <v>0</v>
      </c>
      <c r="U12" s="483">
        <v>0</v>
      </c>
      <c r="V12" s="483">
        <v>1</v>
      </c>
      <c r="W12" s="484">
        <v>43</v>
      </c>
      <c r="X12" s="20">
        <f t="shared" si="12"/>
        <v>43</v>
      </c>
      <c r="Y12" s="149">
        <f t="shared" si="13"/>
        <v>13.620000000000001</v>
      </c>
      <c r="Z12" s="20">
        <f t="shared" si="14"/>
        <v>1330860</v>
      </c>
      <c r="AA12" s="20">
        <f t="shared" si="15"/>
        <v>43</v>
      </c>
      <c r="AB12" s="150">
        <f t="shared" si="2"/>
        <v>0</v>
      </c>
      <c r="AC12" s="151">
        <f t="shared" si="3"/>
        <v>13.5</v>
      </c>
      <c r="AD12" s="129">
        <f t="shared" si="4"/>
        <v>13.5</v>
      </c>
      <c r="AE12" s="78">
        <f t="shared" si="16"/>
        <v>1330903</v>
      </c>
      <c r="AF12" s="158">
        <v>1.4999999999999999E-2</v>
      </c>
      <c r="AG12" s="279">
        <v>6010724</v>
      </c>
      <c r="AH12" s="279">
        <v>0</v>
      </c>
      <c r="AI12" s="493">
        <f t="shared" si="17"/>
        <v>6010724</v>
      </c>
      <c r="AJ12" s="78">
        <v>379951600</v>
      </c>
      <c r="AK12" s="78">
        <f t="shared" si="5"/>
        <v>400714933</v>
      </c>
      <c r="AL12" s="590">
        <f t="shared" si="18"/>
        <v>5.464731034163299E-2</v>
      </c>
      <c r="AM12" s="593">
        <f t="shared" si="19"/>
        <v>400714933</v>
      </c>
      <c r="AN12" s="131">
        <f t="shared" si="6"/>
        <v>1.5000000012477699E-2</v>
      </c>
      <c r="AO12" s="131">
        <f t="shared" si="7"/>
        <v>0</v>
      </c>
      <c r="AP12" s="78">
        <v>279073.5</v>
      </c>
      <c r="AQ12" s="78">
        <f t="shared" si="8"/>
        <v>7620700.5</v>
      </c>
      <c r="AR12" s="78">
        <f>ROUND(AQ12/'Table 3 Levels 1&amp;2'!C12,2)</f>
        <v>1323.5</v>
      </c>
    </row>
    <row r="13" spans="1:44">
      <c r="A13" s="12">
        <v>6</v>
      </c>
      <c r="B13" s="69" t="s">
        <v>107</v>
      </c>
      <c r="C13" s="14">
        <v>244866122</v>
      </c>
      <c r="D13" s="14">
        <v>50479204</v>
      </c>
      <c r="E13" s="14">
        <f t="shared" si="9"/>
        <v>194386918</v>
      </c>
      <c r="F13" s="14">
        <v>190627590</v>
      </c>
      <c r="G13" s="582">
        <f t="shared" si="10"/>
        <v>1.9720796973827347E-2</v>
      </c>
      <c r="H13" s="583">
        <f t="shared" si="1"/>
        <v>194386918</v>
      </c>
      <c r="I13" s="498">
        <v>4.5</v>
      </c>
      <c r="J13" s="482">
        <v>908704</v>
      </c>
      <c r="K13" s="498">
        <v>28.02</v>
      </c>
      <c r="L13" s="482">
        <v>5575716</v>
      </c>
      <c r="M13" s="481">
        <v>0</v>
      </c>
      <c r="N13" s="481">
        <v>0</v>
      </c>
      <c r="O13" s="481">
        <v>0</v>
      </c>
      <c r="P13" s="482">
        <v>0</v>
      </c>
      <c r="Q13" s="14">
        <f t="shared" si="11"/>
        <v>6484420</v>
      </c>
      <c r="R13" s="481">
        <v>17.8</v>
      </c>
      <c r="S13" s="482">
        <v>3433625</v>
      </c>
      <c r="T13" s="481">
        <v>0</v>
      </c>
      <c r="U13" s="481">
        <v>0</v>
      </c>
      <c r="V13" s="481">
        <v>0</v>
      </c>
      <c r="W13" s="482">
        <v>0</v>
      </c>
      <c r="X13" s="14">
        <f t="shared" si="12"/>
        <v>3433625</v>
      </c>
      <c r="Y13" s="146">
        <f t="shared" si="13"/>
        <v>50.319999999999993</v>
      </c>
      <c r="Z13" s="14">
        <f t="shared" si="14"/>
        <v>9918045</v>
      </c>
      <c r="AA13" s="14">
        <f t="shared" si="15"/>
        <v>0</v>
      </c>
      <c r="AB13" s="147">
        <f t="shared" si="2"/>
        <v>17.66</v>
      </c>
      <c r="AC13" s="148">
        <f t="shared" si="3"/>
        <v>33.36</v>
      </c>
      <c r="AD13" s="128">
        <f t="shared" si="4"/>
        <v>51.02</v>
      </c>
      <c r="AE13" s="77">
        <f t="shared" si="16"/>
        <v>9918045</v>
      </c>
      <c r="AF13" s="157">
        <v>0.02</v>
      </c>
      <c r="AG13" s="278">
        <v>8682521</v>
      </c>
      <c r="AH13" s="278">
        <v>0</v>
      </c>
      <c r="AI13" s="492">
        <f t="shared" si="17"/>
        <v>8682521</v>
      </c>
      <c r="AJ13" s="77">
        <v>413850100</v>
      </c>
      <c r="AK13" s="77">
        <f t="shared" si="5"/>
        <v>434126050</v>
      </c>
      <c r="AL13" s="589">
        <f t="shared" si="18"/>
        <v>4.8993464058604795E-2</v>
      </c>
      <c r="AM13" s="592">
        <f t="shared" si="19"/>
        <v>434126050</v>
      </c>
      <c r="AN13" s="130">
        <f t="shared" si="6"/>
        <v>0.02</v>
      </c>
      <c r="AO13" s="130">
        <f t="shared" si="7"/>
        <v>0</v>
      </c>
      <c r="AP13" s="77">
        <v>304414.5</v>
      </c>
      <c r="AQ13" s="77">
        <f t="shared" si="8"/>
        <v>18904980.5</v>
      </c>
      <c r="AR13" s="77">
        <f>ROUND(AQ13/'Table 3 Levels 1&amp;2'!C13,2)</f>
        <v>3130.48</v>
      </c>
    </row>
    <row r="14" spans="1:44">
      <c r="A14" s="12">
        <v>7</v>
      </c>
      <c r="B14" s="69" t="s">
        <v>108</v>
      </c>
      <c r="C14" s="14">
        <v>314912500</v>
      </c>
      <c r="D14" s="14">
        <v>15383343</v>
      </c>
      <c r="E14" s="14">
        <f t="shared" si="9"/>
        <v>299529157</v>
      </c>
      <c r="F14" s="14">
        <v>303086137</v>
      </c>
      <c r="G14" s="582">
        <f t="shared" si="10"/>
        <v>-1.1735871641004814E-2</v>
      </c>
      <c r="H14" s="583">
        <f t="shared" si="1"/>
        <v>299529157</v>
      </c>
      <c r="I14" s="498">
        <v>5.74</v>
      </c>
      <c r="J14" s="482">
        <v>1647867</v>
      </c>
      <c r="K14" s="498">
        <v>47.05</v>
      </c>
      <c r="L14" s="482">
        <v>13507345</v>
      </c>
      <c r="M14" s="481">
        <v>0</v>
      </c>
      <c r="N14" s="481">
        <v>0</v>
      </c>
      <c r="O14" s="481">
        <v>0</v>
      </c>
      <c r="P14" s="482">
        <v>0</v>
      </c>
      <c r="Q14" s="14">
        <f t="shared" si="11"/>
        <v>15155212</v>
      </c>
      <c r="R14" s="481">
        <v>0</v>
      </c>
      <c r="S14" s="482">
        <v>0</v>
      </c>
      <c r="T14" s="481">
        <v>6.3</v>
      </c>
      <c r="U14" s="481">
        <v>55</v>
      </c>
      <c r="V14" s="481">
        <v>7</v>
      </c>
      <c r="W14" s="482">
        <v>1349204</v>
      </c>
      <c r="X14" s="14">
        <f t="shared" si="12"/>
        <v>1349204</v>
      </c>
      <c r="Y14" s="146">
        <f t="shared" si="13"/>
        <v>52.79</v>
      </c>
      <c r="Z14" s="14">
        <f t="shared" si="14"/>
        <v>15155212</v>
      </c>
      <c r="AA14" s="14">
        <f t="shared" si="15"/>
        <v>1349204</v>
      </c>
      <c r="AB14" s="147">
        <f t="shared" si="2"/>
        <v>4.5</v>
      </c>
      <c r="AC14" s="148">
        <f t="shared" si="3"/>
        <v>50.6</v>
      </c>
      <c r="AD14" s="128">
        <f t="shared" si="4"/>
        <v>55.1</v>
      </c>
      <c r="AE14" s="77">
        <f t="shared" si="16"/>
        <v>16504416</v>
      </c>
      <c r="AF14" s="157">
        <v>0.02</v>
      </c>
      <c r="AG14" s="278">
        <v>11445034</v>
      </c>
      <c r="AH14" s="278">
        <v>0</v>
      </c>
      <c r="AI14" s="492">
        <f t="shared" si="17"/>
        <v>11445034</v>
      </c>
      <c r="AJ14" s="77">
        <v>593065350</v>
      </c>
      <c r="AK14" s="77">
        <f t="shared" si="5"/>
        <v>572251700</v>
      </c>
      <c r="AL14" s="589">
        <f t="shared" si="18"/>
        <v>-3.5095036322725648E-2</v>
      </c>
      <c r="AM14" s="592">
        <f t="shared" si="19"/>
        <v>572251700</v>
      </c>
      <c r="AN14" s="130">
        <f t="shared" si="6"/>
        <v>0.02</v>
      </c>
      <c r="AO14" s="130">
        <f t="shared" si="7"/>
        <v>0</v>
      </c>
      <c r="AP14" s="77">
        <v>594733.5</v>
      </c>
      <c r="AQ14" s="77">
        <f t="shared" si="8"/>
        <v>28544183.5</v>
      </c>
      <c r="AR14" s="77">
        <f>ROUND(AQ14/'Table 3 Levels 1&amp;2'!C14,2)</f>
        <v>12869.33</v>
      </c>
    </row>
    <row r="15" spans="1:44">
      <c r="A15" s="12">
        <v>8</v>
      </c>
      <c r="B15" s="69" t="s">
        <v>109</v>
      </c>
      <c r="C15" s="14">
        <v>1039272440</v>
      </c>
      <c r="D15" s="14">
        <v>179843832</v>
      </c>
      <c r="E15" s="14">
        <f t="shared" si="9"/>
        <v>859428608</v>
      </c>
      <c r="F15" s="14">
        <v>802413659</v>
      </c>
      <c r="G15" s="582">
        <f t="shared" si="10"/>
        <v>7.1054310156003955E-2</v>
      </c>
      <c r="H15" s="583">
        <f t="shared" si="1"/>
        <v>859428608</v>
      </c>
      <c r="I15" s="498">
        <v>3.27</v>
      </c>
      <c r="J15" s="482">
        <v>2695913</v>
      </c>
      <c r="K15" s="498">
        <v>35.44</v>
      </c>
      <c r="L15" s="482">
        <v>29218666</v>
      </c>
      <c r="M15" s="481">
        <v>0</v>
      </c>
      <c r="N15" s="481">
        <v>0</v>
      </c>
      <c r="O15" s="481">
        <v>0</v>
      </c>
      <c r="P15" s="482">
        <v>0</v>
      </c>
      <c r="Q15" s="14">
        <f t="shared" si="11"/>
        <v>31914579</v>
      </c>
      <c r="R15" s="481">
        <v>0</v>
      </c>
      <c r="S15" s="482">
        <v>0</v>
      </c>
      <c r="T15" s="481">
        <v>13.55</v>
      </c>
      <c r="U15" s="481">
        <v>13.55</v>
      </c>
      <c r="V15" s="481">
        <v>1</v>
      </c>
      <c r="W15" s="482">
        <v>11166389</v>
      </c>
      <c r="X15" s="14">
        <f t="shared" si="12"/>
        <v>11166389</v>
      </c>
      <c r="Y15" s="146">
        <f t="shared" si="13"/>
        <v>38.71</v>
      </c>
      <c r="Z15" s="14">
        <f t="shared" si="14"/>
        <v>31914579</v>
      </c>
      <c r="AA15" s="14">
        <f t="shared" si="15"/>
        <v>11166389</v>
      </c>
      <c r="AB15" s="147">
        <f t="shared" si="2"/>
        <v>12.99</v>
      </c>
      <c r="AC15" s="148">
        <f t="shared" si="3"/>
        <v>37.130000000000003</v>
      </c>
      <c r="AD15" s="128">
        <f t="shared" si="4"/>
        <v>50.13</v>
      </c>
      <c r="AE15" s="77">
        <f t="shared" si="16"/>
        <v>43080968</v>
      </c>
      <c r="AF15" s="157">
        <v>1.7500000000000002E-2</v>
      </c>
      <c r="AG15" s="278">
        <v>46084040</v>
      </c>
      <c r="AH15" s="278">
        <v>0</v>
      </c>
      <c r="AI15" s="492">
        <f t="shared" si="17"/>
        <v>46084040</v>
      </c>
      <c r="AJ15" s="77">
        <v>2539630057</v>
      </c>
      <c r="AK15" s="77">
        <f t="shared" si="5"/>
        <v>2633373714</v>
      </c>
      <c r="AL15" s="589">
        <f t="shared" si="18"/>
        <v>3.691232773907905E-2</v>
      </c>
      <c r="AM15" s="592">
        <f t="shared" si="19"/>
        <v>2633373714</v>
      </c>
      <c r="AN15" s="130">
        <f t="shared" si="6"/>
        <v>1.7500000001898705E-2</v>
      </c>
      <c r="AO15" s="130">
        <f t="shared" si="7"/>
        <v>0</v>
      </c>
      <c r="AP15" s="77">
        <v>591949.5</v>
      </c>
      <c r="AQ15" s="77">
        <f t="shared" si="8"/>
        <v>89756957.5</v>
      </c>
      <c r="AR15" s="77">
        <f>ROUND(AQ15/'Table 3 Levels 1&amp;2'!C15,2)</f>
        <v>4318.3500000000004</v>
      </c>
    </row>
    <row r="16" spans="1:44">
      <c r="A16" s="12">
        <v>9</v>
      </c>
      <c r="B16" s="69" t="s">
        <v>110</v>
      </c>
      <c r="C16" s="14">
        <v>1824261580</v>
      </c>
      <c r="D16" s="14">
        <v>341146070</v>
      </c>
      <c r="E16" s="14">
        <f t="shared" si="9"/>
        <v>1483115510</v>
      </c>
      <c r="F16" s="14">
        <v>1400328760</v>
      </c>
      <c r="G16" s="582">
        <f t="shared" si="10"/>
        <v>5.9119509907087815E-2</v>
      </c>
      <c r="H16" s="583">
        <f t="shared" si="1"/>
        <v>1483115510</v>
      </c>
      <c r="I16" s="498">
        <v>7.96</v>
      </c>
      <c r="J16" s="482">
        <v>12422264</v>
      </c>
      <c r="K16" s="498">
        <v>62.64</v>
      </c>
      <c r="L16" s="482">
        <v>90024321</v>
      </c>
      <c r="M16" s="481">
        <v>0</v>
      </c>
      <c r="N16" s="481">
        <v>0</v>
      </c>
      <c r="O16" s="481">
        <v>0</v>
      </c>
      <c r="P16" s="482">
        <v>0</v>
      </c>
      <c r="Q16" s="14">
        <f t="shared" si="11"/>
        <v>102446585</v>
      </c>
      <c r="R16" s="481">
        <v>7.6</v>
      </c>
      <c r="S16" s="482">
        <v>10922491</v>
      </c>
      <c r="T16" s="481">
        <v>0</v>
      </c>
      <c r="U16" s="481">
        <v>0</v>
      </c>
      <c r="V16" s="481">
        <v>0</v>
      </c>
      <c r="W16" s="482">
        <v>0</v>
      </c>
      <c r="X16" s="14">
        <f t="shared" si="12"/>
        <v>10922491</v>
      </c>
      <c r="Y16" s="146">
        <f t="shared" si="13"/>
        <v>78.199999999999989</v>
      </c>
      <c r="Z16" s="14">
        <f t="shared" si="14"/>
        <v>113369076</v>
      </c>
      <c r="AA16" s="14">
        <f t="shared" si="15"/>
        <v>0</v>
      </c>
      <c r="AB16" s="147">
        <f t="shared" si="2"/>
        <v>7.36</v>
      </c>
      <c r="AC16" s="148">
        <f t="shared" si="3"/>
        <v>69.08</v>
      </c>
      <c r="AD16" s="128">
        <f t="shared" si="4"/>
        <v>76.44</v>
      </c>
      <c r="AE16" s="77">
        <f t="shared" si="16"/>
        <v>113369076</v>
      </c>
      <c r="AF16" s="157">
        <v>1.4999999999999999E-2</v>
      </c>
      <c r="AG16" s="278">
        <v>78271951</v>
      </c>
      <c r="AH16" s="278">
        <v>0</v>
      </c>
      <c r="AI16" s="492">
        <f t="shared" si="17"/>
        <v>78271951</v>
      </c>
      <c r="AJ16" s="77">
        <v>4990781800</v>
      </c>
      <c r="AK16" s="77">
        <f t="shared" si="5"/>
        <v>5218130067</v>
      </c>
      <c r="AL16" s="589">
        <f t="shared" si="18"/>
        <v>4.555363790899454E-2</v>
      </c>
      <c r="AM16" s="592">
        <f t="shared" si="19"/>
        <v>5218130067</v>
      </c>
      <c r="AN16" s="130">
        <f t="shared" si="6"/>
        <v>1.4999999999041802E-2</v>
      </c>
      <c r="AO16" s="130">
        <f t="shared" si="7"/>
        <v>0</v>
      </c>
      <c r="AP16" s="77">
        <v>2687748</v>
      </c>
      <c r="AQ16" s="77">
        <f t="shared" si="8"/>
        <v>194328775</v>
      </c>
      <c r="AR16" s="77">
        <f>ROUND(AQ16/'Table 3 Levels 1&amp;2'!C16,2)</f>
        <v>4690.6499999999996</v>
      </c>
    </row>
    <row r="17" spans="1:44">
      <c r="A17" s="18">
        <v>10</v>
      </c>
      <c r="B17" s="70" t="s">
        <v>111</v>
      </c>
      <c r="C17" s="20">
        <v>1751152060</v>
      </c>
      <c r="D17" s="20">
        <v>272527278</v>
      </c>
      <c r="E17" s="20">
        <f t="shared" si="9"/>
        <v>1478624782</v>
      </c>
      <c r="F17" s="20">
        <v>1428229699</v>
      </c>
      <c r="G17" s="756">
        <f t="shared" si="10"/>
        <v>3.5284998649226379E-2</v>
      </c>
      <c r="H17" s="757">
        <f t="shared" si="1"/>
        <v>1478624782</v>
      </c>
      <c r="I17" s="499">
        <v>5.57</v>
      </c>
      <c r="J17" s="484">
        <v>8135631</v>
      </c>
      <c r="K17" s="499">
        <v>13.15</v>
      </c>
      <c r="L17" s="484">
        <v>19210272</v>
      </c>
      <c r="M17" s="483">
        <v>9.8699999999999992</v>
      </c>
      <c r="N17" s="483">
        <v>9.8699999999999992</v>
      </c>
      <c r="O17" s="483">
        <v>1</v>
      </c>
      <c r="P17" s="484">
        <v>144298</v>
      </c>
      <c r="Q17" s="20">
        <f t="shared" si="11"/>
        <v>27490201</v>
      </c>
      <c r="R17" s="483">
        <v>0</v>
      </c>
      <c r="S17" s="484">
        <v>0</v>
      </c>
      <c r="T17" s="483">
        <v>0.2</v>
      </c>
      <c r="U17" s="483">
        <v>31</v>
      </c>
      <c r="V17" s="483">
        <v>11</v>
      </c>
      <c r="W17" s="484">
        <v>21224512</v>
      </c>
      <c r="X17" s="20">
        <f t="shared" si="12"/>
        <v>21224512</v>
      </c>
      <c r="Y17" s="149">
        <f t="shared" si="13"/>
        <v>18.72</v>
      </c>
      <c r="Z17" s="20">
        <f t="shared" si="14"/>
        <v>27345903</v>
      </c>
      <c r="AA17" s="20">
        <f t="shared" si="15"/>
        <v>21368810</v>
      </c>
      <c r="AB17" s="150">
        <f t="shared" si="2"/>
        <v>14.35</v>
      </c>
      <c r="AC17" s="151">
        <f t="shared" si="3"/>
        <v>18.59</v>
      </c>
      <c r="AD17" s="129">
        <f t="shared" si="4"/>
        <v>32.950000000000003</v>
      </c>
      <c r="AE17" s="78">
        <f t="shared" si="16"/>
        <v>48714713</v>
      </c>
      <c r="AF17" s="158">
        <v>0.02</v>
      </c>
      <c r="AG17" s="279">
        <v>83221170</v>
      </c>
      <c r="AH17" s="279">
        <v>0</v>
      </c>
      <c r="AI17" s="493">
        <f t="shared" si="17"/>
        <v>83221170</v>
      </c>
      <c r="AJ17" s="78">
        <v>4048213800</v>
      </c>
      <c r="AK17" s="78">
        <f t="shared" si="5"/>
        <v>4161058500</v>
      </c>
      <c r="AL17" s="590">
        <f t="shared" si="18"/>
        <v>2.7875182876951805E-2</v>
      </c>
      <c r="AM17" s="593">
        <f t="shared" si="19"/>
        <v>4161058500</v>
      </c>
      <c r="AN17" s="131">
        <f t="shared" si="6"/>
        <v>0.02</v>
      </c>
      <c r="AO17" s="131">
        <f t="shared" si="7"/>
        <v>0</v>
      </c>
      <c r="AP17" s="78">
        <v>1015859</v>
      </c>
      <c r="AQ17" s="78">
        <f t="shared" si="8"/>
        <v>132951742</v>
      </c>
      <c r="AR17" s="78">
        <f>ROUND(AQ17/'Table 3 Levels 1&amp;2'!C17,2)</f>
        <v>4194.46</v>
      </c>
    </row>
    <row r="18" spans="1:44">
      <c r="A18" s="12">
        <v>11</v>
      </c>
      <c r="B18" s="69" t="s">
        <v>112</v>
      </c>
      <c r="C18" s="14">
        <v>57528650</v>
      </c>
      <c r="D18" s="14">
        <v>13561070</v>
      </c>
      <c r="E18" s="14">
        <f t="shared" si="9"/>
        <v>43967580</v>
      </c>
      <c r="F18" s="14">
        <v>37089620</v>
      </c>
      <c r="G18" s="584">
        <f t="shared" si="10"/>
        <v>0.18544164108448671</v>
      </c>
      <c r="H18" s="585">
        <f t="shared" si="1"/>
        <v>40798582</v>
      </c>
      <c r="I18" s="498">
        <v>5.42</v>
      </c>
      <c r="J18" s="482">
        <v>238834</v>
      </c>
      <c r="K18" s="498">
        <v>32.85</v>
      </c>
      <c r="L18" s="482">
        <v>1433331</v>
      </c>
      <c r="M18" s="481">
        <v>0</v>
      </c>
      <c r="N18" s="481">
        <v>0</v>
      </c>
      <c r="O18" s="481">
        <v>0</v>
      </c>
      <c r="P18" s="482">
        <v>0</v>
      </c>
      <c r="Q18" s="14">
        <f t="shared" si="11"/>
        <v>1672165</v>
      </c>
      <c r="R18" s="481">
        <v>32</v>
      </c>
      <c r="S18" s="482">
        <v>1332396</v>
      </c>
      <c r="T18" s="481">
        <v>0</v>
      </c>
      <c r="U18" s="481">
        <v>0</v>
      </c>
      <c r="V18" s="481">
        <v>0</v>
      </c>
      <c r="W18" s="482">
        <v>0</v>
      </c>
      <c r="X18" s="14">
        <f t="shared" si="12"/>
        <v>1332396</v>
      </c>
      <c r="Y18" s="146">
        <f t="shared" si="13"/>
        <v>70.27000000000001</v>
      </c>
      <c r="Z18" s="14">
        <f t="shared" si="14"/>
        <v>3004561</v>
      </c>
      <c r="AA18" s="14">
        <f t="shared" si="15"/>
        <v>0</v>
      </c>
      <c r="AB18" s="147">
        <f t="shared" si="2"/>
        <v>30.3</v>
      </c>
      <c r="AC18" s="148">
        <f t="shared" si="3"/>
        <v>38.03</v>
      </c>
      <c r="AD18" s="128">
        <f t="shared" si="4"/>
        <v>68.34</v>
      </c>
      <c r="AE18" s="77">
        <f t="shared" si="16"/>
        <v>3004561</v>
      </c>
      <c r="AF18" s="157">
        <v>0.02</v>
      </c>
      <c r="AG18" s="278">
        <v>2209837</v>
      </c>
      <c r="AH18" s="278">
        <v>0</v>
      </c>
      <c r="AI18" s="492">
        <f t="shared" si="17"/>
        <v>2209837</v>
      </c>
      <c r="AJ18" s="77">
        <v>143500550</v>
      </c>
      <c r="AK18" s="77">
        <f t="shared" si="5"/>
        <v>110491850</v>
      </c>
      <c r="AL18" s="589">
        <f t="shared" si="18"/>
        <v>-0.23002490234357986</v>
      </c>
      <c r="AM18" s="592">
        <f t="shared" si="19"/>
        <v>110491850</v>
      </c>
      <c r="AN18" s="130">
        <f t="shared" si="6"/>
        <v>0.02</v>
      </c>
      <c r="AO18" s="130">
        <f t="shared" si="7"/>
        <v>0</v>
      </c>
      <c r="AP18" s="77">
        <v>87714.5</v>
      </c>
      <c r="AQ18" s="77">
        <f t="shared" si="8"/>
        <v>5302112.5</v>
      </c>
      <c r="AR18" s="77">
        <f>ROUND(AQ18/'Table 3 Levels 1&amp;2'!C18,2)</f>
        <v>3366.42</v>
      </c>
    </row>
    <row r="19" spans="1:44">
      <c r="A19" s="12">
        <v>12</v>
      </c>
      <c r="B19" s="69" t="s">
        <v>113</v>
      </c>
      <c r="C19" s="14">
        <v>245554381</v>
      </c>
      <c r="D19" s="14">
        <v>8362607</v>
      </c>
      <c r="E19" s="14">
        <f t="shared" si="9"/>
        <v>237191774</v>
      </c>
      <c r="F19" s="14">
        <v>237354901</v>
      </c>
      <c r="G19" s="582">
        <f t="shared" si="10"/>
        <v>-6.8727040947007875E-4</v>
      </c>
      <c r="H19" s="583">
        <f t="shared" si="1"/>
        <v>237191774</v>
      </c>
      <c r="I19" s="498">
        <v>4.4000000000000004</v>
      </c>
      <c r="J19" s="482">
        <v>1088095</v>
      </c>
      <c r="K19" s="498">
        <v>42.49</v>
      </c>
      <c r="L19" s="482">
        <v>10507182</v>
      </c>
      <c r="M19" s="481">
        <v>0</v>
      </c>
      <c r="N19" s="481">
        <v>0</v>
      </c>
      <c r="O19" s="481">
        <v>0</v>
      </c>
      <c r="P19" s="482">
        <v>0</v>
      </c>
      <c r="Q19" s="14">
        <f t="shared" si="11"/>
        <v>11595277</v>
      </c>
      <c r="R19" s="481">
        <v>0</v>
      </c>
      <c r="S19" s="482">
        <v>862800</v>
      </c>
      <c r="T19" s="481">
        <v>2.75</v>
      </c>
      <c r="U19" s="481">
        <v>18</v>
      </c>
      <c r="V19" s="481">
        <v>0</v>
      </c>
      <c r="W19" s="482">
        <v>0</v>
      </c>
      <c r="X19" s="14">
        <f t="shared" si="12"/>
        <v>862800</v>
      </c>
      <c r="Y19" s="146">
        <f t="shared" si="13"/>
        <v>46.89</v>
      </c>
      <c r="Z19" s="14">
        <f t="shared" si="14"/>
        <v>12458077</v>
      </c>
      <c r="AA19" s="14">
        <f t="shared" si="15"/>
        <v>0</v>
      </c>
      <c r="AB19" s="147">
        <f t="shared" si="2"/>
        <v>3.64</v>
      </c>
      <c r="AC19" s="148">
        <f t="shared" si="3"/>
        <v>48.89</v>
      </c>
      <c r="AD19" s="128">
        <f t="shared" si="4"/>
        <v>52.52</v>
      </c>
      <c r="AE19" s="77">
        <f t="shared" si="16"/>
        <v>12458077</v>
      </c>
      <c r="AF19" s="157">
        <v>0</v>
      </c>
      <c r="AG19" s="278">
        <v>0</v>
      </c>
      <c r="AH19" s="278">
        <v>0</v>
      </c>
      <c r="AI19" s="492">
        <f t="shared" si="17"/>
        <v>0</v>
      </c>
      <c r="AJ19" s="77">
        <v>26253113</v>
      </c>
      <c r="AK19" s="267">
        <v>26707332.5</v>
      </c>
      <c r="AL19" s="589">
        <f t="shared" si="18"/>
        <v>1.7301548201159991E-2</v>
      </c>
      <c r="AM19" s="592">
        <f t="shared" si="19"/>
        <v>26707332.5</v>
      </c>
      <c r="AN19" s="130">
        <f t="shared" si="6"/>
        <v>0</v>
      </c>
      <c r="AO19" s="130">
        <f t="shared" si="7"/>
        <v>0</v>
      </c>
      <c r="AP19" s="77">
        <v>855458.5</v>
      </c>
      <c r="AQ19" s="77">
        <f t="shared" si="8"/>
        <v>13313535.5</v>
      </c>
      <c r="AR19" s="77">
        <f>ROUND(AQ19/'Table 3 Levels 1&amp;2'!C19,2)</f>
        <v>10868.19</v>
      </c>
    </row>
    <row r="20" spans="1:44">
      <c r="A20" s="12">
        <v>13</v>
      </c>
      <c r="B20" s="69" t="s">
        <v>114</v>
      </c>
      <c r="C20" s="14">
        <v>50248270</v>
      </c>
      <c r="D20" s="14">
        <v>14734391</v>
      </c>
      <c r="E20" s="14">
        <f t="shared" si="9"/>
        <v>35513879</v>
      </c>
      <c r="F20" s="14">
        <v>35207729</v>
      </c>
      <c r="G20" s="582">
        <f t="shared" si="10"/>
        <v>8.6955338698499977E-3</v>
      </c>
      <c r="H20" s="583">
        <f t="shared" si="1"/>
        <v>35513879</v>
      </c>
      <c r="I20" s="498">
        <v>4.12</v>
      </c>
      <c r="J20" s="482">
        <v>146140</v>
      </c>
      <c r="K20" s="498">
        <v>13.13</v>
      </c>
      <c r="L20" s="482">
        <v>465750</v>
      </c>
      <c r="M20" s="481">
        <v>4.01</v>
      </c>
      <c r="N20" s="481">
        <v>5.18</v>
      </c>
      <c r="O20" s="481">
        <v>4</v>
      </c>
      <c r="P20" s="482">
        <v>148285</v>
      </c>
      <c r="Q20" s="14">
        <f t="shared" si="11"/>
        <v>760175</v>
      </c>
      <c r="R20" s="481">
        <v>0</v>
      </c>
      <c r="S20" s="482">
        <v>0</v>
      </c>
      <c r="T20" s="481">
        <v>19.7</v>
      </c>
      <c r="U20" s="481">
        <v>20</v>
      </c>
      <c r="V20" s="481">
        <v>2</v>
      </c>
      <c r="W20" s="482">
        <v>173453</v>
      </c>
      <c r="X20" s="14">
        <f t="shared" si="12"/>
        <v>173453</v>
      </c>
      <c r="Y20" s="146">
        <f t="shared" si="13"/>
        <v>17.25</v>
      </c>
      <c r="Z20" s="14">
        <f t="shared" si="14"/>
        <v>611890</v>
      </c>
      <c r="AA20" s="14">
        <f t="shared" si="15"/>
        <v>321738</v>
      </c>
      <c r="AB20" s="147">
        <f t="shared" si="2"/>
        <v>4.88</v>
      </c>
      <c r="AC20" s="148">
        <f t="shared" si="3"/>
        <v>21.41</v>
      </c>
      <c r="AD20" s="128">
        <f t="shared" si="4"/>
        <v>26.29</v>
      </c>
      <c r="AE20" s="77">
        <f t="shared" si="16"/>
        <v>933628</v>
      </c>
      <c r="AF20" s="157">
        <v>0.03</v>
      </c>
      <c r="AG20" s="278">
        <v>2701695</v>
      </c>
      <c r="AH20" s="278">
        <v>0</v>
      </c>
      <c r="AI20" s="492">
        <f t="shared" si="17"/>
        <v>2701695</v>
      </c>
      <c r="AJ20" s="77">
        <v>81657800</v>
      </c>
      <c r="AK20" s="77">
        <f t="shared" ref="AK20:AK51" si="20">ROUND(AI20/AF20,0)</f>
        <v>90056500</v>
      </c>
      <c r="AL20" s="589">
        <f t="shared" si="18"/>
        <v>0.10285239132085361</v>
      </c>
      <c r="AM20" s="592">
        <f t="shared" si="19"/>
        <v>90056500</v>
      </c>
      <c r="AN20" s="130">
        <f t="shared" si="6"/>
        <v>0.03</v>
      </c>
      <c r="AO20" s="130">
        <f t="shared" si="7"/>
        <v>0</v>
      </c>
      <c r="AP20" s="77">
        <v>94599</v>
      </c>
      <c r="AQ20" s="77">
        <f t="shared" si="8"/>
        <v>3729922</v>
      </c>
      <c r="AR20" s="77">
        <f>ROUND(AQ20/'Table 3 Levels 1&amp;2'!C20,2)</f>
        <v>2455.5100000000002</v>
      </c>
    </row>
    <row r="21" spans="1:44">
      <c r="A21" s="12">
        <v>14</v>
      </c>
      <c r="B21" s="69" t="s">
        <v>115</v>
      </c>
      <c r="C21" s="14">
        <v>156868862</v>
      </c>
      <c r="D21" s="14">
        <v>20045849</v>
      </c>
      <c r="E21" s="14">
        <f t="shared" si="9"/>
        <v>136823013</v>
      </c>
      <c r="F21" s="14">
        <v>128540643</v>
      </c>
      <c r="G21" s="582">
        <f t="shared" si="10"/>
        <v>6.4433861591932443E-2</v>
      </c>
      <c r="H21" s="583">
        <f t="shared" si="1"/>
        <v>136823013</v>
      </c>
      <c r="I21" s="498">
        <v>5.16</v>
      </c>
      <c r="J21" s="482">
        <v>703326</v>
      </c>
      <c r="K21" s="498">
        <v>10.039999999999999</v>
      </c>
      <c r="L21" s="482">
        <v>1368488</v>
      </c>
      <c r="M21" s="481">
        <v>3.16</v>
      </c>
      <c r="N21" s="481">
        <v>11.96</v>
      </c>
      <c r="O21" s="481">
        <v>4</v>
      </c>
      <c r="P21" s="482">
        <v>624489</v>
      </c>
      <c r="Q21" s="14">
        <f t="shared" si="11"/>
        <v>2696303</v>
      </c>
      <c r="R21" s="481">
        <v>0</v>
      </c>
      <c r="S21" s="482">
        <v>0</v>
      </c>
      <c r="T21" s="481">
        <v>14.1</v>
      </c>
      <c r="U21" s="481">
        <v>18.600000000000001</v>
      </c>
      <c r="V21" s="481">
        <v>2</v>
      </c>
      <c r="W21" s="482">
        <v>1209502</v>
      </c>
      <c r="X21" s="14">
        <f t="shared" si="12"/>
        <v>1209502</v>
      </c>
      <c r="Y21" s="146">
        <f t="shared" si="13"/>
        <v>15.2</v>
      </c>
      <c r="Z21" s="14">
        <f t="shared" si="14"/>
        <v>2071814</v>
      </c>
      <c r="AA21" s="14">
        <f t="shared" si="15"/>
        <v>1833991</v>
      </c>
      <c r="AB21" s="147">
        <f t="shared" si="2"/>
        <v>8.84</v>
      </c>
      <c r="AC21" s="148">
        <f t="shared" si="3"/>
        <v>19.71</v>
      </c>
      <c r="AD21" s="128">
        <f t="shared" si="4"/>
        <v>28.55</v>
      </c>
      <c r="AE21" s="77">
        <f t="shared" si="16"/>
        <v>3905805</v>
      </c>
      <c r="AF21" s="157">
        <v>0.02</v>
      </c>
      <c r="AG21" s="278">
        <v>2825686</v>
      </c>
      <c r="AH21" s="278">
        <v>0</v>
      </c>
      <c r="AI21" s="492">
        <f t="shared" si="17"/>
        <v>2825686</v>
      </c>
      <c r="AJ21" s="77">
        <v>148673350</v>
      </c>
      <c r="AK21" s="77">
        <f t="shared" si="20"/>
        <v>141284300</v>
      </c>
      <c r="AL21" s="589">
        <f t="shared" si="18"/>
        <v>-4.9699895778227907E-2</v>
      </c>
      <c r="AM21" s="592">
        <f t="shared" si="19"/>
        <v>141284300</v>
      </c>
      <c r="AN21" s="130">
        <f t="shared" si="6"/>
        <v>0.02</v>
      </c>
      <c r="AO21" s="130">
        <f t="shared" si="7"/>
        <v>0</v>
      </c>
      <c r="AP21" s="77">
        <v>157561</v>
      </c>
      <c r="AQ21" s="77">
        <f t="shared" si="8"/>
        <v>6889052</v>
      </c>
      <c r="AR21" s="77">
        <f>ROUND(AQ21/'Table 3 Levels 1&amp;2'!C21,2)</f>
        <v>3518.41</v>
      </c>
    </row>
    <row r="22" spans="1:44">
      <c r="A22" s="18">
        <v>15</v>
      </c>
      <c r="B22" s="70" t="s">
        <v>116</v>
      </c>
      <c r="C22" s="20">
        <v>158143970</v>
      </c>
      <c r="D22" s="20">
        <v>28212390</v>
      </c>
      <c r="E22" s="20">
        <f t="shared" si="9"/>
        <v>129931580</v>
      </c>
      <c r="F22" s="20">
        <v>126261488</v>
      </c>
      <c r="G22" s="756">
        <f t="shared" si="10"/>
        <v>2.9067390683689708E-2</v>
      </c>
      <c r="H22" s="757">
        <f t="shared" si="1"/>
        <v>129931580</v>
      </c>
      <c r="I22" s="499">
        <v>2.84</v>
      </c>
      <c r="J22" s="484">
        <v>354357</v>
      </c>
      <c r="K22" s="499">
        <v>35.08</v>
      </c>
      <c r="L22" s="484">
        <v>4388331</v>
      </c>
      <c r="M22" s="483">
        <v>0</v>
      </c>
      <c r="N22" s="483">
        <v>0</v>
      </c>
      <c r="O22" s="483">
        <v>0</v>
      </c>
      <c r="P22" s="484">
        <v>0</v>
      </c>
      <c r="Q22" s="20">
        <f t="shared" si="11"/>
        <v>4742688</v>
      </c>
      <c r="R22" s="483">
        <v>0</v>
      </c>
      <c r="S22" s="484">
        <v>0</v>
      </c>
      <c r="T22" s="483">
        <v>0</v>
      </c>
      <c r="U22" s="483">
        <v>0</v>
      </c>
      <c r="V22" s="483">
        <v>0</v>
      </c>
      <c r="W22" s="484">
        <v>0</v>
      </c>
      <c r="X22" s="20">
        <f t="shared" si="12"/>
        <v>0</v>
      </c>
      <c r="Y22" s="149">
        <f t="shared" si="13"/>
        <v>37.92</v>
      </c>
      <c r="Z22" s="20">
        <f t="shared" si="14"/>
        <v>4742688</v>
      </c>
      <c r="AA22" s="20">
        <f t="shared" si="15"/>
        <v>0</v>
      </c>
      <c r="AB22" s="150">
        <f t="shared" si="2"/>
        <v>0</v>
      </c>
      <c r="AC22" s="151">
        <f t="shared" si="3"/>
        <v>36.5</v>
      </c>
      <c r="AD22" s="129">
        <f t="shared" si="4"/>
        <v>36.5</v>
      </c>
      <c r="AE22" s="78">
        <f t="shared" si="16"/>
        <v>4742688</v>
      </c>
      <c r="AF22" s="158">
        <v>0.02</v>
      </c>
      <c r="AG22" s="279">
        <v>4596600</v>
      </c>
      <c r="AH22" s="279">
        <v>0</v>
      </c>
      <c r="AI22" s="493">
        <f t="shared" si="17"/>
        <v>4596600</v>
      </c>
      <c r="AJ22" s="78">
        <v>217390850</v>
      </c>
      <c r="AK22" s="78">
        <f t="shared" si="20"/>
        <v>229830000</v>
      </c>
      <c r="AL22" s="590">
        <f t="shared" si="18"/>
        <v>5.7220209590238047E-2</v>
      </c>
      <c r="AM22" s="593">
        <f t="shared" si="19"/>
        <v>229830000</v>
      </c>
      <c r="AN22" s="131">
        <f t="shared" si="6"/>
        <v>0.02</v>
      </c>
      <c r="AO22" s="131">
        <f t="shared" si="7"/>
        <v>0</v>
      </c>
      <c r="AP22" s="78">
        <v>181360.5</v>
      </c>
      <c r="AQ22" s="78">
        <f t="shared" si="8"/>
        <v>9520648.5</v>
      </c>
      <c r="AR22" s="78">
        <f>ROUND(AQ22/'Table 3 Levels 1&amp;2'!C22,2)</f>
        <v>2624.94</v>
      </c>
    </row>
    <row r="23" spans="1:44">
      <c r="A23" s="12">
        <v>16</v>
      </c>
      <c r="B23" s="69" t="s">
        <v>117</v>
      </c>
      <c r="C23" s="14">
        <v>471693064</v>
      </c>
      <c r="D23" s="14">
        <v>39007112</v>
      </c>
      <c r="E23" s="14">
        <f t="shared" si="9"/>
        <v>432685952</v>
      </c>
      <c r="F23" s="14">
        <v>358507938</v>
      </c>
      <c r="G23" s="584">
        <f t="shared" si="10"/>
        <v>0.2069075915412506</v>
      </c>
      <c r="H23" s="585">
        <f t="shared" si="1"/>
        <v>394358731.80000001</v>
      </c>
      <c r="I23" s="498">
        <v>4.5599999999999996</v>
      </c>
      <c r="J23" s="482">
        <v>1952219</v>
      </c>
      <c r="K23" s="498">
        <v>39</v>
      </c>
      <c r="L23" s="482">
        <v>15975565</v>
      </c>
      <c r="M23" s="481">
        <v>0</v>
      </c>
      <c r="N23" s="481">
        <v>0</v>
      </c>
      <c r="O23" s="481">
        <v>0</v>
      </c>
      <c r="P23" s="482">
        <v>0</v>
      </c>
      <c r="Q23" s="14">
        <f t="shared" si="11"/>
        <v>17927784</v>
      </c>
      <c r="R23" s="481">
        <v>0</v>
      </c>
      <c r="S23" s="482">
        <v>0</v>
      </c>
      <c r="T23" s="481">
        <v>0</v>
      </c>
      <c r="U23" s="481">
        <v>14.5</v>
      </c>
      <c r="V23" s="481">
        <v>5</v>
      </c>
      <c r="W23" s="482">
        <v>3234950</v>
      </c>
      <c r="X23" s="14">
        <f t="shared" si="12"/>
        <v>3234950</v>
      </c>
      <c r="Y23" s="146">
        <f t="shared" si="13"/>
        <v>43.56</v>
      </c>
      <c r="Z23" s="14">
        <f t="shared" si="14"/>
        <v>17927784</v>
      </c>
      <c r="AA23" s="14">
        <f t="shared" si="15"/>
        <v>3234950</v>
      </c>
      <c r="AB23" s="147">
        <f t="shared" si="2"/>
        <v>7.48</v>
      </c>
      <c r="AC23" s="148">
        <f t="shared" si="3"/>
        <v>41.43</v>
      </c>
      <c r="AD23" s="128">
        <f t="shared" si="4"/>
        <v>48.91</v>
      </c>
      <c r="AE23" s="77">
        <f t="shared" si="16"/>
        <v>21162734</v>
      </c>
      <c r="AF23" s="157">
        <v>2.5000000000000001E-2</v>
      </c>
      <c r="AG23" s="278">
        <v>71065275</v>
      </c>
      <c r="AH23" s="278">
        <v>2021503</v>
      </c>
      <c r="AI23" s="492">
        <f t="shared" si="17"/>
        <v>73086778</v>
      </c>
      <c r="AJ23" s="77">
        <v>2163916480</v>
      </c>
      <c r="AK23" s="77">
        <f t="shared" si="20"/>
        <v>2923471120</v>
      </c>
      <c r="AL23" s="591">
        <f t="shared" si="18"/>
        <v>0.3510092219455716</v>
      </c>
      <c r="AM23" s="594">
        <f t="shared" si="19"/>
        <v>2488503952</v>
      </c>
      <c r="AN23" s="130">
        <f t="shared" si="6"/>
        <v>2.4308526434152017E-2</v>
      </c>
      <c r="AO23" s="130">
        <f t="shared" si="7"/>
        <v>6.914735658479842E-4</v>
      </c>
      <c r="AP23" s="77">
        <v>1589418</v>
      </c>
      <c r="AQ23" s="77">
        <f t="shared" si="8"/>
        <v>95838930</v>
      </c>
      <c r="AR23" s="77">
        <f>ROUND(AQ23/'Table 3 Levels 1&amp;2'!C23,2)</f>
        <v>20020.669999999998</v>
      </c>
    </row>
    <row r="24" spans="1:44" s="75" customFormat="1">
      <c r="A24" s="103">
        <v>17</v>
      </c>
      <c r="B24" s="160" t="s">
        <v>118</v>
      </c>
      <c r="C24" s="77">
        <v>3547812490</v>
      </c>
      <c r="D24" s="77">
        <v>545485550</v>
      </c>
      <c r="E24" s="77">
        <f>C24-D24</f>
        <v>3002326940</v>
      </c>
      <c r="F24" s="77">
        <v>2974143180</v>
      </c>
      <c r="G24" s="582">
        <f t="shared" si="10"/>
        <v>9.4762620002712857E-3</v>
      </c>
      <c r="H24" s="583">
        <f t="shared" si="1"/>
        <v>3002326940</v>
      </c>
      <c r="I24" s="498">
        <v>5.25</v>
      </c>
      <c r="J24" s="482">
        <v>15638039</v>
      </c>
      <c r="K24" s="498">
        <v>38.200000000000003</v>
      </c>
      <c r="L24" s="482">
        <v>113773936</v>
      </c>
      <c r="M24" s="481">
        <v>0</v>
      </c>
      <c r="N24" s="481">
        <v>0</v>
      </c>
      <c r="O24" s="481">
        <v>0</v>
      </c>
      <c r="P24" s="482">
        <v>0</v>
      </c>
      <c r="Q24" s="77">
        <f>J24+L24+P24</f>
        <v>129411975</v>
      </c>
      <c r="R24" s="481">
        <v>0</v>
      </c>
      <c r="S24" s="482">
        <v>0</v>
      </c>
      <c r="T24" s="481">
        <v>0</v>
      </c>
      <c r="U24" s="481">
        <v>0</v>
      </c>
      <c r="V24" s="481">
        <v>0</v>
      </c>
      <c r="W24" s="482">
        <v>0</v>
      </c>
      <c r="X24" s="77">
        <f t="shared" si="12"/>
        <v>0</v>
      </c>
      <c r="Y24" s="161">
        <f t="shared" si="13"/>
        <v>43.45</v>
      </c>
      <c r="Z24" s="77">
        <f t="shared" si="14"/>
        <v>129411975</v>
      </c>
      <c r="AA24" s="77">
        <f t="shared" si="15"/>
        <v>0</v>
      </c>
      <c r="AB24" s="162">
        <f t="shared" si="2"/>
        <v>0</v>
      </c>
      <c r="AC24" s="163">
        <f t="shared" si="3"/>
        <v>43.1</v>
      </c>
      <c r="AD24" s="128">
        <f t="shared" si="4"/>
        <v>43.1</v>
      </c>
      <c r="AE24" s="341">
        <f t="shared" si="16"/>
        <v>129411975</v>
      </c>
      <c r="AF24" s="157">
        <v>0.02</v>
      </c>
      <c r="AG24" s="278">
        <v>148089339</v>
      </c>
      <c r="AH24" s="278">
        <v>0</v>
      </c>
      <c r="AI24" s="492">
        <f t="shared" si="17"/>
        <v>148089339</v>
      </c>
      <c r="AJ24" s="77">
        <v>7426120050</v>
      </c>
      <c r="AK24" s="77">
        <f t="shared" si="20"/>
        <v>7404466950</v>
      </c>
      <c r="AL24" s="589">
        <f t="shared" si="18"/>
        <v>-2.9158025798411381E-3</v>
      </c>
      <c r="AM24" s="592">
        <f t="shared" si="19"/>
        <v>7404466950</v>
      </c>
      <c r="AN24" s="130">
        <f t="shared" si="6"/>
        <v>0.02</v>
      </c>
      <c r="AO24" s="130">
        <f t="shared" si="7"/>
        <v>0</v>
      </c>
      <c r="AP24" s="77">
        <v>4101592</v>
      </c>
      <c r="AQ24" s="77">
        <f t="shared" si="8"/>
        <v>281602906</v>
      </c>
      <c r="AR24" s="77">
        <f>ROUND(AQ24/'Table 3 Levels 1&amp;2'!C24,2)</f>
        <v>6446.22</v>
      </c>
    </row>
    <row r="25" spans="1:44">
      <c r="A25" s="12">
        <v>18</v>
      </c>
      <c r="B25" s="69" t="s">
        <v>119</v>
      </c>
      <c r="C25" s="14">
        <v>42086542</v>
      </c>
      <c r="D25" s="14">
        <v>5710751</v>
      </c>
      <c r="E25" s="14">
        <f t="shared" si="9"/>
        <v>36375791</v>
      </c>
      <c r="F25" s="14">
        <v>37145289</v>
      </c>
      <c r="G25" s="582">
        <f t="shared" si="10"/>
        <v>-2.0715897512602471E-2</v>
      </c>
      <c r="H25" s="583">
        <f t="shared" si="1"/>
        <v>36375791</v>
      </c>
      <c r="I25" s="498">
        <v>7.96</v>
      </c>
      <c r="J25" s="482">
        <v>270544</v>
      </c>
      <c r="K25" s="498">
        <v>7.99</v>
      </c>
      <c r="L25" s="482">
        <v>269451</v>
      </c>
      <c r="M25" s="481">
        <v>0</v>
      </c>
      <c r="N25" s="481">
        <v>0</v>
      </c>
      <c r="O25" s="481">
        <v>0</v>
      </c>
      <c r="P25" s="482">
        <v>0</v>
      </c>
      <c r="Q25" s="77">
        <f t="shared" si="11"/>
        <v>539995</v>
      </c>
      <c r="R25" s="481">
        <v>0</v>
      </c>
      <c r="S25" s="482">
        <v>0</v>
      </c>
      <c r="T25" s="481">
        <v>0</v>
      </c>
      <c r="U25" s="481">
        <v>0</v>
      </c>
      <c r="V25" s="481">
        <v>0</v>
      </c>
      <c r="W25" s="482">
        <v>0</v>
      </c>
      <c r="X25" s="14">
        <f t="shared" si="12"/>
        <v>0</v>
      </c>
      <c r="Y25" s="146">
        <f t="shared" si="13"/>
        <v>15.95</v>
      </c>
      <c r="Z25" s="14">
        <f t="shared" si="14"/>
        <v>539995</v>
      </c>
      <c r="AA25" s="14">
        <f t="shared" si="15"/>
        <v>0</v>
      </c>
      <c r="AB25" s="147">
        <f t="shared" si="2"/>
        <v>0</v>
      </c>
      <c r="AC25" s="148">
        <f t="shared" si="3"/>
        <v>14.84</v>
      </c>
      <c r="AD25" s="128">
        <f t="shared" si="4"/>
        <v>14.84</v>
      </c>
      <c r="AE25" s="77">
        <f t="shared" si="16"/>
        <v>539995</v>
      </c>
      <c r="AF25" s="157">
        <v>0.03</v>
      </c>
      <c r="AG25" s="278">
        <v>1397933</v>
      </c>
      <c r="AH25" s="278">
        <v>0</v>
      </c>
      <c r="AI25" s="492">
        <f t="shared" si="17"/>
        <v>1397933</v>
      </c>
      <c r="AJ25" s="77">
        <v>47763233</v>
      </c>
      <c r="AK25" s="77">
        <f t="shared" si="20"/>
        <v>46597767</v>
      </c>
      <c r="AL25" s="589">
        <f t="shared" si="18"/>
        <v>-2.4400902677588848E-2</v>
      </c>
      <c r="AM25" s="592">
        <f t="shared" si="19"/>
        <v>46597767</v>
      </c>
      <c r="AN25" s="130">
        <f t="shared" si="6"/>
        <v>2.9999999785397441E-2</v>
      </c>
      <c r="AO25" s="130">
        <f t="shared" si="7"/>
        <v>0</v>
      </c>
      <c r="AP25" s="77">
        <v>132563.5</v>
      </c>
      <c r="AQ25" s="77">
        <f t="shared" si="8"/>
        <v>2070491.5</v>
      </c>
      <c r="AR25" s="77">
        <f>ROUND(AQ25/'Table 3 Levels 1&amp;2'!C25,2)</f>
        <v>1824.22</v>
      </c>
    </row>
    <row r="26" spans="1:44">
      <c r="A26" s="12">
        <v>19</v>
      </c>
      <c r="B26" s="69" t="s">
        <v>120</v>
      </c>
      <c r="C26" s="14">
        <v>138746860</v>
      </c>
      <c r="D26" s="14">
        <v>34974991</v>
      </c>
      <c r="E26" s="14">
        <f t="shared" si="9"/>
        <v>103771869</v>
      </c>
      <c r="F26" s="14">
        <v>101289605</v>
      </c>
      <c r="G26" s="582">
        <f t="shared" si="10"/>
        <v>2.450660163992149E-2</v>
      </c>
      <c r="H26" s="583">
        <f t="shared" si="1"/>
        <v>103771869</v>
      </c>
      <c r="I26" s="498">
        <v>3.34</v>
      </c>
      <c r="J26" s="482">
        <v>331361</v>
      </c>
      <c r="K26" s="498">
        <v>17</v>
      </c>
      <c r="L26" s="482">
        <v>1686566</v>
      </c>
      <c r="M26" s="481">
        <v>0</v>
      </c>
      <c r="N26" s="481">
        <v>0</v>
      </c>
      <c r="O26" s="481">
        <v>0</v>
      </c>
      <c r="P26" s="482">
        <v>0</v>
      </c>
      <c r="Q26" s="77">
        <f t="shared" si="11"/>
        <v>2017927</v>
      </c>
      <c r="R26" s="481">
        <v>0</v>
      </c>
      <c r="S26" s="482">
        <v>0</v>
      </c>
      <c r="T26" s="481">
        <v>0</v>
      </c>
      <c r="U26" s="481">
        <v>0</v>
      </c>
      <c r="V26" s="481">
        <v>0</v>
      </c>
      <c r="W26" s="482">
        <v>0</v>
      </c>
      <c r="X26" s="14">
        <f t="shared" si="12"/>
        <v>0</v>
      </c>
      <c r="Y26" s="146">
        <f t="shared" si="13"/>
        <v>20.34</v>
      </c>
      <c r="Z26" s="14">
        <f t="shared" si="14"/>
        <v>2017927</v>
      </c>
      <c r="AA26" s="14">
        <f t="shared" si="15"/>
        <v>0</v>
      </c>
      <c r="AB26" s="147">
        <f t="shared" si="2"/>
        <v>0</v>
      </c>
      <c r="AC26" s="148">
        <f t="shared" si="3"/>
        <v>19.45</v>
      </c>
      <c r="AD26" s="128">
        <f t="shared" si="4"/>
        <v>19.45</v>
      </c>
      <c r="AE26" s="77">
        <f t="shared" si="16"/>
        <v>2017927</v>
      </c>
      <c r="AF26" s="157">
        <v>0.02</v>
      </c>
      <c r="AG26" s="278">
        <v>2313650</v>
      </c>
      <c r="AH26" s="278">
        <v>0</v>
      </c>
      <c r="AI26" s="492">
        <f t="shared" si="17"/>
        <v>2313650</v>
      </c>
      <c r="AJ26" s="77">
        <v>108826000</v>
      </c>
      <c r="AK26" s="77">
        <f t="shared" si="20"/>
        <v>115682500</v>
      </c>
      <c r="AL26" s="589">
        <f t="shared" si="18"/>
        <v>6.3004245309025417E-2</v>
      </c>
      <c r="AM26" s="592">
        <f t="shared" si="19"/>
        <v>115682500</v>
      </c>
      <c r="AN26" s="130">
        <f t="shared" si="6"/>
        <v>0.02</v>
      </c>
      <c r="AO26" s="130">
        <f t="shared" si="7"/>
        <v>0</v>
      </c>
      <c r="AP26" s="77">
        <v>102869</v>
      </c>
      <c r="AQ26" s="77">
        <f t="shared" si="8"/>
        <v>4434446</v>
      </c>
      <c r="AR26" s="77">
        <f>ROUND(AQ26/'Table 3 Levels 1&amp;2'!C26,2)</f>
        <v>2288.16</v>
      </c>
    </row>
    <row r="27" spans="1:44">
      <c r="A27" s="18">
        <v>20</v>
      </c>
      <c r="B27" s="70" t="s">
        <v>121</v>
      </c>
      <c r="C27" s="20">
        <v>225935500</v>
      </c>
      <c r="D27" s="20">
        <v>48167690</v>
      </c>
      <c r="E27" s="20">
        <f t="shared" si="9"/>
        <v>177767810</v>
      </c>
      <c r="F27" s="20">
        <v>155514960</v>
      </c>
      <c r="G27" s="586">
        <f t="shared" si="10"/>
        <v>0.1430913784757428</v>
      </c>
      <c r="H27" s="587">
        <f t="shared" si="1"/>
        <v>171066456</v>
      </c>
      <c r="I27" s="499">
        <v>4.67</v>
      </c>
      <c r="J27" s="484">
        <v>819884</v>
      </c>
      <c r="K27" s="499">
        <v>10.35</v>
      </c>
      <c r="L27" s="484">
        <v>1816923</v>
      </c>
      <c r="M27" s="483">
        <v>2.02</v>
      </c>
      <c r="N27" s="483">
        <v>12.32</v>
      </c>
      <c r="O27" s="483">
        <v>3</v>
      </c>
      <c r="P27" s="484">
        <v>2483603</v>
      </c>
      <c r="Q27" s="78">
        <f t="shared" si="11"/>
        <v>5120410</v>
      </c>
      <c r="R27" s="483">
        <v>0</v>
      </c>
      <c r="S27" s="484">
        <v>0</v>
      </c>
      <c r="T27" s="483">
        <v>14</v>
      </c>
      <c r="U27" s="483">
        <v>14</v>
      </c>
      <c r="V27" s="483">
        <v>1</v>
      </c>
      <c r="W27" s="484">
        <v>405601</v>
      </c>
      <c r="X27" s="20">
        <f t="shared" si="12"/>
        <v>405601</v>
      </c>
      <c r="Y27" s="149">
        <f t="shared" si="13"/>
        <v>15.02</v>
      </c>
      <c r="Z27" s="20">
        <f t="shared" si="14"/>
        <v>2636807</v>
      </c>
      <c r="AA27" s="20">
        <f t="shared" si="15"/>
        <v>2889204</v>
      </c>
      <c r="AB27" s="150">
        <f t="shared" si="2"/>
        <v>2.2799999999999998</v>
      </c>
      <c r="AC27" s="151">
        <f t="shared" si="3"/>
        <v>28.8</v>
      </c>
      <c r="AD27" s="129">
        <f t="shared" si="4"/>
        <v>31.09</v>
      </c>
      <c r="AE27" s="78">
        <f t="shared" si="16"/>
        <v>5526011</v>
      </c>
      <c r="AF27" s="158">
        <v>0.02</v>
      </c>
      <c r="AG27" s="279">
        <v>7312111</v>
      </c>
      <c r="AH27" s="279">
        <v>0</v>
      </c>
      <c r="AI27" s="493">
        <f t="shared" si="17"/>
        <v>7312111</v>
      </c>
      <c r="AJ27" s="78">
        <v>376441050</v>
      </c>
      <c r="AK27" s="78">
        <f t="shared" si="20"/>
        <v>365605550</v>
      </c>
      <c r="AL27" s="590">
        <f t="shared" si="18"/>
        <v>-2.8784055298963808E-2</v>
      </c>
      <c r="AM27" s="593">
        <f t="shared" si="19"/>
        <v>365605550</v>
      </c>
      <c r="AN27" s="131">
        <f t="shared" si="6"/>
        <v>0.02</v>
      </c>
      <c r="AO27" s="131">
        <f t="shared" si="7"/>
        <v>0</v>
      </c>
      <c r="AP27" s="78">
        <v>232087.5</v>
      </c>
      <c r="AQ27" s="78">
        <f t="shared" si="8"/>
        <v>13070209.5</v>
      </c>
      <c r="AR27" s="78">
        <f>ROUND(AQ27/'Table 3 Levels 1&amp;2'!C27,2)</f>
        <v>2249.2199999999998</v>
      </c>
    </row>
    <row r="28" spans="1:44">
      <c r="A28" s="12">
        <v>21</v>
      </c>
      <c r="B28" s="69" t="s">
        <v>122</v>
      </c>
      <c r="C28" s="14">
        <v>86896019</v>
      </c>
      <c r="D28" s="14">
        <v>27588070</v>
      </c>
      <c r="E28" s="14">
        <f t="shared" si="9"/>
        <v>59307949</v>
      </c>
      <c r="F28" s="14">
        <v>56190152</v>
      </c>
      <c r="G28" s="582">
        <f t="shared" si="10"/>
        <v>5.548653792572051E-2</v>
      </c>
      <c r="H28" s="583">
        <f t="shared" si="1"/>
        <v>59307949</v>
      </c>
      <c r="I28" s="498">
        <v>4.45</v>
      </c>
      <c r="J28" s="482">
        <v>265650</v>
      </c>
      <c r="K28" s="498">
        <v>19.93</v>
      </c>
      <c r="L28" s="482">
        <v>1163668</v>
      </c>
      <c r="M28" s="481">
        <v>19.93</v>
      </c>
      <c r="N28" s="481">
        <v>19.93</v>
      </c>
      <c r="O28" s="481">
        <v>0</v>
      </c>
      <c r="P28" s="482">
        <v>0</v>
      </c>
      <c r="Q28" s="77">
        <f t="shared" si="11"/>
        <v>1429318</v>
      </c>
      <c r="R28" s="481">
        <v>0</v>
      </c>
      <c r="S28" s="482">
        <v>0</v>
      </c>
      <c r="T28" s="481">
        <v>0</v>
      </c>
      <c r="U28" s="481">
        <v>0</v>
      </c>
      <c r="V28" s="481">
        <v>0</v>
      </c>
      <c r="W28" s="482">
        <v>0</v>
      </c>
      <c r="X28" s="14">
        <f t="shared" si="12"/>
        <v>0</v>
      </c>
      <c r="Y28" s="146">
        <f t="shared" si="13"/>
        <v>24.38</v>
      </c>
      <c r="Z28" s="14">
        <f t="shared" si="14"/>
        <v>1429318</v>
      </c>
      <c r="AA28" s="14">
        <f t="shared" si="15"/>
        <v>0</v>
      </c>
      <c r="AB28" s="147">
        <f t="shared" si="2"/>
        <v>0</v>
      </c>
      <c r="AC28" s="148">
        <f t="shared" si="3"/>
        <v>24.1</v>
      </c>
      <c r="AD28" s="128">
        <f t="shared" si="4"/>
        <v>24.1</v>
      </c>
      <c r="AE28" s="77">
        <f t="shared" si="16"/>
        <v>1429318</v>
      </c>
      <c r="AF28" s="157">
        <v>0.02</v>
      </c>
      <c r="AG28" s="278">
        <v>4669044</v>
      </c>
      <c r="AH28" s="278">
        <v>0</v>
      </c>
      <c r="AI28" s="492">
        <f t="shared" si="17"/>
        <v>4669044</v>
      </c>
      <c r="AJ28" s="77">
        <v>235230550</v>
      </c>
      <c r="AK28" s="77">
        <f t="shared" si="20"/>
        <v>233452200</v>
      </c>
      <c r="AL28" s="589">
        <f t="shared" si="18"/>
        <v>-7.5600299365877434E-3</v>
      </c>
      <c r="AM28" s="592">
        <f t="shared" si="19"/>
        <v>233452200</v>
      </c>
      <c r="AN28" s="130">
        <f t="shared" si="6"/>
        <v>0.02</v>
      </c>
      <c r="AO28" s="130">
        <f t="shared" si="7"/>
        <v>0</v>
      </c>
      <c r="AP28" s="77">
        <v>76048.5</v>
      </c>
      <c r="AQ28" s="77">
        <f t="shared" si="8"/>
        <v>6174410.5</v>
      </c>
      <c r="AR28" s="77">
        <f>ROUND(AQ28/'Table 3 Levels 1&amp;2'!C28,2)</f>
        <v>2093.02</v>
      </c>
    </row>
    <row r="29" spans="1:44">
      <c r="A29" s="12">
        <v>22</v>
      </c>
      <c r="B29" s="69" t="s">
        <v>123</v>
      </c>
      <c r="C29" s="14">
        <v>66932728</v>
      </c>
      <c r="D29" s="14">
        <v>28285450</v>
      </c>
      <c r="E29" s="14">
        <f t="shared" si="9"/>
        <v>38647278</v>
      </c>
      <c r="F29" s="14">
        <v>37074652</v>
      </c>
      <c r="G29" s="582">
        <f t="shared" si="10"/>
        <v>4.2417822290010974E-2</v>
      </c>
      <c r="H29" s="583">
        <f t="shared" si="1"/>
        <v>38647278</v>
      </c>
      <c r="I29" s="498">
        <v>5.93</v>
      </c>
      <c r="J29" s="482">
        <v>224252</v>
      </c>
      <c r="K29" s="498">
        <v>24.12</v>
      </c>
      <c r="L29" s="482">
        <v>729392</v>
      </c>
      <c r="M29" s="481">
        <v>2</v>
      </c>
      <c r="N29" s="481">
        <v>16.12</v>
      </c>
      <c r="O29" s="481">
        <v>8</v>
      </c>
      <c r="P29" s="482">
        <v>585127</v>
      </c>
      <c r="Q29" s="77">
        <f t="shared" si="11"/>
        <v>1538771</v>
      </c>
      <c r="R29" s="481">
        <v>0</v>
      </c>
      <c r="S29" s="482">
        <v>0</v>
      </c>
      <c r="T29" s="481">
        <v>16</v>
      </c>
      <c r="U29" s="481">
        <v>38</v>
      </c>
      <c r="V29" s="481">
        <v>3</v>
      </c>
      <c r="W29" s="482">
        <v>1186657</v>
      </c>
      <c r="X29" s="14">
        <f t="shared" si="12"/>
        <v>1186657</v>
      </c>
      <c r="Y29" s="146">
        <f t="shared" si="13"/>
        <v>30.05</v>
      </c>
      <c r="Z29" s="14">
        <f t="shared" si="14"/>
        <v>953644</v>
      </c>
      <c r="AA29" s="14">
        <f t="shared" si="15"/>
        <v>1771784</v>
      </c>
      <c r="AB29" s="147">
        <f t="shared" si="2"/>
        <v>30.7</v>
      </c>
      <c r="AC29" s="148">
        <f t="shared" si="3"/>
        <v>39.82</v>
      </c>
      <c r="AD29" s="128">
        <f t="shared" si="4"/>
        <v>70.52</v>
      </c>
      <c r="AE29" s="77">
        <f t="shared" si="16"/>
        <v>2725428</v>
      </c>
      <c r="AF29" s="157">
        <v>0.02</v>
      </c>
      <c r="AG29" s="278">
        <v>2034070</v>
      </c>
      <c r="AH29" s="278">
        <v>0</v>
      </c>
      <c r="AI29" s="492">
        <f t="shared" si="17"/>
        <v>2034070</v>
      </c>
      <c r="AJ29" s="77">
        <v>91778900</v>
      </c>
      <c r="AK29" s="77">
        <f t="shared" si="20"/>
        <v>101703500</v>
      </c>
      <c r="AL29" s="589">
        <f t="shared" si="18"/>
        <v>0.10813596589194248</v>
      </c>
      <c r="AM29" s="592">
        <f t="shared" si="19"/>
        <v>101703500</v>
      </c>
      <c r="AN29" s="130">
        <f t="shared" si="6"/>
        <v>0.02</v>
      </c>
      <c r="AO29" s="130">
        <f t="shared" si="7"/>
        <v>0</v>
      </c>
      <c r="AP29" s="77">
        <v>406250</v>
      </c>
      <c r="AQ29" s="77">
        <f t="shared" si="8"/>
        <v>5165748</v>
      </c>
      <c r="AR29" s="77">
        <f>ROUND(AQ29/'Table 3 Levels 1&amp;2'!C29,2)</f>
        <v>1576.36</v>
      </c>
    </row>
    <row r="30" spans="1:44">
      <c r="A30" s="12">
        <v>23</v>
      </c>
      <c r="B30" s="69" t="s">
        <v>124</v>
      </c>
      <c r="C30" s="14">
        <v>617712015</v>
      </c>
      <c r="D30" s="14">
        <v>110019450</v>
      </c>
      <c r="E30" s="14">
        <f t="shared" si="9"/>
        <v>507692565</v>
      </c>
      <c r="F30" s="14">
        <v>461723209</v>
      </c>
      <c r="G30" s="582">
        <f t="shared" si="10"/>
        <v>9.9560418674990186E-2</v>
      </c>
      <c r="H30" s="583">
        <f t="shared" si="1"/>
        <v>507692565</v>
      </c>
      <c r="I30" s="498">
        <v>4.47</v>
      </c>
      <c r="J30" s="482">
        <v>2199595</v>
      </c>
      <c r="K30" s="498">
        <v>6.23</v>
      </c>
      <c r="L30" s="482">
        <v>3066226</v>
      </c>
      <c r="M30" s="481">
        <v>0</v>
      </c>
      <c r="N30" s="481">
        <v>0</v>
      </c>
      <c r="O30" s="481">
        <v>0</v>
      </c>
      <c r="P30" s="482">
        <v>0</v>
      </c>
      <c r="Q30" s="77">
        <f t="shared" si="11"/>
        <v>5265821</v>
      </c>
      <c r="R30" s="481">
        <v>21.9</v>
      </c>
      <c r="S30" s="482">
        <v>10782228</v>
      </c>
      <c r="T30" s="481">
        <v>0</v>
      </c>
      <c r="U30" s="481">
        <v>0</v>
      </c>
      <c r="V30" s="481">
        <v>0</v>
      </c>
      <c r="W30" s="482">
        <v>0</v>
      </c>
      <c r="X30" s="14">
        <f t="shared" si="12"/>
        <v>10782228</v>
      </c>
      <c r="Y30" s="146">
        <f t="shared" si="13"/>
        <v>32.599999999999994</v>
      </c>
      <c r="Z30" s="14">
        <f t="shared" si="14"/>
        <v>16048049</v>
      </c>
      <c r="AA30" s="14">
        <f t="shared" si="15"/>
        <v>0</v>
      </c>
      <c r="AB30" s="147">
        <f t="shared" si="2"/>
        <v>21.24</v>
      </c>
      <c r="AC30" s="148">
        <f t="shared" si="3"/>
        <v>10.37</v>
      </c>
      <c r="AD30" s="128">
        <f t="shared" si="4"/>
        <v>31.61</v>
      </c>
      <c r="AE30" s="77">
        <f t="shared" si="16"/>
        <v>16048049</v>
      </c>
      <c r="AF30" s="157">
        <v>0.02</v>
      </c>
      <c r="AG30" s="278">
        <v>25199860</v>
      </c>
      <c r="AH30" s="278">
        <v>0</v>
      </c>
      <c r="AI30" s="492">
        <f t="shared" si="17"/>
        <v>25199860</v>
      </c>
      <c r="AJ30" s="77">
        <v>1253951400</v>
      </c>
      <c r="AK30" s="77">
        <f t="shared" si="20"/>
        <v>1259993000</v>
      </c>
      <c r="AL30" s="589">
        <f t="shared" si="18"/>
        <v>4.8180495671522839E-3</v>
      </c>
      <c r="AM30" s="592">
        <f t="shared" si="19"/>
        <v>1259993000</v>
      </c>
      <c r="AN30" s="130">
        <f t="shared" si="6"/>
        <v>0.02</v>
      </c>
      <c r="AO30" s="130">
        <f t="shared" si="7"/>
        <v>0</v>
      </c>
      <c r="AP30" s="77">
        <v>569331</v>
      </c>
      <c r="AQ30" s="77">
        <f t="shared" si="8"/>
        <v>41817240</v>
      </c>
      <c r="AR30" s="77">
        <f>ROUND(AQ30/'Table 3 Levels 1&amp;2'!C30,2)</f>
        <v>3148.89</v>
      </c>
    </row>
    <row r="31" spans="1:44">
      <c r="A31" s="12">
        <v>24</v>
      </c>
      <c r="B31" s="69" t="s">
        <v>125</v>
      </c>
      <c r="C31" s="14">
        <v>456799367</v>
      </c>
      <c r="D31" s="14">
        <v>44608819</v>
      </c>
      <c r="E31" s="14">
        <f t="shared" si="9"/>
        <v>412190548</v>
      </c>
      <c r="F31" s="14">
        <v>408809070</v>
      </c>
      <c r="G31" s="582">
        <f t="shared" si="10"/>
        <v>8.2715337015394491E-3</v>
      </c>
      <c r="H31" s="583">
        <f t="shared" si="1"/>
        <v>412190548</v>
      </c>
      <c r="I31" s="498">
        <v>3.49</v>
      </c>
      <c r="J31" s="482">
        <v>1412270</v>
      </c>
      <c r="K31" s="498">
        <v>53.17</v>
      </c>
      <c r="L31" s="482">
        <v>18389323</v>
      </c>
      <c r="M31" s="481">
        <v>0</v>
      </c>
      <c r="N31" s="481">
        <v>0</v>
      </c>
      <c r="O31" s="481">
        <v>0</v>
      </c>
      <c r="P31" s="482">
        <v>0</v>
      </c>
      <c r="Q31" s="77">
        <f t="shared" si="11"/>
        <v>19801593</v>
      </c>
      <c r="R31" s="481">
        <v>0</v>
      </c>
      <c r="S31" s="482">
        <v>3126458</v>
      </c>
      <c r="T31" s="481">
        <v>0</v>
      </c>
      <c r="U31" s="481">
        <v>0</v>
      </c>
      <c r="V31" s="481">
        <v>0</v>
      </c>
      <c r="W31" s="482">
        <v>0</v>
      </c>
      <c r="X31" s="14">
        <f t="shared" si="12"/>
        <v>3126458</v>
      </c>
      <c r="Y31" s="146">
        <f t="shared" si="13"/>
        <v>56.660000000000004</v>
      </c>
      <c r="Z31" s="14">
        <f t="shared" si="14"/>
        <v>22928051</v>
      </c>
      <c r="AA31" s="14">
        <f t="shared" si="15"/>
        <v>0</v>
      </c>
      <c r="AB31" s="147">
        <f t="shared" si="2"/>
        <v>7.58</v>
      </c>
      <c r="AC31" s="148">
        <f t="shared" si="3"/>
        <v>48.04</v>
      </c>
      <c r="AD31" s="128">
        <f t="shared" si="4"/>
        <v>55.62</v>
      </c>
      <c r="AE31" s="77">
        <f t="shared" si="16"/>
        <v>22928051</v>
      </c>
      <c r="AF31" s="157">
        <v>0.02</v>
      </c>
      <c r="AG31" s="278">
        <v>19259439</v>
      </c>
      <c r="AH31" s="278">
        <v>0</v>
      </c>
      <c r="AI31" s="492">
        <f t="shared" si="17"/>
        <v>19259439</v>
      </c>
      <c r="AJ31" s="77">
        <v>1014371300</v>
      </c>
      <c r="AK31" s="77">
        <f t="shared" si="20"/>
        <v>962971950</v>
      </c>
      <c r="AL31" s="589">
        <f t="shared" si="18"/>
        <v>-5.0671139847903821E-2</v>
      </c>
      <c r="AM31" s="592">
        <f t="shared" si="19"/>
        <v>962971950</v>
      </c>
      <c r="AN31" s="130">
        <f t="shared" si="6"/>
        <v>0.02</v>
      </c>
      <c r="AO31" s="130">
        <f t="shared" si="7"/>
        <v>0</v>
      </c>
      <c r="AP31" s="77">
        <v>142222</v>
      </c>
      <c r="AQ31" s="77">
        <f t="shared" si="8"/>
        <v>42329712</v>
      </c>
      <c r="AR31" s="77">
        <f>ROUND(AQ31/'Table 3 Levels 1&amp;2'!C31,2)</f>
        <v>9467.6200000000008</v>
      </c>
    </row>
    <row r="32" spans="1:44">
      <c r="A32" s="18">
        <v>25</v>
      </c>
      <c r="B32" s="70" t="s">
        <v>126</v>
      </c>
      <c r="C32" s="20">
        <v>224380110</v>
      </c>
      <c r="D32" s="20">
        <v>19154680</v>
      </c>
      <c r="E32" s="20">
        <f t="shared" si="9"/>
        <v>205225430</v>
      </c>
      <c r="F32" s="20">
        <v>187312980</v>
      </c>
      <c r="G32" s="756">
        <f t="shared" si="10"/>
        <v>9.5628450308142016E-2</v>
      </c>
      <c r="H32" s="757">
        <f t="shared" si="1"/>
        <v>205225430</v>
      </c>
      <c r="I32" s="499">
        <v>4.4000000000000004</v>
      </c>
      <c r="J32" s="484">
        <v>898905</v>
      </c>
      <c r="K32" s="499">
        <v>19.079999999999998</v>
      </c>
      <c r="L32" s="484">
        <v>3897980</v>
      </c>
      <c r="M32" s="483">
        <v>0</v>
      </c>
      <c r="N32" s="483">
        <v>0</v>
      </c>
      <c r="O32" s="483">
        <v>0</v>
      </c>
      <c r="P32" s="484">
        <v>0</v>
      </c>
      <c r="Q32" s="78">
        <f t="shared" si="11"/>
        <v>4796885</v>
      </c>
      <c r="R32" s="483">
        <v>0</v>
      </c>
      <c r="S32" s="484">
        <v>353187</v>
      </c>
      <c r="T32" s="483">
        <v>1</v>
      </c>
      <c r="U32" s="483">
        <v>10</v>
      </c>
      <c r="V32" s="483">
        <v>3</v>
      </c>
      <c r="W32" s="484">
        <v>0</v>
      </c>
      <c r="X32" s="20">
        <f t="shared" si="12"/>
        <v>353187</v>
      </c>
      <c r="Y32" s="149">
        <f t="shared" si="13"/>
        <v>23.479999999999997</v>
      </c>
      <c r="Z32" s="20">
        <f t="shared" si="14"/>
        <v>5150072</v>
      </c>
      <c r="AA32" s="20">
        <f t="shared" si="15"/>
        <v>0</v>
      </c>
      <c r="AB32" s="150">
        <f t="shared" si="2"/>
        <v>1.72</v>
      </c>
      <c r="AC32" s="151">
        <f t="shared" si="3"/>
        <v>23.37</v>
      </c>
      <c r="AD32" s="129">
        <f t="shared" si="4"/>
        <v>25.09</v>
      </c>
      <c r="AE32" s="78">
        <f t="shared" si="16"/>
        <v>5150072</v>
      </c>
      <c r="AF32" s="158">
        <v>0.03</v>
      </c>
      <c r="AG32" s="279">
        <v>6267649</v>
      </c>
      <c r="AH32" s="279">
        <v>0</v>
      </c>
      <c r="AI32" s="493">
        <f t="shared" si="17"/>
        <v>6267649</v>
      </c>
      <c r="AJ32" s="78">
        <v>319207633</v>
      </c>
      <c r="AK32" s="78">
        <f t="shared" si="20"/>
        <v>208921633</v>
      </c>
      <c r="AL32" s="590">
        <f t="shared" si="18"/>
        <v>-0.34549925690530087</v>
      </c>
      <c r="AM32" s="593">
        <f t="shared" si="19"/>
        <v>208921633</v>
      </c>
      <c r="AN32" s="131">
        <f t="shared" si="6"/>
        <v>3.0000000047864836E-2</v>
      </c>
      <c r="AO32" s="131">
        <f t="shared" si="7"/>
        <v>0</v>
      </c>
      <c r="AP32" s="78">
        <v>96687.5</v>
      </c>
      <c r="AQ32" s="78">
        <f t="shared" si="8"/>
        <v>11514408.5</v>
      </c>
      <c r="AR32" s="78">
        <f>ROUND(AQ32/'Table 3 Levels 1&amp;2'!C32,2)</f>
        <v>5172.6899999999996</v>
      </c>
    </row>
    <row r="33" spans="1:44" s="75" customFormat="1">
      <c r="A33" s="103">
        <v>26</v>
      </c>
      <c r="B33" s="160" t="s">
        <v>127</v>
      </c>
      <c r="C33" s="77">
        <v>4000207625</v>
      </c>
      <c r="D33" s="77">
        <v>765647430</v>
      </c>
      <c r="E33" s="14">
        <f t="shared" si="9"/>
        <v>3234560195</v>
      </c>
      <c r="F33" s="77">
        <v>3247863293</v>
      </c>
      <c r="G33" s="582">
        <f t="shared" si="10"/>
        <v>-4.0959538009717579E-3</v>
      </c>
      <c r="H33" s="583">
        <f t="shared" si="1"/>
        <v>3234560195</v>
      </c>
      <c r="I33" s="498">
        <v>2.91</v>
      </c>
      <c r="J33" s="482">
        <v>9327126</v>
      </c>
      <c r="K33" s="498">
        <v>20</v>
      </c>
      <c r="L33" s="482">
        <v>64080120</v>
      </c>
      <c r="M33" s="481">
        <v>0</v>
      </c>
      <c r="N33" s="481">
        <v>0</v>
      </c>
      <c r="O33" s="481">
        <v>0</v>
      </c>
      <c r="P33" s="482">
        <v>0</v>
      </c>
      <c r="Q33" s="77">
        <f t="shared" si="11"/>
        <v>73407246</v>
      </c>
      <c r="R33" s="481">
        <v>0</v>
      </c>
      <c r="S33" s="482">
        <v>0</v>
      </c>
      <c r="T33" s="481">
        <v>0</v>
      </c>
      <c r="U33" s="481">
        <v>0</v>
      </c>
      <c r="V33" s="481">
        <v>0</v>
      </c>
      <c r="W33" s="482">
        <v>0</v>
      </c>
      <c r="X33" s="77">
        <f t="shared" si="12"/>
        <v>0</v>
      </c>
      <c r="Y33" s="161">
        <f t="shared" si="13"/>
        <v>22.91</v>
      </c>
      <c r="Z33" s="77">
        <f t="shared" si="14"/>
        <v>73407246</v>
      </c>
      <c r="AA33" s="77">
        <f t="shared" si="15"/>
        <v>0</v>
      </c>
      <c r="AB33" s="162">
        <f t="shared" si="2"/>
        <v>0</v>
      </c>
      <c r="AC33" s="163">
        <f t="shared" si="3"/>
        <v>22.69</v>
      </c>
      <c r="AD33" s="128">
        <f t="shared" si="4"/>
        <v>22.69</v>
      </c>
      <c r="AE33" s="77">
        <f t="shared" si="16"/>
        <v>73407246</v>
      </c>
      <c r="AF33" s="157">
        <v>0.02</v>
      </c>
      <c r="AG33" s="278">
        <v>173459233</v>
      </c>
      <c r="AH33" s="278">
        <v>0</v>
      </c>
      <c r="AI33" s="492">
        <f t="shared" si="17"/>
        <v>173459233</v>
      </c>
      <c r="AJ33" s="77">
        <v>8066606400</v>
      </c>
      <c r="AK33" s="77">
        <f t="shared" si="20"/>
        <v>8672961650</v>
      </c>
      <c r="AL33" s="589">
        <f t="shared" si="18"/>
        <v>7.5168567788308105E-2</v>
      </c>
      <c r="AM33" s="592">
        <f t="shared" si="19"/>
        <v>8672961650</v>
      </c>
      <c r="AN33" s="130">
        <f t="shared" si="6"/>
        <v>0.02</v>
      </c>
      <c r="AO33" s="130">
        <f t="shared" si="7"/>
        <v>0</v>
      </c>
      <c r="AP33" s="77">
        <v>2185711</v>
      </c>
      <c r="AQ33" s="77">
        <f t="shared" si="8"/>
        <v>249052190</v>
      </c>
      <c r="AR33" s="77">
        <f>ROUND(AQ33/'Table 3 Levels 1&amp;2'!C33,2)</f>
        <v>5685.34</v>
      </c>
    </row>
    <row r="34" spans="1:44">
      <c r="A34" s="12">
        <v>27</v>
      </c>
      <c r="B34" s="69" t="s">
        <v>128</v>
      </c>
      <c r="C34" s="14">
        <v>220013777</v>
      </c>
      <c r="D34" s="14">
        <v>45857564</v>
      </c>
      <c r="E34" s="14">
        <f t="shared" si="9"/>
        <v>174156213</v>
      </c>
      <c r="F34" s="14">
        <v>160226248</v>
      </c>
      <c r="G34" s="582">
        <f t="shared" si="10"/>
        <v>8.6939344669669849E-2</v>
      </c>
      <c r="H34" s="583">
        <f t="shared" si="1"/>
        <v>174156213</v>
      </c>
      <c r="I34" s="498">
        <v>6.48</v>
      </c>
      <c r="J34" s="482">
        <v>1093461</v>
      </c>
      <c r="K34" s="498">
        <v>10.77</v>
      </c>
      <c r="L34" s="482">
        <v>1817368</v>
      </c>
      <c r="M34" s="481">
        <v>4.0199999999999996</v>
      </c>
      <c r="N34" s="481">
        <v>16.37</v>
      </c>
      <c r="O34" s="481">
        <v>7</v>
      </c>
      <c r="P34" s="482">
        <v>1969344</v>
      </c>
      <c r="Q34" s="77">
        <f t="shared" si="11"/>
        <v>4880173</v>
      </c>
      <c r="R34" s="481">
        <v>0</v>
      </c>
      <c r="S34" s="482">
        <v>0</v>
      </c>
      <c r="T34" s="481">
        <v>3.4</v>
      </c>
      <c r="U34" s="481">
        <v>17.649999999999999</v>
      </c>
      <c r="V34" s="481">
        <v>7</v>
      </c>
      <c r="W34" s="482">
        <v>1989819</v>
      </c>
      <c r="X34" s="14">
        <f t="shared" si="12"/>
        <v>1989819</v>
      </c>
      <c r="Y34" s="146">
        <f t="shared" si="13"/>
        <v>17.25</v>
      </c>
      <c r="Z34" s="14">
        <f t="shared" si="14"/>
        <v>2910829</v>
      </c>
      <c r="AA34" s="14">
        <f t="shared" si="15"/>
        <v>3959163</v>
      </c>
      <c r="AB34" s="147">
        <f t="shared" si="2"/>
        <v>11.43</v>
      </c>
      <c r="AC34" s="148">
        <f t="shared" si="3"/>
        <v>28.02</v>
      </c>
      <c r="AD34" s="128">
        <f t="shared" si="4"/>
        <v>39.450000000000003</v>
      </c>
      <c r="AE34" s="77">
        <f t="shared" si="16"/>
        <v>6869992</v>
      </c>
      <c r="AF34" s="157">
        <v>2.5000000000000001E-2</v>
      </c>
      <c r="AG34" s="278">
        <v>8649982</v>
      </c>
      <c r="AH34" s="278">
        <v>1311170</v>
      </c>
      <c r="AI34" s="492">
        <f t="shared" si="17"/>
        <v>9961152</v>
      </c>
      <c r="AJ34" s="77">
        <v>371130800</v>
      </c>
      <c r="AK34" s="77">
        <f t="shared" si="20"/>
        <v>398446080</v>
      </c>
      <c r="AL34" s="589">
        <f t="shared" si="18"/>
        <v>7.3600143130130941E-2</v>
      </c>
      <c r="AM34" s="592">
        <f t="shared" si="19"/>
        <v>398446080</v>
      </c>
      <c r="AN34" s="130">
        <f t="shared" si="6"/>
        <v>2.1709291254666127E-2</v>
      </c>
      <c r="AO34" s="130">
        <f t="shared" si="7"/>
        <v>3.290708745333873E-3</v>
      </c>
      <c r="AP34" s="77">
        <v>320663</v>
      </c>
      <c r="AQ34" s="77">
        <f t="shared" si="8"/>
        <v>17151807</v>
      </c>
      <c r="AR34" s="77">
        <f>ROUND(AQ34/'Table 3 Levels 1&amp;2'!C34,2)</f>
        <v>3056.27</v>
      </c>
    </row>
    <row r="35" spans="1:44">
      <c r="A35" s="12">
        <v>28</v>
      </c>
      <c r="B35" s="69" t="s">
        <v>129</v>
      </c>
      <c r="C35" s="14">
        <v>1975116139</v>
      </c>
      <c r="D35" s="14">
        <v>345680685</v>
      </c>
      <c r="E35" s="14">
        <f t="shared" si="9"/>
        <v>1629435454</v>
      </c>
      <c r="F35" s="14">
        <v>1580320241</v>
      </c>
      <c r="G35" s="582">
        <f t="shared" si="10"/>
        <v>3.1079278570095844E-2</v>
      </c>
      <c r="H35" s="583">
        <f t="shared" si="1"/>
        <v>1629435454</v>
      </c>
      <c r="I35" s="498">
        <v>4.59</v>
      </c>
      <c r="J35" s="482">
        <v>7171043</v>
      </c>
      <c r="K35" s="498">
        <v>28.97</v>
      </c>
      <c r="L35" s="482">
        <v>45247653</v>
      </c>
      <c r="M35" s="481">
        <v>0</v>
      </c>
      <c r="N35" s="481">
        <v>0</v>
      </c>
      <c r="O35" s="481">
        <v>0</v>
      </c>
      <c r="P35" s="482">
        <v>0</v>
      </c>
      <c r="Q35" s="77">
        <f t="shared" si="11"/>
        <v>52418696</v>
      </c>
      <c r="R35" s="481">
        <v>0</v>
      </c>
      <c r="S35" s="482">
        <v>0</v>
      </c>
      <c r="T35" s="481">
        <v>0</v>
      </c>
      <c r="U35" s="481">
        <v>0</v>
      </c>
      <c r="V35" s="481">
        <v>0</v>
      </c>
      <c r="W35" s="482">
        <v>0</v>
      </c>
      <c r="X35" s="14">
        <f t="shared" si="12"/>
        <v>0</v>
      </c>
      <c r="Y35" s="146">
        <f t="shared" si="13"/>
        <v>33.56</v>
      </c>
      <c r="Z35" s="14">
        <f t="shared" si="14"/>
        <v>52418696</v>
      </c>
      <c r="AA35" s="14">
        <f t="shared" si="15"/>
        <v>0</v>
      </c>
      <c r="AB35" s="147">
        <f t="shared" si="2"/>
        <v>0</v>
      </c>
      <c r="AC35" s="148">
        <f t="shared" si="3"/>
        <v>32.17</v>
      </c>
      <c r="AD35" s="128">
        <f t="shared" si="4"/>
        <v>32.17</v>
      </c>
      <c r="AE35" s="77">
        <f t="shared" si="16"/>
        <v>52418696</v>
      </c>
      <c r="AF35" s="157">
        <v>0.02</v>
      </c>
      <c r="AG35" s="278">
        <v>90621114</v>
      </c>
      <c r="AH35" s="278">
        <v>7475186</v>
      </c>
      <c r="AI35" s="492">
        <f t="shared" si="17"/>
        <v>98096300</v>
      </c>
      <c r="AJ35" s="77">
        <v>4537316300</v>
      </c>
      <c r="AK35" s="77">
        <f t="shared" si="20"/>
        <v>4904815000</v>
      </c>
      <c r="AL35" s="589">
        <f t="shared" si="18"/>
        <v>8.0994728095107674E-2</v>
      </c>
      <c r="AM35" s="592">
        <f t="shared" si="19"/>
        <v>4904815000</v>
      </c>
      <c r="AN35" s="130">
        <f t="shared" si="6"/>
        <v>1.8475949449673432E-2</v>
      </c>
      <c r="AO35" s="130">
        <f t="shared" si="7"/>
        <v>1.5240505503265668E-3</v>
      </c>
      <c r="AP35" s="77">
        <v>2128077.5</v>
      </c>
      <c r="AQ35" s="77">
        <f t="shared" si="8"/>
        <v>152643073.5</v>
      </c>
      <c r="AR35" s="77">
        <f>ROUND(AQ35/'Table 3 Levels 1&amp;2'!C35,2)</f>
        <v>5149.8999999999996</v>
      </c>
    </row>
    <row r="36" spans="1:44">
      <c r="A36" s="12">
        <v>29</v>
      </c>
      <c r="B36" s="69" t="s">
        <v>130</v>
      </c>
      <c r="C36" s="14">
        <v>900172690</v>
      </c>
      <c r="D36" s="14">
        <v>166191819</v>
      </c>
      <c r="E36" s="14">
        <f t="shared" si="9"/>
        <v>733980871</v>
      </c>
      <c r="F36" s="14">
        <v>649751986</v>
      </c>
      <c r="G36" s="584">
        <f t="shared" si="10"/>
        <v>0.12963236252424476</v>
      </c>
      <c r="H36" s="585">
        <f t="shared" si="1"/>
        <v>714727184.60000002</v>
      </c>
      <c r="I36" s="498">
        <v>3.63</v>
      </c>
      <c r="J36" s="482">
        <v>2569495</v>
      </c>
      <c r="K36" s="498">
        <v>22.47</v>
      </c>
      <c r="L36" s="482">
        <v>15905386</v>
      </c>
      <c r="M36" s="481">
        <v>0</v>
      </c>
      <c r="N36" s="481">
        <v>0</v>
      </c>
      <c r="O36" s="481">
        <v>0</v>
      </c>
      <c r="P36" s="482">
        <v>0</v>
      </c>
      <c r="Q36" s="77">
        <f t="shared" si="11"/>
        <v>18474881</v>
      </c>
      <c r="R36" s="481">
        <v>17.2</v>
      </c>
      <c r="S36" s="482">
        <v>12175017</v>
      </c>
      <c r="T36" s="481">
        <v>0</v>
      </c>
      <c r="U36" s="481">
        <v>0</v>
      </c>
      <c r="V36" s="481">
        <v>0</v>
      </c>
      <c r="W36" s="482">
        <v>0</v>
      </c>
      <c r="X36" s="14">
        <f t="shared" si="12"/>
        <v>12175017</v>
      </c>
      <c r="Y36" s="146">
        <f t="shared" si="13"/>
        <v>43.3</v>
      </c>
      <c r="Z36" s="14">
        <f t="shared" si="14"/>
        <v>30649898</v>
      </c>
      <c r="AA36" s="14">
        <f t="shared" si="15"/>
        <v>0</v>
      </c>
      <c r="AB36" s="147">
        <f t="shared" si="2"/>
        <v>16.59</v>
      </c>
      <c r="AC36" s="148">
        <f t="shared" si="3"/>
        <v>25.17</v>
      </c>
      <c r="AD36" s="128">
        <f t="shared" si="4"/>
        <v>41.76</v>
      </c>
      <c r="AE36" s="77">
        <f t="shared" si="16"/>
        <v>30649898</v>
      </c>
      <c r="AF36" s="157">
        <v>0.02</v>
      </c>
      <c r="AG36" s="278">
        <v>28758946</v>
      </c>
      <c r="AH36" s="278">
        <v>0</v>
      </c>
      <c r="AI36" s="492">
        <f t="shared" si="17"/>
        <v>28758946</v>
      </c>
      <c r="AJ36" s="77">
        <v>1268747050</v>
      </c>
      <c r="AK36" s="77">
        <f t="shared" si="20"/>
        <v>1437947300</v>
      </c>
      <c r="AL36" s="589">
        <f t="shared" si="18"/>
        <v>0.1333601130343515</v>
      </c>
      <c r="AM36" s="592">
        <f t="shared" si="19"/>
        <v>1437947300</v>
      </c>
      <c r="AN36" s="130">
        <f t="shared" si="6"/>
        <v>0.02</v>
      </c>
      <c r="AO36" s="130">
        <f t="shared" si="7"/>
        <v>0</v>
      </c>
      <c r="AP36" s="77">
        <v>922795.5</v>
      </c>
      <c r="AQ36" s="77">
        <f t="shared" si="8"/>
        <v>60331639.5</v>
      </c>
      <c r="AR36" s="77">
        <f>ROUND(AQ36/'Table 3 Levels 1&amp;2'!C36,2)</f>
        <v>4458.7700000000004</v>
      </c>
    </row>
    <row r="37" spans="1:44">
      <c r="A37" s="18">
        <v>30</v>
      </c>
      <c r="B37" s="70" t="s">
        <v>131</v>
      </c>
      <c r="C37" s="20">
        <v>82694010</v>
      </c>
      <c r="D37" s="20">
        <v>20245890</v>
      </c>
      <c r="E37" s="20">
        <f t="shared" si="9"/>
        <v>62448120</v>
      </c>
      <c r="F37" s="20">
        <v>62047223</v>
      </c>
      <c r="G37" s="756">
        <f t="shared" si="10"/>
        <v>6.4611594301327551E-3</v>
      </c>
      <c r="H37" s="757">
        <f t="shared" si="1"/>
        <v>62448120</v>
      </c>
      <c r="I37" s="499">
        <v>5.14</v>
      </c>
      <c r="J37" s="484">
        <v>308266</v>
      </c>
      <c r="K37" s="499">
        <v>44.96</v>
      </c>
      <c r="L37" s="484">
        <v>2696024</v>
      </c>
      <c r="M37" s="483">
        <v>0</v>
      </c>
      <c r="N37" s="483">
        <v>0</v>
      </c>
      <c r="O37" s="483">
        <v>0</v>
      </c>
      <c r="P37" s="484">
        <v>0</v>
      </c>
      <c r="Q37" s="78">
        <f t="shared" si="11"/>
        <v>3004290</v>
      </c>
      <c r="R37" s="483">
        <v>0</v>
      </c>
      <c r="S37" s="484">
        <v>0</v>
      </c>
      <c r="T37" s="483">
        <v>0</v>
      </c>
      <c r="U37" s="483">
        <v>0</v>
      </c>
      <c r="V37" s="483">
        <v>0</v>
      </c>
      <c r="W37" s="484">
        <v>0</v>
      </c>
      <c r="X37" s="20">
        <f t="shared" si="12"/>
        <v>0</v>
      </c>
      <c r="Y37" s="149">
        <f t="shared" si="13"/>
        <v>50.1</v>
      </c>
      <c r="Z37" s="20">
        <f t="shared" si="14"/>
        <v>3004290</v>
      </c>
      <c r="AA37" s="20">
        <f t="shared" si="15"/>
        <v>0</v>
      </c>
      <c r="AB37" s="150">
        <f t="shared" si="2"/>
        <v>0</v>
      </c>
      <c r="AC37" s="151">
        <f t="shared" si="3"/>
        <v>48.11</v>
      </c>
      <c r="AD37" s="129">
        <f t="shared" si="4"/>
        <v>48.11</v>
      </c>
      <c r="AE37" s="78">
        <f t="shared" si="16"/>
        <v>3004290</v>
      </c>
      <c r="AF37" s="158">
        <v>0.03</v>
      </c>
      <c r="AG37" s="279">
        <v>5747108</v>
      </c>
      <c r="AH37" s="279">
        <v>0</v>
      </c>
      <c r="AI37" s="493">
        <f t="shared" si="17"/>
        <v>5747108</v>
      </c>
      <c r="AJ37" s="78">
        <v>176259067</v>
      </c>
      <c r="AK37" s="78">
        <f t="shared" si="20"/>
        <v>191570267</v>
      </c>
      <c r="AL37" s="590">
        <f t="shared" si="18"/>
        <v>8.6867587923859832E-2</v>
      </c>
      <c r="AM37" s="593">
        <f t="shared" si="19"/>
        <v>191570267</v>
      </c>
      <c r="AN37" s="131">
        <f t="shared" si="6"/>
        <v>2.9999999947799831E-2</v>
      </c>
      <c r="AO37" s="131">
        <f t="shared" si="7"/>
        <v>0</v>
      </c>
      <c r="AP37" s="78">
        <v>79994</v>
      </c>
      <c r="AQ37" s="78">
        <f t="shared" si="8"/>
        <v>8831392</v>
      </c>
      <c r="AR37" s="78">
        <f>ROUND(AQ37/'Table 3 Levels 1&amp;2'!C37,2)</f>
        <v>3626.86</v>
      </c>
    </row>
    <row r="38" spans="1:44">
      <c r="A38" s="12">
        <v>31</v>
      </c>
      <c r="B38" s="69" t="s">
        <v>132</v>
      </c>
      <c r="C38" s="14">
        <v>410256843</v>
      </c>
      <c r="D38" s="14">
        <v>57011497</v>
      </c>
      <c r="E38" s="14">
        <f t="shared" si="9"/>
        <v>353245346</v>
      </c>
      <c r="F38" s="14">
        <v>352084053</v>
      </c>
      <c r="G38" s="582">
        <f t="shared" si="10"/>
        <v>3.2983402403630024E-3</v>
      </c>
      <c r="H38" s="583">
        <f t="shared" si="1"/>
        <v>353245346</v>
      </c>
      <c r="I38" s="498">
        <v>4.2300000000000004</v>
      </c>
      <c r="J38" s="482">
        <v>1479469</v>
      </c>
      <c r="K38" s="498">
        <v>28.62</v>
      </c>
      <c r="L38" s="482">
        <v>10044690</v>
      </c>
      <c r="M38" s="481">
        <v>4.9400000000000004</v>
      </c>
      <c r="N38" s="481">
        <v>11.85</v>
      </c>
      <c r="O38" s="481">
        <v>4</v>
      </c>
      <c r="P38" s="482">
        <v>976777</v>
      </c>
      <c r="Q38" s="77">
        <f t="shared" si="11"/>
        <v>12500936</v>
      </c>
      <c r="R38" s="481">
        <v>0</v>
      </c>
      <c r="S38" s="482">
        <v>0</v>
      </c>
      <c r="T38" s="481">
        <v>16.95</v>
      </c>
      <c r="U38" s="481">
        <v>40</v>
      </c>
      <c r="V38" s="481">
        <v>4</v>
      </c>
      <c r="W38" s="482">
        <v>3642994</v>
      </c>
      <c r="X38" s="14">
        <f t="shared" si="12"/>
        <v>3642994</v>
      </c>
      <c r="Y38" s="146">
        <f t="shared" si="13"/>
        <v>32.85</v>
      </c>
      <c r="Z38" s="14">
        <f t="shared" si="14"/>
        <v>11524159</v>
      </c>
      <c r="AA38" s="14">
        <f t="shared" si="15"/>
        <v>4619771</v>
      </c>
      <c r="AB38" s="147">
        <f t="shared" si="2"/>
        <v>10.31</v>
      </c>
      <c r="AC38" s="148">
        <f t="shared" si="3"/>
        <v>35.39</v>
      </c>
      <c r="AD38" s="128">
        <f t="shared" si="4"/>
        <v>45.7</v>
      </c>
      <c r="AE38" s="77">
        <f t="shared" si="16"/>
        <v>16143930</v>
      </c>
      <c r="AF38" s="157">
        <v>0.02</v>
      </c>
      <c r="AG38" s="278">
        <v>14503760</v>
      </c>
      <c r="AH38" s="278">
        <v>0</v>
      </c>
      <c r="AI38" s="492">
        <f t="shared" si="17"/>
        <v>14503760</v>
      </c>
      <c r="AJ38" s="77">
        <v>686893800</v>
      </c>
      <c r="AK38" s="77">
        <f t="shared" si="20"/>
        <v>725188000</v>
      </c>
      <c r="AL38" s="589">
        <f t="shared" si="18"/>
        <v>5.5749811688502647E-2</v>
      </c>
      <c r="AM38" s="592">
        <f t="shared" si="19"/>
        <v>725188000</v>
      </c>
      <c r="AN38" s="130">
        <f t="shared" si="6"/>
        <v>0.02</v>
      </c>
      <c r="AO38" s="130">
        <f t="shared" si="7"/>
        <v>0</v>
      </c>
      <c r="AP38" s="77">
        <v>293414</v>
      </c>
      <c r="AQ38" s="77">
        <f t="shared" si="8"/>
        <v>30941104</v>
      </c>
      <c r="AR38" s="77">
        <f>ROUND(AQ38/'Table 3 Levels 1&amp;2'!C38,2)</f>
        <v>4792.6099999999997</v>
      </c>
    </row>
    <row r="39" spans="1:44">
      <c r="A39" s="12">
        <v>32</v>
      </c>
      <c r="B39" s="69" t="s">
        <v>133</v>
      </c>
      <c r="C39" s="14">
        <v>630698590</v>
      </c>
      <c r="D39" s="14">
        <v>221782100</v>
      </c>
      <c r="E39" s="14">
        <f t="shared" si="9"/>
        <v>408916490</v>
      </c>
      <c r="F39" s="14">
        <v>385419320</v>
      </c>
      <c r="G39" s="582">
        <f t="shared" si="10"/>
        <v>6.0965210565988234E-2</v>
      </c>
      <c r="H39" s="583">
        <f t="shared" si="1"/>
        <v>408916490</v>
      </c>
      <c r="I39" s="498">
        <v>3.29</v>
      </c>
      <c r="J39" s="482">
        <v>1295722</v>
      </c>
      <c r="K39" s="498">
        <v>19.18</v>
      </c>
      <c r="L39" s="482">
        <v>7553703</v>
      </c>
      <c r="M39" s="481">
        <v>0</v>
      </c>
      <c r="N39" s="481">
        <v>0</v>
      </c>
      <c r="O39" s="481">
        <v>0</v>
      </c>
      <c r="P39" s="482">
        <v>0</v>
      </c>
      <c r="Q39" s="77">
        <f t="shared" si="11"/>
        <v>8849425</v>
      </c>
      <c r="R39" s="481">
        <v>0</v>
      </c>
      <c r="S39" s="482">
        <v>0</v>
      </c>
      <c r="T39" s="481">
        <v>11.41</v>
      </c>
      <c r="U39" s="481">
        <v>53.76</v>
      </c>
      <c r="V39" s="481">
        <v>10</v>
      </c>
      <c r="W39" s="482">
        <v>6423426</v>
      </c>
      <c r="X39" s="14">
        <f t="shared" si="12"/>
        <v>6423426</v>
      </c>
      <c r="Y39" s="146">
        <f t="shared" si="13"/>
        <v>22.47</v>
      </c>
      <c r="Z39" s="14">
        <f t="shared" si="14"/>
        <v>8849425</v>
      </c>
      <c r="AA39" s="14">
        <f t="shared" si="15"/>
        <v>6423426</v>
      </c>
      <c r="AB39" s="147">
        <f t="shared" si="2"/>
        <v>15.71</v>
      </c>
      <c r="AC39" s="148">
        <f t="shared" si="3"/>
        <v>21.64</v>
      </c>
      <c r="AD39" s="128">
        <f t="shared" si="4"/>
        <v>37.35</v>
      </c>
      <c r="AE39" s="77">
        <f t="shared" si="16"/>
        <v>15272851</v>
      </c>
      <c r="AF39" s="157">
        <v>2.5000000000000001E-2</v>
      </c>
      <c r="AG39" s="278">
        <v>29923494</v>
      </c>
      <c r="AH39" s="278">
        <v>956948</v>
      </c>
      <c r="AI39" s="496">
        <f>AG39+AH39+758118</f>
        <v>31638560</v>
      </c>
      <c r="AJ39" s="77">
        <v>1226652320</v>
      </c>
      <c r="AK39" s="77">
        <f t="shared" si="20"/>
        <v>1265542400</v>
      </c>
      <c r="AL39" s="589">
        <f t="shared" si="18"/>
        <v>3.1704240366985159E-2</v>
      </c>
      <c r="AM39" s="592">
        <f t="shared" si="19"/>
        <v>1265542400</v>
      </c>
      <c r="AN39" s="130">
        <f t="shared" si="6"/>
        <v>2.3644797677264705E-2</v>
      </c>
      <c r="AO39" s="130">
        <f t="shared" si="7"/>
        <v>7.5615641166981056E-4</v>
      </c>
      <c r="AP39" s="77">
        <v>925425.5</v>
      </c>
      <c r="AQ39" s="77">
        <f t="shared" si="8"/>
        <v>47836836.5</v>
      </c>
      <c r="AR39" s="77">
        <f>ROUND(AQ39/'Table 3 Levels 1&amp;2'!C39,2)</f>
        <v>1958.6</v>
      </c>
    </row>
    <row r="40" spans="1:44">
      <c r="A40" s="12">
        <v>33</v>
      </c>
      <c r="B40" s="69" t="s">
        <v>134</v>
      </c>
      <c r="C40" s="14">
        <v>113519401</v>
      </c>
      <c r="D40" s="14">
        <v>10176231</v>
      </c>
      <c r="E40" s="14">
        <f t="shared" si="9"/>
        <v>103343170</v>
      </c>
      <c r="F40" s="14">
        <v>91809269</v>
      </c>
      <c r="G40" s="584">
        <f t="shared" si="10"/>
        <v>0.12562893840272271</v>
      </c>
      <c r="H40" s="585">
        <f t="shared" ref="H40:H76" si="21">IF((E40-F40)/F40&gt;$H$5,F40*(1+$H$5),E40)</f>
        <v>100990195.90000001</v>
      </c>
      <c r="I40" s="498">
        <v>4.76</v>
      </c>
      <c r="J40" s="482">
        <v>474365</v>
      </c>
      <c r="K40" s="498">
        <v>5.27</v>
      </c>
      <c r="L40" s="482">
        <v>525188</v>
      </c>
      <c r="M40" s="481">
        <v>0</v>
      </c>
      <c r="N40" s="481">
        <v>0</v>
      </c>
      <c r="O40" s="481">
        <v>0</v>
      </c>
      <c r="P40" s="482">
        <v>0</v>
      </c>
      <c r="Q40" s="77">
        <f t="shared" si="11"/>
        <v>999553</v>
      </c>
      <c r="R40" s="481">
        <v>14.85</v>
      </c>
      <c r="S40" s="482">
        <v>1360286</v>
      </c>
      <c r="T40" s="481">
        <v>0</v>
      </c>
      <c r="U40" s="481">
        <v>0</v>
      </c>
      <c r="V40" s="481">
        <v>0</v>
      </c>
      <c r="W40" s="482">
        <v>0</v>
      </c>
      <c r="X40" s="14">
        <f t="shared" si="12"/>
        <v>1360286</v>
      </c>
      <c r="Y40" s="146">
        <f t="shared" si="13"/>
        <v>24.88</v>
      </c>
      <c r="Z40" s="14">
        <f t="shared" si="14"/>
        <v>2359839</v>
      </c>
      <c r="AA40" s="14">
        <f t="shared" si="15"/>
        <v>0</v>
      </c>
      <c r="AB40" s="147">
        <f t="shared" ref="AB40:AB71" si="22">ROUND((X40/E40)*1000,2)</f>
        <v>13.16</v>
      </c>
      <c r="AC40" s="148">
        <f t="shared" ref="AC40:AC71" si="23">ROUND((Q40/E40)*1000,2)</f>
        <v>9.67</v>
      </c>
      <c r="AD40" s="128">
        <f t="shared" ref="AD40:AD71" si="24">ROUND((AE40/E40)*1000,2)</f>
        <v>22.83</v>
      </c>
      <c r="AE40" s="77">
        <f t="shared" si="16"/>
        <v>2359839</v>
      </c>
      <c r="AF40" s="157">
        <v>2.5000000000000001E-2</v>
      </c>
      <c r="AG40" s="278">
        <v>1870465</v>
      </c>
      <c r="AH40" s="278">
        <v>1247467</v>
      </c>
      <c r="AI40" s="492">
        <f t="shared" si="17"/>
        <v>3117932</v>
      </c>
      <c r="AJ40" s="77">
        <v>155740760</v>
      </c>
      <c r="AK40" s="77">
        <f t="shared" si="20"/>
        <v>124717280</v>
      </c>
      <c r="AL40" s="589">
        <f t="shared" si="18"/>
        <v>-0.19919949022978956</v>
      </c>
      <c r="AM40" s="592">
        <f t="shared" si="19"/>
        <v>124717280</v>
      </c>
      <c r="AN40" s="130">
        <f t="shared" ref="AN40:AN76" si="25">AG40/AK40</f>
        <v>1.4997641064654392E-2</v>
      </c>
      <c r="AO40" s="130">
        <f t="shared" ref="AO40:AO76" si="26">AH40/AK40</f>
        <v>1.0002358935345608E-2</v>
      </c>
      <c r="AP40" s="77">
        <v>55775.5</v>
      </c>
      <c r="AQ40" s="77">
        <f t="shared" ref="AQ40:AQ71" si="27">AP40+AE40+AI40</f>
        <v>5533546.5</v>
      </c>
      <c r="AR40" s="77">
        <f>ROUND(AQ40/'Table 3 Levels 1&amp;2'!C40,2)</f>
        <v>2965.46</v>
      </c>
    </row>
    <row r="41" spans="1:44">
      <c r="A41" s="12">
        <v>34</v>
      </c>
      <c r="B41" s="69" t="s">
        <v>135</v>
      </c>
      <c r="C41" s="14">
        <v>188511210</v>
      </c>
      <c r="D41" s="14">
        <v>36764441</v>
      </c>
      <c r="E41" s="14">
        <f t="shared" si="9"/>
        <v>151746769</v>
      </c>
      <c r="F41" s="14">
        <v>150170027</v>
      </c>
      <c r="G41" s="582">
        <f t="shared" si="10"/>
        <v>1.0499711770045829E-2</v>
      </c>
      <c r="H41" s="583">
        <f t="shared" si="21"/>
        <v>151746769</v>
      </c>
      <c r="I41" s="498">
        <v>5.22</v>
      </c>
      <c r="J41" s="482">
        <v>776503</v>
      </c>
      <c r="K41" s="498">
        <v>22.46</v>
      </c>
      <c r="L41" s="482">
        <v>3341034</v>
      </c>
      <c r="M41" s="481">
        <v>5</v>
      </c>
      <c r="N41" s="481">
        <v>9.9499999999999993</v>
      </c>
      <c r="O41" s="481">
        <v>2</v>
      </c>
      <c r="P41" s="482">
        <v>447985</v>
      </c>
      <c r="Q41" s="77">
        <f t="shared" si="11"/>
        <v>4565522</v>
      </c>
      <c r="R41" s="481">
        <v>10</v>
      </c>
      <c r="S41" s="482">
        <v>1486683</v>
      </c>
      <c r="T41" s="481">
        <v>0</v>
      </c>
      <c r="U41" s="481">
        <v>0</v>
      </c>
      <c r="V41" s="481">
        <v>0</v>
      </c>
      <c r="W41" s="482">
        <v>0</v>
      </c>
      <c r="X41" s="14">
        <f t="shared" si="12"/>
        <v>1486683</v>
      </c>
      <c r="Y41" s="146">
        <f t="shared" si="13"/>
        <v>37.68</v>
      </c>
      <c r="Z41" s="14">
        <f t="shared" si="14"/>
        <v>5604220</v>
      </c>
      <c r="AA41" s="14">
        <f t="shared" si="15"/>
        <v>447985</v>
      </c>
      <c r="AB41" s="147">
        <f t="shared" si="22"/>
        <v>9.8000000000000007</v>
      </c>
      <c r="AC41" s="148">
        <f t="shared" si="23"/>
        <v>30.09</v>
      </c>
      <c r="AD41" s="128">
        <f t="shared" si="24"/>
        <v>39.880000000000003</v>
      </c>
      <c r="AE41" s="77">
        <f t="shared" si="16"/>
        <v>6052205</v>
      </c>
      <c r="AF41" s="157">
        <v>0.02</v>
      </c>
      <c r="AG41" s="278">
        <v>5791569</v>
      </c>
      <c r="AH41" s="278">
        <v>0</v>
      </c>
      <c r="AI41" s="492">
        <f t="shared" si="17"/>
        <v>5791569</v>
      </c>
      <c r="AJ41" s="77">
        <v>275430600</v>
      </c>
      <c r="AK41" s="77">
        <f t="shared" si="20"/>
        <v>289578450</v>
      </c>
      <c r="AL41" s="589">
        <f t="shared" si="18"/>
        <v>5.1366296990966148E-2</v>
      </c>
      <c r="AM41" s="592">
        <f t="shared" si="19"/>
        <v>289578450</v>
      </c>
      <c r="AN41" s="130">
        <f t="shared" si="25"/>
        <v>0.02</v>
      </c>
      <c r="AO41" s="130">
        <f t="shared" si="26"/>
        <v>0</v>
      </c>
      <c r="AP41" s="77">
        <v>258669</v>
      </c>
      <c r="AQ41" s="77">
        <f t="shared" si="27"/>
        <v>12102443</v>
      </c>
      <c r="AR41" s="77">
        <f>ROUND(AQ41/'Table 3 Levels 1&amp;2'!C41,2)</f>
        <v>2797.61</v>
      </c>
    </row>
    <row r="42" spans="1:44">
      <c r="A42" s="18">
        <v>35</v>
      </c>
      <c r="B42" s="70" t="s">
        <v>136</v>
      </c>
      <c r="C42" s="20">
        <v>275559590</v>
      </c>
      <c r="D42" s="20">
        <v>50986476</v>
      </c>
      <c r="E42" s="20">
        <f t="shared" si="9"/>
        <v>224573114</v>
      </c>
      <c r="F42" s="20">
        <v>207298824</v>
      </c>
      <c r="G42" s="756">
        <f t="shared" si="10"/>
        <v>8.3330381073459442E-2</v>
      </c>
      <c r="H42" s="757">
        <f t="shared" si="21"/>
        <v>224573114</v>
      </c>
      <c r="I42" s="499">
        <v>4.6500000000000004</v>
      </c>
      <c r="J42" s="484">
        <v>977967</v>
      </c>
      <c r="K42" s="499">
        <v>7</v>
      </c>
      <c r="L42" s="484">
        <v>1472209</v>
      </c>
      <c r="M42" s="483">
        <v>7</v>
      </c>
      <c r="N42" s="483">
        <v>20</v>
      </c>
      <c r="O42" s="483">
        <v>5</v>
      </c>
      <c r="P42" s="484">
        <v>1535432</v>
      </c>
      <c r="Q42" s="78">
        <f t="shared" si="11"/>
        <v>3985608</v>
      </c>
      <c r="R42" s="483">
        <v>0</v>
      </c>
      <c r="S42" s="484">
        <v>0</v>
      </c>
      <c r="T42" s="483">
        <v>11.5</v>
      </c>
      <c r="U42" s="483">
        <v>19</v>
      </c>
      <c r="V42" s="483">
        <v>3</v>
      </c>
      <c r="W42" s="484">
        <v>2779483</v>
      </c>
      <c r="X42" s="20">
        <f t="shared" si="12"/>
        <v>2779483</v>
      </c>
      <c r="Y42" s="149">
        <f t="shared" si="13"/>
        <v>11.65</v>
      </c>
      <c r="Z42" s="20">
        <f t="shared" si="14"/>
        <v>2450176</v>
      </c>
      <c r="AA42" s="20">
        <f t="shared" si="15"/>
        <v>4314915</v>
      </c>
      <c r="AB42" s="150">
        <f t="shared" si="22"/>
        <v>12.38</v>
      </c>
      <c r="AC42" s="151">
        <f t="shared" si="23"/>
        <v>17.75</v>
      </c>
      <c r="AD42" s="129">
        <f t="shared" si="24"/>
        <v>30.12</v>
      </c>
      <c r="AE42" s="78">
        <f t="shared" si="16"/>
        <v>6765091</v>
      </c>
      <c r="AF42" s="158">
        <v>0.02</v>
      </c>
      <c r="AG42" s="279">
        <v>13319148</v>
      </c>
      <c r="AH42" s="279">
        <v>0</v>
      </c>
      <c r="AI42" s="493">
        <f t="shared" si="17"/>
        <v>13319148</v>
      </c>
      <c r="AJ42" s="78">
        <v>549553800</v>
      </c>
      <c r="AK42" s="78">
        <f t="shared" si="20"/>
        <v>665957400</v>
      </c>
      <c r="AL42" s="754">
        <f t="shared" si="18"/>
        <v>0.21181474861969837</v>
      </c>
      <c r="AM42" s="755">
        <f t="shared" si="19"/>
        <v>631986870</v>
      </c>
      <c r="AN42" s="131">
        <f t="shared" si="25"/>
        <v>0.02</v>
      </c>
      <c r="AO42" s="131">
        <f t="shared" si="26"/>
        <v>0</v>
      </c>
      <c r="AP42" s="78">
        <v>928249</v>
      </c>
      <c r="AQ42" s="78">
        <f t="shared" si="27"/>
        <v>21012488</v>
      </c>
      <c r="AR42" s="78">
        <f>ROUND(AQ42/'Table 3 Levels 1&amp;2'!C42,2)</f>
        <v>3253.71</v>
      </c>
    </row>
    <row r="43" spans="1:44">
      <c r="A43" s="12">
        <v>36</v>
      </c>
      <c r="B43" s="69" t="s">
        <v>137</v>
      </c>
      <c r="C43" s="14">
        <v>3139338920</v>
      </c>
      <c r="D43" s="14">
        <v>372613310</v>
      </c>
      <c r="E43" s="14">
        <f t="shared" si="9"/>
        <v>2766725610</v>
      </c>
      <c r="F43" s="14">
        <v>2678381864</v>
      </c>
      <c r="G43" s="582">
        <f t="shared" si="10"/>
        <v>3.2983999476483908E-2</v>
      </c>
      <c r="H43" s="583">
        <f t="shared" si="21"/>
        <v>2766725610</v>
      </c>
      <c r="I43" s="498">
        <v>27.65</v>
      </c>
      <c r="J43" s="482">
        <v>69430182</v>
      </c>
      <c r="K43" s="498">
        <v>11.5</v>
      </c>
      <c r="L43" s="482">
        <v>28883960</v>
      </c>
      <c r="M43" s="481">
        <v>0</v>
      </c>
      <c r="N43" s="481">
        <v>0</v>
      </c>
      <c r="O43" s="481">
        <v>0</v>
      </c>
      <c r="P43" s="482">
        <v>0</v>
      </c>
      <c r="Q43" s="77">
        <f t="shared" si="11"/>
        <v>98314142</v>
      </c>
      <c r="R43" s="481">
        <v>4.97</v>
      </c>
      <c r="S43" s="482">
        <v>12479856</v>
      </c>
      <c r="T43" s="481">
        <v>0</v>
      </c>
      <c r="U43" s="481">
        <v>0</v>
      </c>
      <c r="V43" s="481">
        <v>0</v>
      </c>
      <c r="W43" s="482">
        <v>0</v>
      </c>
      <c r="X43" s="14">
        <f t="shared" si="12"/>
        <v>12479856</v>
      </c>
      <c r="Y43" s="146">
        <f t="shared" si="13"/>
        <v>44.12</v>
      </c>
      <c r="Z43" s="14">
        <f t="shared" si="14"/>
        <v>110793998</v>
      </c>
      <c r="AA43" s="14">
        <f t="shared" si="15"/>
        <v>0</v>
      </c>
      <c r="AB43" s="147">
        <f t="shared" si="22"/>
        <v>4.51</v>
      </c>
      <c r="AC43" s="148">
        <f t="shared" si="23"/>
        <v>35.53</v>
      </c>
      <c r="AD43" s="128">
        <f t="shared" si="24"/>
        <v>40.049999999999997</v>
      </c>
      <c r="AE43" s="77">
        <f t="shared" si="16"/>
        <v>110793998</v>
      </c>
      <c r="AF43" s="157">
        <v>1.4999999999999999E-2</v>
      </c>
      <c r="AG43" s="278">
        <v>81354970</v>
      </c>
      <c r="AH43" s="278">
        <v>13754646</v>
      </c>
      <c r="AI43" s="492">
        <f t="shared" si="17"/>
        <v>95109616</v>
      </c>
      <c r="AJ43" s="77">
        <v>5661283867</v>
      </c>
      <c r="AK43" s="77">
        <f t="shared" si="20"/>
        <v>6340641067</v>
      </c>
      <c r="AL43" s="589">
        <f t="shared" si="18"/>
        <v>0.12000055393088806</v>
      </c>
      <c r="AM43" s="592">
        <f t="shared" si="19"/>
        <v>6340641067</v>
      </c>
      <c r="AN43" s="130">
        <f t="shared" si="25"/>
        <v>1.2830716821902071E-2</v>
      </c>
      <c r="AO43" s="130">
        <f t="shared" si="26"/>
        <v>2.1692831773093648E-3</v>
      </c>
      <c r="AP43" s="77">
        <v>2777950</v>
      </c>
      <c r="AQ43" s="77">
        <f t="shared" si="27"/>
        <v>208681564</v>
      </c>
      <c r="AR43" s="77">
        <f>ROUND(AQ43/'Table 3 Levels 1&amp;2'!C43,2)</f>
        <v>4999.8</v>
      </c>
    </row>
    <row r="44" spans="1:44">
      <c r="A44" s="12">
        <v>37</v>
      </c>
      <c r="B44" s="69" t="s">
        <v>138</v>
      </c>
      <c r="C44" s="14">
        <v>692293753</v>
      </c>
      <c r="D44" s="14">
        <v>155456442</v>
      </c>
      <c r="E44" s="14">
        <f t="shared" si="9"/>
        <v>536837311</v>
      </c>
      <c r="F44" s="14">
        <v>508369806</v>
      </c>
      <c r="G44" s="582">
        <f t="shared" si="10"/>
        <v>5.5997631377816326E-2</v>
      </c>
      <c r="H44" s="583">
        <f t="shared" si="21"/>
        <v>536837311</v>
      </c>
      <c r="I44" s="498">
        <v>5.18</v>
      </c>
      <c r="J44" s="482">
        <v>2789174</v>
      </c>
      <c r="K44" s="498">
        <v>24.15</v>
      </c>
      <c r="L44" s="482">
        <v>12710226</v>
      </c>
      <c r="M44" s="481">
        <v>0</v>
      </c>
      <c r="N44" s="481">
        <v>0</v>
      </c>
      <c r="O44" s="481">
        <v>0</v>
      </c>
      <c r="P44" s="482">
        <v>0</v>
      </c>
      <c r="Q44" s="77">
        <f t="shared" si="11"/>
        <v>15499400</v>
      </c>
      <c r="R44" s="481">
        <v>0</v>
      </c>
      <c r="S44" s="482">
        <v>0</v>
      </c>
      <c r="T44" s="481">
        <v>30</v>
      </c>
      <c r="U44" s="481">
        <v>30</v>
      </c>
      <c r="V44" s="481">
        <v>2</v>
      </c>
      <c r="W44" s="482">
        <v>5774612</v>
      </c>
      <c r="X44" s="14">
        <f t="shared" si="12"/>
        <v>5774612</v>
      </c>
      <c r="Y44" s="146">
        <f t="shared" si="13"/>
        <v>29.33</v>
      </c>
      <c r="Z44" s="14">
        <f t="shared" si="14"/>
        <v>15499400</v>
      </c>
      <c r="AA44" s="14">
        <f t="shared" si="15"/>
        <v>5774612</v>
      </c>
      <c r="AB44" s="147">
        <f t="shared" si="22"/>
        <v>10.76</v>
      </c>
      <c r="AC44" s="148">
        <f t="shared" si="23"/>
        <v>28.87</v>
      </c>
      <c r="AD44" s="128">
        <f t="shared" si="24"/>
        <v>39.630000000000003</v>
      </c>
      <c r="AE44" s="77">
        <f t="shared" si="16"/>
        <v>21274012</v>
      </c>
      <c r="AF44" s="157">
        <v>0.03</v>
      </c>
      <c r="AG44" s="278">
        <v>28829436</v>
      </c>
      <c r="AH44" s="278">
        <v>8798059</v>
      </c>
      <c r="AI44" s="492">
        <f t="shared" si="17"/>
        <v>37627495</v>
      </c>
      <c r="AJ44" s="77">
        <v>1178523700</v>
      </c>
      <c r="AK44" s="77">
        <f t="shared" si="20"/>
        <v>1254249833</v>
      </c>
      <c r="AL44" s="589">
        <f t="shared" si="18"/>
        <v>6.4255078620820263E-2</v>
      </c>
      <c r="AM44" s="592">
        <f t="shared" si="19"/>
        <v>1254249833</v>
      </c>
      <c r="AN44" s="130">
        <f t="shared" si="25"/>
        <v>2.2985401505730158E-2</v>
      </c>
      <c r="AO44" s="130">
        <f t="shared" si="26"/>
        <v>7.0145985022427347E-3</v>
      </c>
      <c r="AP44" s="77">
        <v>836190.5</v>
      </c>
      <c r="AQ44" s="77">
        <f t="shared" si="27"/>
        <v>59737697.5</v>
      </c>
      <c r="AR44" s="77">
        <f>ROUND(AQ44/'Table 3 Levels 1&amp;2'!C44,2)</f>
        <v>3101.48</v>
      </c>
    </row>
    <row r="45" spans="1:44">
      <c r="A45" s="12">
        <v>38</v>
      </c>
      <c r="B45" s="69" t="s">
        <v>139</v>
      </c>
      <c r="C45" s="14">
        <v>931349139</v>
      </c>
      <c r="D45" s="14">
        <v>29588540</v>
      </c>
      <c r="E45" s="14">
        <f t="shared" si="9"/>
        <v>901760599</v>
      </c>
      <c r="F45" s="14">
        <v>915607189</v>
      </c>
      <c r="G45" s="582">
        <f t="shared" si="10"/>
        <v>-1.5122849805409294E-2</v>
      </c>
      <c r="H45" s="583">
        <f t="shared" si="21"/>
        <v>901760599</v>
      </c>
      <c r="I45" s="498">
        <v>6.03</v>
      </c>
      <c r="J45" s="482">
        <v>4958408</v>
      </c>
      <c r="K45" s="498">
        <v>18.38</v>
      </c>
      <c r="L45" s="482">
        <v>15113818</v>
      </c>
      <c r="M45" s="481">
        <v>0</v>
      </c>
      <c r="N45" s="481">
        <v>0</v>
      </c>
      <c r="O45" s="481">
        <v>0</v>
      </c>
      <c r="P45" s="482">
        <v>0</v>
      </c>
      <c r="Q45" s="77">
        <f t="shared" si="11"/>
        <v>20072226</v>
      </c>
      <c r="R45" s="481">
        <v>0</v>
      </c>
      <c r="S45" s="482">
        <v>0</v>
      </c>
      <c r="T45" s="481">
        <v>0</v>
      </c>
      <c r="U45" s="481">
        <v>0</v>
      </c>
      <c r="V45" s="481">
        <v>0</v>
      </c>
      <c r="W45" s="482">
        <v>0</v>
      </c>
      <c r="X45" s="14">
        <f t="shared" si="12"/>
        <v>0</v>
      </c>
      <c r="Y45" s="146">
        <f t="shared" si="13"/>
        <v>24.41</v>
      </c>
      <c r="Z45" s="14">
        <f t="shared" si="14"/>
        <v>20072226</v>
      </c>
      <c r="AA45" s="14">
        <f t="shared" si="15"/>
        <v>0</v>
      </c>
      <c r="AB45" s="147">
        <f t="shared" si="22"/>
        <v>0</v>
      </c>
      <c r="AC45" s="148">
        <f t="shared" si="23"/>
        <v>22.26</v>
      </c>
      <c r="AD45" s="128">
        <f t="shared" si="24"/>
        <v>22.26</v>
      </c>
      <c r="AE45" s="77">
        <f t="shared" si="16"/>
        <v>20072226</v>
      </c>
      <c r="AF45" s="157">
        <v>0.02</v>
      </c>
      <c r="AG45" s="278">
        <v>22912329</v>
      </c>
      <c r="AH45" s="278">
        <v>0</v>
      </c>
      <c r="AI45" s="492">
        <f t="shared" si="17"/>
        <v>22912329</v>
      </c>
      <c r="AJ45" s="77">
        <v>813038150</v>
      </c>
      <c r="AK45" s="77">
        <f t="shared" si="20"/>
        <v>1145616450</v>
      </c>
      <c r="AL45" s="591">
        <f t="shared" si="18"/>
        <v>0.40905620480416571</v>
      </c>
      <c r="AM45" s="594">
        <f t="shared" si="19"/>
        <v>934993872.49999988</v>
      </c>
      <c r="AN45" s="130">
        <f t="shared" si="25"/>
        <v>0.02</v>
      </c>
      <c r="AO45" s="130">
        <f t="shared" si="26"/>
        <v>0</v>
      </c>
      <c r="AP45" s="77">
        <v>114696.5</v>
      </c>
      <c r="AQ45" s="77">
        <f t="shared" si="27"/>
        <v>43099251.5</v>
      </c>
      <c r="AR45" s="77">
        <f>ROUND(AQ45/'Table 3 Levels 1&amp;2'!C45,2)</f>
        <v>11465.62</v>
      </c>
    </row>
    <row r="46" spans="1:44">
      <c r="A46" s="12">
        <v>39</v>
      </c>
      <c r="B46" s="69" t="s">
        <v>140</v>
      </c>
      <c r="C46" s="14">
        <v>378868615</v>
      </c>
      <c r="D46" s="14">
        <v>38660551</v>
      </c>
      <c r="E46" s="14">
        <f t="shared" si="9"/>
        <v>340208064</v>
      </c>
      <c r="F46" s="14">
        <v>317996861</v>
      </c>
      <c r="G46" s="582">
        <f t="shared" si="10"/>
        <v>6.9847239781401491E-2</v>
      </c>
      <c r="H46" s="583">
        <f t="shared" si="21"/>
        <v>340208064</v>
      </c>
      <c r="I46" s="498">
        <v>4.54</v>
      </c>
      <c r="J46" s="482">
        <v>1539015</v>
      </c>
      <c r="K46" s="498">
        <v>11.96</v>
      </c>
      <c r="L46" s="482">
        <v>4054282</v>
      </c>
      <c r="M46" s="481">
        <v>0</v>
      </c>
      <c r="N46" s="481">
        <v>0</v>
      </c>
      <c r="O46" s="481">
        <v>0</v>
      </c>
      <c r="P46" s="482">
        <v>0</v>
      </c>
      <c r="Q46" s="77">
        <f t="shared" si="11"/>
        <v>5593297</v>
      </c>
      <c r="R46" s="481">
        <v>0</v>
      </c>
      <c r="S46" s="482">
        <v>0</v>
      </c>
      <c r="T46" s="481">
        <v>0</v>
      </c>
      <c r="U46" s="481">
        <v>10</v>
      </c>
      <c r="V46" s="481">
        <v>1</v>
      </c>
      <c r="W46" s="482">
        <v>403822</v>
      </c>
      <c r="X46" s="14">
        <f t="shared" si="12"/>
        <v>403822</v>
      </c>
      <c r="Y46" s="146">
        <f t="shared" si="13"/>
        <v>16.5</v>
      </c>
      <c r="Z46" s="14">
        <f t="shared" si="14"/>
        <v>5593297</v>
      </c>
      <c r="AA46" s="14">
        <f t="shared" si="15"/>
        <v>403822</v>
      </c>
      <c r="AB46" s="147">
        <f t="shared" si="22"/>
        <v>1.19</v>
      </c>
      <c r="AC46" s="148">
        <f t="shared" si="23"/>
        <v>16.440000000000001</v>
      </c>
      <c r="AD46" s="128">
        <f t="shared" si="24"/>
        <v>17.63</v>
      </c>
      <c r="AE46" s="77">
        <f t="shared" si="16"/>
        <v>5997119</v>
      </c>
      <c r="AF46" s="157">
        <v>0.02</v>
      </c>
      <c r="AG46" s="278">
        <v>5769660</v>
      </c>
      <c r="AH46" s="278">
        <v>0</v>
      </c>
      <c r="AI46" s="492">
        <f t="shared" si="17"/>
        <v>5769660</v>
      </c>
      <c r="AJ46" s="77">
        <v>314480200</v>
      </c>
      <c r="AK46" s="77">
        <f t="shared" si="20"/>
        <v>288483000</v>
      </c>
      <c r="AL46" s="589">
        <f t="shared" si="18"/>
        <v>-8.266720766522026E-2</v>
      </c>
      <c r="AM46" s="592">
        <f t="shared" si="19"/>
        <v>288483000</v>
      </c>
      <c r="AN46" s="130">
        <f t="shared" si="25"/>
        <v>0.02</v>
      </c>
      <c r="AO46" s="130">
        <f t="shared" si="26"/>
        <v>0</v>
      </c>
      <c r="AP46" s="77">
        <v>160880</v>
      </c>
      <c r="AQ46" s="77">
        <f t="shared" si="27"/>
        <v>11927659</v>
      </c>
      <c r="AR46" s="77">
        <f>ROUND(AQ46/'Table 3 Levels 1&amp;2'!C46,2)</f>
        <v>4153.08</v>
      </c>
    </row>
    <row r="47" spans="1:44">
      <c r="A47" s="18">
        <v>40</v>
      </c>
      <c r="B47" s="70" t="s">
        <v>141</v>
      </c>
      <c r="C47" s="20">
        <v>800001230</v>
      </c>
      <c r="D47" s="20">
        <v>174606415</v>
      </c>
      <c r="E47" s="20">
        <f t="shared" si="9"/>
        <v>625394815</v>
      </c>
      <c r="F47" s="20">
        <v>611806621</v>
      </c>
      <c r="G47" s="756">
        <f t="shared" si="10"/>
        <v>2.2209949244730388E-2</v>
      </c>
      <c r="H47" s="757">
        <f t="shared" si="21"/>
        <v>625394815</v>
      </c>
      <c r="I47" s="499">
        <v>4.79</v>
      </c>
      <c r="J47" s="484">
        <v>2963191</v>
      </c>
      <c r="K47" s="499">
        <v>21.03</v>
      </c>
      <c r="L47" s="484">
        <v>13009848</v>
      </c>
      <c r="M47" s="483">
        <v>4.78</v>
      </c>
      <c r="N47" s="483">
        <v>24.15</v>
      </c>
      <c r="O47" s="483">
        <v>13</v>
      </c>
      <c r="P47" s="484">
        <v>6575831</v>
      </c>
      <c r="Q47" s="78">
        <f t="shared" si="11"/>
        <v>22548870</v>
      </c>
      <c r="R47" s="483">
        <v>0</v>
      </c>
      <c r="S47" s="484">
        <v>0</v>
      </c>
      <c r="T47" s="483">
        <v>1.5</v>
      </c>
      <c r="U47" s="483">
        <v>52</v>
      </c>
      <c r="V47" s="483">
        <v>13</v>
      </c>
      <c r="W47" s="484">
        <v>8575411</v>
      </c>
      <c r="X47" s="20">
        <f t="shared" si="12"/>
        <v>8575411</v>
      </c>
      <c r="Y47" s="149">
        <f t="shared" si="13"/>
        <v>25.82</v>
      </c>
      <c r="Z47" s="20">
        <f t="shared" si="14"/>
        <v>15973039</v>
      </c>
      <c r="AA47" s="20">
        <f t="shared" si="15"/>
        <v>15151242</v>
      </c>
      <c r="AB47" s="150">
        <f t="shared" si="22"/>
        <v>13.71</v>
      </c>
      <c r="AC47" s="151">
        <f t="shared" si="23"/>
        <v>36.06</v>
      </c>
      <c r="AD47" s="129">
        <f t="shared" si="24"/>
        <v>49.77</v>
      </c>
      <c r="AE47" s="78">
        <f t="shared" si="16"/>
        <v>31124281</v>
      </c>
      <c r="AF47" s="158">
        <v>1.4999999999999999E-2</v>
      </c>
      <c r="AG47" s="279">
        <v>34570017</v>
      </c>
      <c r="AH47" s="279">
        <v>0</v>
      </c>
      <c r="AI47" s="493">
        <f t="shared" si="17"/>
        <v>34570017</v>
      </c>
      <c r="AJ47" s="78">
        <v>2211453400</v>
      </c>
      <c r="AK47" s="78">
        <f t="shared" si="20"/>
        <v>2304667800</v>
      </c>
      <c r="AL47" s="590">
        <f t="shared" si="18"/>
        <v>4.2150741227466065E-2</v>
      </c>
      <c r="AM47" s="593">
        <f t="shared" si="19"/>
        <v>2304667800</v>
      </c>
      <c r="AN47" s="131">
        <f t="shared" si="25"/>
        <v>1.4999999999999999E-2</v>
      </c>
      <c r="AO47" s="131">
        <f t="shared" si="26"/>
        <v>0</v>
      </c>
      <c r="AP47" s="78">
        <v>1165125.5</v>
      </c>
      <c r="AQ47" s="78">
        <f t="shared" si="27"/>
        <v>66859423.5</v>
      </c>
      <c r="AR47" s="78">
        <f>ROUND(AQ47/'Table 3 Levels 1&amp;2'!C47,2)</f>
        <v>2908.32</v>
      </c>
    </row>
    <row r="48" spans="1:44">
      <c r="A48" s="12">
        <v>41</v>
      </c>
      <c r="B48" s="69" t="s">
        <v>142</v>
      </c>
      <c r="C48" s="14">
        <v>125101430</v>
      </c>
      <c r="D48" s="14">
        <v>10286920</v>
      </c>
      <c r="E48" s="14">
        <f t="shared" si="9"/>
        <v>114814510</v>
      </c>
      <c r="F48" s="14">
        <v>68136850</v>
      </c>
      <c r="G48" s="584">
        <f t="shared" si="10"/>
        <v>0.68505749825534934</v>
      </c>
      <c r="H48" s="585">
        <f t="shared" si="21"/>
        <v>74950535</v>
      </c>
      <c r="I48" s="498">
        <v>4.41</v>
      </c>
      <c r="J48" s="482">
        <v>506332</v>
      </c>
      <c r="K48" s="498">
        <v>35.36</v>
      </c>
      <c r="L48" s="482">
        <v>4059840</v>
      </c>
      <c r="M48" s="481">
        <v>0</v>
      </c>
      <c r="N48" s="481">
        <v>0</v>
      </c>
      <c r="O48" s="481">
        <v>0</v>
      </c>
      <c r="P48" s="482">
        <v>0</v>
      </c>
      <c r="Q48" s="77">
        <f t="shared" si="11"/>
        <v>4566172</v>
      </c>
      <c r="R48" s="481">
        <v>5.5</v>
      </c>
      <c r="S48" s="482">
        <v>631488</v>
      </c>
      <c r="T48" s="481">
        <v>0</v>
      </c>
      <c r="U48" s="481">
        <v>0</v>
      </c>
      <c r="V48" s="481">
        <v>0</v>
      </c>
      <c r="W48" s="482">
        <v>0</v>
      </c>
      <c r="X48" s="14">
        <f t="shared" si="12"/>
        <v>631488</v>
      </c>
      <c r="Y48" s="146">
        <f t="shared" si="13"/>
        <v>45.269999999999996</v>
      </c>
      <c r="Z48" s="14">
        <f t="shared" si="14"/>
        <v>5197660</v>
      </c>
      <c r="AA48" s="14">
        <f t="shared" si="15"/>
        <v>0</v>
      </c>
      <c r="AB48" s="147">
        <f t="shared" si="22"/>
        <v>5.5</v>
      </c>
      <c r="AC48" s="148">
        <f t="shared" si="23"/>
        <v>39.770000000000003</v>
      </c>
      <c r="AD48" s="128">
        <f t="shared" si="24"/>
        <v>45.27</v>
      </c>
      <c r="AE48" s="77">
        <f t="shared" si="16"/>
        <v>5197660</v>
      </c>
      <c r="AF48" s="157">
        <v>0.02</v>
      </c>
      <c r="AG48" s="278">
        <v>19320204</v>
      </c>
      <c r="AH48" s="278">
        <v>0</v>
      </c>
      <c r="AI48" s="492">
        <f t="shared" si="17"/>
        <v>19320204</v>
      </c>
      <c r="AJ48" s="77">
        <v>827530000</v>
      </c>
      <c r="AK48" s="77">
        <f t="shared" si="20"/>
        <v>966010200</v>
      </c>
      <c r="AL48" s="591">
        <f t="shared" si="18"/>
        <v>0.16734160695080541</v>
      </c>
      <c r="AM48" s="594">
        <f t="shared" si="19"/>
        <v>951659499.99999988</v>
      </c>
      <c r="AN48" s="130">
        <f t="shared" si="25"/>
        <v>0.02</v>
      </c>
      <c r="AO48" s="130">
        <f t="shared" si="26"/>
        <v>0</v>
      </c>
      <c r="AP48" s="77">
        <v>67015</v>
      </c>
      <c r="AQ48" s="77">
        <f t="shared" si="27"/>
        <v>24584879</v>
      </c>
      <c r="AR48" s="77">
        <f>ROUND(AQ48/'Table 3 Levels 1&amp;2'!C48,2)</f>
        <v>17510.599999999999</v>
      </c>
    </row>
    <row r="49" spans="1:44">
      <c r="A49" s="12">
        <v>42</v>
      </c>
      <c r="B49" s="69" t="s">
        <v>143</v>
      </c>
      <c r="C49" s="14">
        <v>176336190</v>
      </c>
      <c r="D49" s="14">
        <v>27521756</v>
      </c>
      <c r="E49" s="14">
        <f t="shared" si="9"/>
        <v>148814434</v>
      </c>
      <c r="F49" s="14">
        <v>128503287</v>
      </c>
      <c r="G49" s="584">
        <f t="shared" si="10"/>
        <v>0.15805935765674228</v>
      </c>
      <c r="H49" s="585">
        <f t="shared" si="21"/>
        <v>141353615.70000002</v>
      </c>
      <c r="I49" s="498">
        <v>8.1</v>
      </c>
      <c r="J49" s="482">
        <v>1200059</v>
      </c>
      <c r="K49" s="498">
        <v>8</v>
      </c>
      <c r="L49" s="482">
        <v>1185237</v>
      </c>
      <c r="M49" s="481">
        <v>0</v>
      </c>
      <c r="N49" s="481">
        <v>0</v>
      </c>
      <c r="O49" s="481">
        <v>4</v>
      </c>
      <c r="P49" s="482">
        <v>0</v>
      </c>
      <c r="Q49" s="77">
        <f t="shared" si="11"/>
        <v>2385296</v>
      </c>
      <c r="R49" s="481">
        <v>0</v>
      </c>
      <c r="S49" s="482">
        <v>0</v>
      </c>
      <c r="T49" s="481">
        <v>10</v>
      </c>
      <c r="U49" s="481">
        <v>20</v>
      </c>
      <c r="V49" s="481">
        <v>4</v>
      </c>
      <c r="W49" s="482">
        <v>1977807</v>
      </c>
      <c r="X49" s="14">
        <f t="shared" si="12"/>
        <v>1977807</v>
      </c>
      <c r="Y49" s="146">
        <f t="shared" si="13"/>
        <v>16.100000000000001</v>
      </c>
      <c r="Z49" s="14">
        <f t="shared" si="14"/>
        <v>2385296</v>
      </c>
      <c r="AA49" s="14">
        <f t="shared" si="15"/>
        <v>1977807</v>
      </c>
      <c r="AB49" s="147">
        <f t="shared" si="22"/>
        <v>13.29</v>
      </c>
      <c r="AC49" s="148">
        <f t="shared" si="23"/>
        <v>16.03</v>
      </c>
      <c r="AD49" s="128">
        <f t="shared" si="24"/>
        <v>29.32</v>
      </c>
      <c r="AE49" s="77">
        <f t="shared" si="16"/>
        <v>4363103</v>
      </c>
      <c r="AF49" s="157">
        <v>0.02</v>
      </c>
      <c r="AG49" s="278">
        <v>5866645</v>
      </c>
      <c r="AH49" s="278">
        <v>0</v>
      </c>
      <c r="AI49" s="492">
        <f t="shared" si="17"/>
        <v>5866645</v>
      </c>
      <c r="AJ49" s="77">
        <v>380443600</v>
      </c>
      <c r="AK49" s="77">
        <f t="shared" si="20"/>
        <v>293332250</v>
      </c>
      <c r="AL49" s="589">
        <f t="shared" si="18"/>
        <v>-0.22897309877206504</v>
      </c>
      <c r="AM49" s="592">
        <f t="shared" si="19"/>
        <v>293332250</v>
      </c>
      <c r="AN49" s="130">
        <f t="shared" si="25"/>
        <v>0.02</v>
      </c>
      <c r="AO49" s="130">
        <f t="shared" si="26"/>
        <v>0</v>
      </c>
      <c r="AP49" s="77">
        <v>226071.5</v>
      </c>
      <c r="AQ49" s="77">
        <f t="shared" si="27"/>
        <v>10455819.5</v>
      </c>
      <c r="AR49" s="77">
        <f>ROUND(AQ49/'Table 3 Levels 1&amp;2'!C49,2)</f>
        <v>3043.91</v>
      </c>
    </row>
    <row r="50" spans="1:44">
      <c r="A50" s="12">
        <v>43</v>
      </c>
      <c r="B50" s="69" t="s">
        <v>144</v>
      </c>
      <c r="C50" s="14">
        <v>135664715</v>
      </c>
      <c r="D50" s="14">
        <v>32259494</v>
      </c>
      <c r="E50" s="14">
        <f t="shared" si="9"/>
        <v>103405221</v>
      </c>
      <c r="F50" s="14">
        <v>93653717</v>
      </c>
      <c r="G50" s="584">
        <f t="shared" si="10"/>
        <v>0.1041229789096358</v>
      </c>
      <c r="H50" s="585">
        <f t="shared" si="21"/>
        <v>103019088.7</v>
      </c>
      <c r="I50" s="498">
        <v>4.8</v>
      </c>
      <c r="J50" s="482">
        <v>494807</v>
      </c>
      <c r="K50" s="498">
        <v>8.1</v>
      </c>
      <c r="L50" s="482">
        <v>828344</v>
      </c>
      <c r="M50" s="481">
        <v>6.63</v>
      </c>
      <c r="N50" s="481">
        <v>11.24</v>
      </c>
      <c r="O50" s="481">
        <v>7</v>
      </c>
      <c r="P50" s="482">
        <v>848573</v>
      </c>
      <c r="Q50" s="77">
        <f t="shared" si="11"/>
        <v>2171724</v>
      </c>
      <c r="R50" s="481">
        <v>0</v>
      </c>
      <c r="S50" s="482">
        <v>0</v>
      </c>
      <c r="T50" s="481">
        <v>10.4</v>
      </c>
      <c r="U50" s="481">
        <v>31.7</v>
      </c>
      <c r="V50" s="481">
        <v>7</v>
      </c>
      <c r="W50" s="482">
        <v>1548724</v>
      </c>
      <c r="X50" s="14">
        <f t="shared" si="12"/>
        <v>1548724</v>
      </c>
      <c r="Y50" s="146">
        <f t="shared" si="13"/>
        <v>12.899999999999999</v>
      </c>
      <c r="Z50" s="14">
        <f t="shared" si="14"/>
        <v>1323151</v>
      </c>
      <c r="AA50" s="14">
        <f t="shared" si="15"/>
        <v>2397297</v>
      </c>
      <c r="AB50" s="147">
        <f t="shared" si="22"/>
        <v>14.98</v>
      </c>
      <c r="AC50" s="148">
        <f t="shared" si="23"/>
        <v>21</v>
      </c>
      <c r="AD50" s="128">
        <f t="shared" si="24"/>
        <v>35.979999999999997</v>
      </c>
      <c r="AE50" s="77">
        <f t="shared" si="16"/>
        <v>3720448</v>
      </c>
      <c r="AF50" s="157">
        <v>2.5000000000000001E-2</v>
      </c>
      <c r="AG50" s="278">
        <v>16594305</v>
      </c>
      <c r="AH50" s="278">
        <v>984937</v>
      </c>
      <c r="AI50" s="492">
        <f t="shared" si="17"/>
        <v>17579242</v>
      </c>
      <c r="AJ50" s="77">
        <v>375716720</v>
      </c>
      <c r="AK50" s="77">
        <f t="shared" si="20"/>
        <v>703169680</v>
      </c>
      <c r="AL50" s="591">
        <f t="shared" si="18"/>
        <v>0.87154215548352498</v>
      </c>
      <c r="AM50" s="594">
        <f t="shared" si="19"/>
        <v>432074227.99999994</v>
      </c>
      <c r="AN50" s="130">
        <f t="shared" si="25"/>
        <v>2.3599289719090276E-2</v>
      </c>
      <c r="AO50" s="130">
        <f t="shared" si="26"/>
        <v>1.4007102809097229E-3</v>
      </c>
      <c r="AP50" s="77">
        <v>151429</v>
      </c>
      <c r="AQ50" s="77">
        <f t="shared" si="27"/>
        <v>21451119</v>
      </c>
      <c r="AR50" s="77">
        <f>ROUND(AQ50/'Table 3 Levels 1&amp;2'!C50,2)</f>
        <v>5381.62</v>
      </c>
    </row>
    <row r="51" spans="1:44">
      <c r="A51" s="12">
        <v>44</v>
      </c>
      <c r="B51" s="69" t="s">
        <v>145</v>
      </c>
      <c r="C51" s="14">
        <v>348191179</v>
      </c>
      <c r="D51" s="14">
        <v>55273736</v>
      </c>
      <c r="E51" s="14">
        <f t="shared" si="9"/>
        <v>292917443</v>
      </c>
      <c r="F51" s="14">
        <v>287782321</v>
      </c>
      <c r="G51" s="582">
        <f t="shared" si="10"/>
        <v>1.7843771577615429E-2</v>
      </c>
      <c r="H51" s="583">
        <f t="shared" si="21"/>
        <v>292917443</v>
      </c>
      <c r="I51" s="498">
        <v>3.75</v>
      </c>
      <c r="J51" s="482">
        <v>1067506</v>
      </c>
      <c r="K51" s="498">
        <v>31.25</v>
      </c>
      <c r="L51" s="482">
        <v>8895886</v>
      </c>
      <c r="M51" s="481">
        <v>0</v>
      </c>
      <c r="N51" s="481">
        <v>0</v>
      </c>
      <c r="O51" s="481">
        <v>0</v>
      </c>
      <c r="P51" s="482">
        <v>0</v>
      </c>
      <c r="Q51" s="77">
        <f t="shared" si="11"/>
        <v>9963392</v>
      </c>
      <c r="R51" s="481">
        <v>10</v>
      </c>
      <c r="S51" s="482">
        <v>2846721</v>
      </c>
      <c r="T51" s="481">
        <v>0</v>
      </c>
      <c r="U51" s="481">
        <v>0</v>
      </c>
      <c r="V51" s="481">
        <v>0</v>
      </c>
      <c r="W51" s="482">
        <v>0</v>
      </c>
      <c r="X51" s="14">
        <f t="shared" si="12"/>
        <v>2846721</v>
      </c>
      <c r="Y51" s="146">
        <f t="shared" si="13"/>
        <v>45</v>
      </c>
      <c r="Z51" s="14">
        <f t="shared" si="14"/>
        <v>12810113</v>
      </c>
      <c r="AA51" s="14">
        <f t="shared" si="15"/>
        <v>0</v>
      </c>
      <c r="AB51" s="147">
        <f t="shared" si="22"/>
        <v>9.7200000000000006</v>
      </c>
      <c r="AC51" s="148">
        <f t="shared" si="23"/>
        <v>34.01</v>
      </c>
      <c r="AD51" s="128">
        <f t="shared" si="24"/>
        <v>43.73</v>
      </c>
      <c r="AE51" s="77">
        <f t="shared" si="16"/>
        <v>12810113</v>
      </c>
      <c r="AF51" s="157">
        <v>0.02</v>
      </c>
      <c r="AG51" s="278">
        <v>18503059</v>
      </c>
      <c r="AH51" s="278">
        <v>0</v>
      </c>
      <c r="AI51" s="492">
        <f t="shared" si="17"/>
        <v>18503059</v>
      </c>
      <c r="AJ51" s="77">
        <v>729141550</v>
      </c>
      <c r="AK51" s="77">
        <f t="shared" si="20"/>
        <v>925152950</v>
      </c>
      <c r="AL51" s="591">
        <f t="shared" si="18"/>
        <v>0.26882489415121108</v>
      </c>
      <c r="AM51" s="594">
        <f t="shared" si="19"/>
        <v>838512782.49999988</v>
      </c>
      <c r="AN51" s="130">
        <f t="shared" si="25"/>
        <v>0.02</v>
      </c>
      <c r="AO51" s="130">
        <f t="shared" si="26"/>
        <v>0</v>
      </c>
      <c r="AP51" s="77">
        <v>26659</v>
      </c>
      <c r="AQ51" s="77">
        <f t="shared" si="27"/>
        <v>31339831</v>
      </c>
      <c r="AR51" s="77">
        <f>ROUND(AQ51/'Table 3 Levels 1&amp;2'!C51,2)</f>
        <v>5351.75</v>
      </c>
    </row>
    <row r="52" spans="1:44">
      <c r="A52" s="18">
        <v>45</v>
      </c>
      <c r="B52" s="70" t="s">
        <v>146</v>
      </c>
      <c r="C52" s="20">
        <v>1118897563</v>
      </c>
      <c r="D52" s="20">
        <v>99064440</v>
      </c>
      <c r="E52" s="20">
        <f t="shared" si="9"/>
        <v>1019833123</v>
      </c>
      <c r="F52" s="20">
        <v>1053008255</v>
      </c>
      <c r="G52" s="756">
        <f t="shared" si="10"/>
        <v>-3.150510154357717E-2</v>
      </c>
      <c r="H52" s="757">
        <f t="shared" si="21"/>
        <v>1019833123</v>
      </c>
      <c r="I52" s="499">
        <v>4.0999999999999996</v>
      </c>
      <c r="J52" s="484">
        <v>4171382</v>
      </c>
      <c r="K52" s="499">
        <v>46.41</v>
      </c>
      <c r="L52" s="484">
        <v>46046211</v>
      </c>
      <c r="M52" s="483">
        <v>0</v>
      </c>
      <c r="N52" s="483">
        <v>0</v>
      </c>
      <c r="O52" s="483">
        <v>0</v>
      </c>
      <c r="P52" s="484">
        <v>0</v>
      </c>
      <c r="Q52" s="78">
        <f t="shared" si="11"/>
        <v>50217593</v>
      </c>
      <c r="R52" s="483">
        <v>5.86</v>
      </c>
      <c r="S52" s="484">
        <v>5962163</v>
      </c>
      <c r="T52" s="483">
        <v>0</v>
      </c>
      <c r="U52" s="483">
        <v>0</v>
      </c>
      <c r="V52" s="483">
        <v>0</v>
      </c>
      <c r="W52" s="484">
        <v>0</v>
      </c>
      <c r="X52" s="20">
        <f t="shared" si="12"/>
        <v>5962163</v>
      </c>
      <c r="Y52" s="149">
        <f t="shared" si="13"/>
        <v>56.37</v>
      </c>
      <c r="Z52" s="20">
        <f t="shared" si="14"/>
        <v>56179756</v>
      </c>
      <c r="AA52" s="20">
        <f t="shared" si="15"/>
        <v>0</v>
      </c>
      <c r="AB52" s="150">
        <f t="shared" si="22"/>
        <v>5.85</v>
      </c>
      <c r="AC52" s="151">
        <f t="shared" si="23"/>
        <v>49.24</v>
      </c>
      <c r="AD52" s="129">
        <f t="shared" si="24"/>
        <v>55.09</v>
      </c>
      <c r="AE52" s="78">
        <f t="shared" si="16"/>
        <v>56179756</v>
      </c>
      <c r="AF52" s="158">
        <v>0.03</v>
      </c>
      <c r="AG52" s="279">
        <v>44733552</v>
      </c>
      <c r="AH52" s="279">
        <v>1040687</v>
      </c>
      <c r="AI52" s="493">
        <f t="shared" si="17"/>
        <v>45774239</v>
      </c>
      <c r="AJ52" s="78">
        <v>1437517967</v>
      </c>
      <c r="AK52" s="78">
        <f t="shared" ref="AK52:AK76" si="28">ROUND(AI52/AF52,0)</f>
        <v>1525807967</v>
      </c>
      <c r="AL52" s="590">
        <f t="shared" si="18"/>
        <v>6.141836278001804E-2</v>
      </c>
      <c r="AM52" s="593">
        <f t="shared" si="19"/>
        <v>1525807967</v>
      </c>
      <c r="AN52" s="131">
        <f t="shared" si="25"/>
        <v>2.931794365181736E-2</v>
      </c>
      <c r="AO52" s="131">
        <f t="shared" si="26"/>
        <v>6.8205634162873659E-4</v>
      </c>
      <c r="AP52" s="78">
        <v>280719</v>
      </c>
      <c r="AQ52" s="78">
        <f t="shared" si="27"/>
        <v>102234714</v>
      </c>
      <c r="AR52" s="78">
        <f>ROUND(AQ52/'Table 3 Levels 1&amp;2'!C52,2)</f>
        <v>10861.01</v>
      </c>
    </row>
    <row r="53" spans="1:44" s="75" customFormat="1">
      <c r="A53" s="103">
        <v>46</v>
      </c>
      <c r="B53" s="160" t="s">
        <v>147</v>
      </c>
      <c r="C53" s="77">
        <v>57256290</v>
      </c>
      <c r="D53" s="77">
        <v>16810750</v>
      </c>
      <c r="E53" s="77">
        <f t="shared" si="9"/>
        <v>40445540</v>
      </c>
      <c r="F53" s="77">
        <v>40693470</v>
      </c>
      <c r="G53" s="582">
        <f t="shared" si="10"/>
        <v>-6.0926237059656012E-3</v>
      </c>
      <c r="H53" s="583">
        <f t="shared" si="21"/>
        <v>40445540</v>
      </c>
      <c r="I53" s="500">
        <v>3.38</v>
      </c>
      <c r="J53" s="486">
        <v>136501</v>
      </c>
      <c r="K53" s="500">
        <v>14.48</v>
      </c>
      <c r="L53" s="486">
        <v>584774</v>
      </c>
      <c r="M53" s="485">
        <v>0</v>
      </c>
      <c r="N53" s="485">
        <v>0</v>
      </c>
      <c r="O53" s="485">
        <v>6</v>
      </c>
      <c r="P53" s="486">
        <v>0</v>
      </c>
      <c r="Q53" s="77">
        <f t="shared" si="11"/>
        <v>721275</v>
      </c>
      <c r="R53" s="485">
        <v>0</v>
      </c>
      <c r="S53" s="486">
        <v>0</v>
      </c>
      <c r="T53" s="485">
        <v>0</v>
      </c>
      <c r="U53" s="485">
        <v>0</v>
      </c>
      <c r="V53" s="485">
        <v>6</v>
      </c>
      <c r="W53" s="486">
        <v>0</v>
      </c>
      <c r="X53" s="77">
        <f t="shared" si="12"/>
        <v>0</v>
      </c>
      <c r="Y53" s="161">
        <f t="shared" si="13"/>
        <v>17.86</v>
      </c>
      <c r="Z53" s="77">
        <f t="shared" si="14"/>
        <v>721275</v>
      </c>
      <c r="AA53" s="77">
        <f t="shared" si="15"/>
        <v>0</v>
      </c>
      <c r="AB53" s="162">
        <f t="shared" si="22"/>
        <v>0</v>
      </c>
      <c r="AC53" s="163">
        <f t="shared" si="23"/>
        <v>17.829999999999998</v>
      </c>
      <c r="AD53" s="128">
        <f t="shared" si="24"/>
        <v>17.829999999999998</v>
      </c>
      <c r="AE53" s="77">
        <f t="shared" si="16"/>
        <v>721275</v>
      </c>
      <c r="AF53" s="157">
        <v>0.02</v>
      </c>
      <c r="AG53" s="278">
        <v>1244037</v>
      </c>
      <c r="AH53" s="278">
        <v>0</v>
      </c>
      <c r="AI53" s="492">
        <f t="shared" si="17"/>
        <v>1244037</v>
      </c>
      <c r="AJ53" s="77">
        <v>53405700</v>
      </c>
      <c r="AK53" s="77">
        <f t="shared" si="28"/>
        <v>62201850</v>
      </c>
      <c r="AL53" s="591">
        <f t="shared" si="18"/>
        <v>0.1647043293131632</v>
      </c>
      <c r="AM53" s="594">
        <f t="shared" si="19"/>
        <v>61416554.999999993</v>
      </c>
      <c r="AN53" s="130">
        <f t="shared" si="25"/>
        <v>0.02</v>
      </c>
      <c r="AO53" s="130">
        <f t="shared" si="26"/>
        <v>0</v>
      </c>
      <c r="AP53" s="77">
        <v>31608</v>
      </c>
      <c r="AQ53" s="77">
        <f t="shared" si="27"/>
        <v>1996920</v>
      </c>
      <c r="AR53" s="77">
        <f>ROUND(AQ53/'Table 3 Levels 1&amp;2'!C53,2)</f>
        <v>1810.44</v>
      </c>
    </row>
    <row r="54" spans="1:44">
      <c r="A54" s="12">
        <v>47</v>
      </c>
      <c r="B54" s="69" t="s">
        <v>148</v>
      </c>
      <c r="C54" s="14">
        <v>418714085</v>
      </c>
      <c r="D54" s="14">
        <v>39245078</v>
      </c>
      <c r="E54" s="14">
        <f t="shared" si="9"/>
        <v>379469007</v>
      </c>
      <c r="F54" s="14">
        <v>384547925</v>
      </c>
      <c r="G54" s="582">
        <f t="shared" si="10"/>
        <v>-1.3207503330046574E-2</v>
      </c>
      <c r="H54" s="583">
        <f t="shared" si="21"/>
        <v>379469007</v>
      </c>
      <c r="I54" s="498">
        <v>3.89</v>
      </c>
      <c r="J54" s="482">
        <f>1526748-12147</f>
        <v>1514601</v>
      </c>
      <c r="K54" s="498">
        <v>30.07</v>
      </c>
      <c r="L54" s="482">
        <f>11841639-17033</f>
        <v>11824606</v>
      </c>
      <c r="M54" s="481">
        <v>0</v>
      </c>
      <c r="N54" s="481">
        <v>0</v>
      </c>
      <c r="O54" s="481">
        <v>0</v>
      </c>
      <c r="P54" s="482">
        <v>0</v>
      </c>
      <c r="Q54" s="77">
        <f t="shared" si="11"/>
        <v>13339207</v>
      </c>
      <c r="R54" s="481">
        <v>10</v>
      </c>
      <c r="S54" s="482">
        <v>3776935</v>
      </c>
      <c r="T54" s="481">
        <v>0</v>
      </c>
      <c r="U54" s="481">
        <v>0</v>
      </c>
      <c r="V54" s="481">
        <v>0</v>
      </c>
      <c r="W54" s="482">
        <v>0</v>
      </c>
      <c r="X54" s="14">
        <f t="shared" si="12"/>
        <v>3776935</v>
      </c>
      <c r="Y54" s="146">
        <f t="shared" si="13"/>
        <v>43.96</v>
      </c>
      <c r="Z54" s="14">
        <f t="shared" si="14"/>
        <v>17116142</v>
      </c>
      <c r="AA54" s="14">
        <f t="shared" si="15"/>
        <v>0</v>
      </c>
      <c r="AB54" s="147">
        <f t="shared" si="22"/>
        <v>9.9499999999999993</v>
      </c>
      <c r="AC54" s="148">
        <f t="shared" si="23"/>
        <v>35.15</v>
      </c>
      <c r="AD54" s="128">
        <f t="shared" si="24"/>
        <v>45.11</v>
      </c>
      <c r="AE54" s="77">
        <f t="shared" si="16"/>
        <v>17116142</v>
      </c>
      <c r="AF54" s="157">
        <v>2.5000000000000001E-2</v>
      </c>
      <c r="AG54" s="278">
        <v>18744037</v>
      </c>
      <c r="AH54" s="278">
        <v>0</v>
      </c>
      <c r="AI54" s="492">
        <f t="shared" si="17"/>
        <v>18744037</v>
      </c>
      <c r="AJ54" s="77">
        <v>509472880</v>
      </c>
      <c r="AK54" s="77">
        <f t="shared" si="28"/>
        <v>749761480</v>
      </c>
      <c r="AL54" s="591">
        <f t="shared" si="18"/>
        <v>0.47164159159953717</v>
      </c>
      <c r="AM54" s="594">
        <f t="shared" si="19"/>
        <v>585893812</v>
      </c>
      <c r="AN54" s="130">
        <f t="shared" si="25"/>
        <v>2.5000000000000001E-2</v>
      </c>
      <c r="AO54" s="130">
        <f t="shared" si="26"/>
        <v>0</v>
      </c>
      <c r="AP54" s="77">
        <f>58294+29180</f>
        <v>87474</v>
      </c>
      <c r="AQ54" s="77">
        <f t="shared" si="27"/>
        <v>35947653</v>
      </c>
      <c r="AR54" s="77">
        <f>ROUND(AQ54/'Table 3 Levels 1&amp;2'!C54,2)</f>
        <v>9878.44</v>
      </c>
    </row>
    <row r="55" spans="1:44">
      <c r="A55" s="12">
        <v>48</v>
      </c>
      <c r="B55" s="69" t="s">
        <v>217</v>
      </c>
      <c r="C55" s="14">
        <v>435435832</v>
      </c>
      <c r="D55" s="14">
        <v>86640381</v>
      </c>
      <c r="E55" s="14">
        <f t="shared" si="9"/>
        <v>348795451</v>
      </c>
      <c r="F55" s="14">
        <v>351353218</v>
      </c>
      <c r="G55" s="582">
        <f t="shared" si="10"/>
        <v>-7.2797597089319958E-3</v>
      </c>
      <c r="H55" s="583">
        <f t="shared" si="21"/>
        <v>348795451</v>
      </c>
      <c r="I55" s="498">
        <v>3.67</v>
      </c>
      <c r="J55" s="482">
        <v>1209118</v>
      </c>
      <c r="K55" s="498">
        <v>25.82</v>
      </c>
      <c r="L55" s="482">
        <v>8494570</v>
      </c>
      <c r="M55" s="481">
        <v>0</v>
      </c>
      <c r="N55" s="481">
        <v>0</v>
      </c>
      <c r="O55" s="481">
        <v>0</v>
      </c>
      <c r="P55" s="482">
        <v>0</v>
      </c>
      <c r="Q55" s="77">
        <f t="shared" si="11"/>
        <v>9703688</v>
      </c>
      <c r="R55" s="481">
        <v>10</v>
      </c>
      <c r="S55" s="482">
        <v>3314373</v>
      </c>
      <c r="T55" s="481">
        <v>0</v>
      </c>
      <c r="U55" s="481">
        <v>0</v>
      </c>
      <c r="V55" s="481">
        <v>0</v>
      </c>
      <c r="W55" s="482">
        <v>0</v>
      </c>
      <c r="X55" s="14">
        <f t="shared" si="12"/>
        <v>3314373</v>
      </c>
      <c r="Y55" s="146">
        <f t="shared" si="13"/>
        <v>39.49</v>
      </c>
      <c r="Z55" s="14">
        <f t="shared" si="14"/>
        <v>13018061</v>
      </c>
      <c r="AA55" s="14">
        <f t="shared" si="15"/>
        <v>0</v>
      </c>
      <c r="AB55" s="147">
        <f t="shared" si="22"/>
        <v>9.5</v>
      </c>
      <c r="AC55" s="148">
        <f t="shared" si="23"/>
        <v>27.82</v>
      </c>
      <c r="AD55" s="128">
        <f t="shared" si="24"/>
        <v>37.32</v>
      </c>
      <c r="AE55" s="77">
        <f t="shared" si="16"/>
        <v>13018061</v>
      </c>
      <c r="AF55" s="157">
        <v>2.2499999999999999E-2</v>
      </c>
      <c r="AG55" s="278">
        <v>18562036</v>
      </c>
      <c r="AH55" s="278">
        <v>0</v>
      </c>
      <c r="AI55" s="492">
        <f t="shared" si="17"/>
        <v>18562036</v>
      </c>
      <c r="AJ55" s="77">
        <v>1162601244</v>
      </c>
      <c r="AK55" s="77">
        <f t="shared" si="28"/>
        <v>824979378</v>
      </c>
      <c r="AL55" s="589">
        <f t="shared" si="18"/>
        <v>-0.29040212002387983</v>
      </c>
      <c r="AM55" s="592">
        <f t="shared" si="19"/>
        <v>824979378</v>
      </c>
      <c r="AN55" s="130">
        <f t="shared" si="25"/>
        <v>2.2499999993939243E-2</v>
      </c>
      <c r="AO55" s="130">
        <f t="shared" si="26"/>
        <v>0</v>
      </c>
      <c r="AP55" s="77">
        <v>208463.5</v>
      </c>
      <c r="AQ55" s="77">
        <f t="shared" si="27"/>
        <v>31788560.5</v>
      </c>
      <c r="AR55" s="77">
        <f>ROUND(AQ55/'Table 3 Levels 1&amp;2'!C55,2)</f>
        <v>5110.7</v>
      </c>
    </row>
    <row r="56" spans="1:44">
      <c r="A56" s="12">
        <v>49</v>
      </c>
      <c r="B56" s="69" t="s">
        <v>149</v>
      </c>
      <c r="C56" s="14">
        <v>618704640</v>
      </c>
      <c r="D56" s="14">
        <v>123047540</v>
      </c>
      <c r="E56" s="14">
        <f t="shared" si="9"/>
        <v>495657100</v>
      </c>
      <c r="F56" s="14">
        <v>495210698</v>
      </c>
      <c r="G56" s="582">
        <f t="shared" si="10"/>
        <v>9.0143852263870115E-4</v>
      </c>
      <c r="H56" s="583">
        <f t="shared" si="21"/>
        <v>495657100</v>
      </c>
      <c r="I56" s="498">
        <v>4.37</v>
      </c>
      <c r="J56" s="482">
        <v>2152126</v>
      </c>
      <c r="K56" s="498">
        <v>15.86</v>
      </c>
      <c r="L56" s="482">
        <v>7563121</v>
      </c>
      <c r="M56" s="481">
        <v>0</v>
      </c>
      <c r="N56" s="481">
        <v>0</v>
      </c>
      <c r="O56" s="481">
        <v>0</v>
      </c>
      <c r="P56" s="482">
        <v>0</v>
      </c>
      <c r="Q56" s="77">
        <f t="shared" si="11"/>
        <v>9715247</v>
      </c>
      <c r="R56" s="481">
        <v>0</v>
      </c>
      <c r="S56" s="482">
        <v>0</v>
      </c>
      <c r="T56" s="481">
        <v>0</v>
      </c>
      <c r="U56" s="481">
        <v>0</v>
      </c>
      <c r="V56" s="481">
        <v>0</v>
      </c>
      <c r="W56" s="482">
        <v>0</v>
      </c>
      <c r="X56" s="14">
        <f t="shared" si="12"/>
        <v>0</v>
      </c>
      <c r="Y56" s="146">
        <f t="shared" si="13"/>
        <v>20.23</v>
      </c>
      <c r="Z56" s="14">
        <f t="shared" si="14"/>
        <v>9715247</v>
      </c>
      <c r="AA56" s="14">
        <f t="shared" si="15"/>
        <v>0</v>
      </c>
      <c r="AB56" s="147">
        <f t="shared" si="22"/>
        <v>0</v>
      </c>
      <c r="AC56" s="148">
        <f t="shared" si="23"/>
        <v>19.600000000000001</v>
      </c>
      <c r="AD56" s="128">
        <f t="shared" si="24"/>
        <v>19.600000000000001</v>
      </c>
      <c r="AE56" s="77">
        <f t="shared" si="16"/>
        <v>9715247</v>
      </c>
      <c r="AF56" s="157">
        <v>0.02</v>
      </c>
      <c r="AG56" s="278">
        <v>22302404</v>
      </c>
      <c r="AH56" s="278">
        <v>0</v>
      </c>
      <c r="AI56" s="492">
        <f t="shared" si="17"/>
        <v>22302404</v>
      </c>
      <c r="AJ56" s="77">
        <v>1019519600</v>
      </c>
      <c r="AK56" s="77">
        <f t="shared" si="28"/>
        <v>1115120200</v>
      </c>
      <c r="AL56" s="589">
        <f t="shared" si="18"/>
        <v>9.3770242376899862E-2</v>
      </c>
      <c r="AM56" s="592">
        <f t="shared" si="19"/>
        <v>1115120200</v>
      </c>
      <c r="AN56" s="130">
        <f t="shared" si="25"/>
        <v>0.02</v>
      </c>
      <c r="AO56" s="130">
        <f t="shared" si="26"/>
        <v>0</v>
      </c>
      <c r="AP56" s="77">
        <v>478841.5</v>
      </c>
      <c r="AQ56" s="77">
        <f t="shared" si="27"/>
        <v>32496492.5</v>
      </c>
      <c r="AR56" s="77">
        <f>ROUND(AQ56/'Table 3 Levels 1&amp;2'!C56,2)</f>
        <v>2248.58</v>
      </c>
    </row>
    <row r="57" spans="1:44">
      <c r="A57" s="18">
        <v>50</v>
      </c>
      <c r="B57" s="70" t="s">
        <v>150</v>
      </c>
      <c r="C57" s="20">
        <v>342716211</v>
      </c>
      <c r="D57" s="20">
        <v>83068035</v>
      </c>
      <c r="E57" s="20">
        <f t="shared" si="9"/>
        <v>259648176</v>
      </c>
      <c r="F57" s="20">
        <v>230823287</v>
      </c>
      <c r="G57" s="586">
        <f t="shared" si="10"/>
        <v>0.12487860031210803</v>
      </c>
      <c r="H57" s="587">
        <f t="shared" si="21"/>
        <v>253905615.70000002</v>
      </c>
      <c r="I57" s="499">
        <v>2.61</v>
      </c>
      <c r="J57" s="484">
        <v>673100</v>
      </c>
      <c r="K57" s="499">
        <v>9.9700000000000006</v>
      </c>
      <c r="L57" s="484">
        <v>2571197</v>
      </c>
      <c r="M57" s="483">
        <v>0</v>
      </c>
      <c r="N57" s="483">
        <v>0</v>
      </c>
      <c r="O57" s="483">
        <v>0</v>
      </c>
      <c r="P57" s="484">
        <v>0</v>
      </c>
      <c r="Q57" s="78">
        <f t="shared" si="11"/>
        <v>3244297</v>
      </c>
      <c r="R57" s="483">
        <v>21.5</v>
      </c>
      <c r="S57" s="484">
        <v>5555076</v>
      </c>
      <c r="T57" s="483">
        <v>0</v>
      </c>
      <c r="U57" s="483">
        <v>0</v>
      </c>
      <c r="V57" s="483">
        <v>0</v>
      </c>
      <c r="W57" s="484">
        <v>0</v>
      </c>
      <c r="X57" s="20">
        <f t="shared" si="12"/>
        <v>5555076</v>
      </c>
      <c r="Y57" s="149">
        <f t="shared" si="13"/>
        <v>34.08</v>
      </c>
      <c r="Z57" s="20">
        <f t="shared" si="14"/>
        <v>8799373</v>
      </c>
      <c r="AA57" s="20">
        <f t="shared" si="15"/>
        <v>0</v>
      </c>
      <c r="AB57" s="150">
        <f t="shared" si="22"/>
        <v>21.39</v>
      </c>
      <c r="AC57" s="151">
        <f t="shared" si="23"/>
        <v>12.49</v>
      </c>
      <c r="AD57" s="129">
        <f t="shared" si="24"/>
        <v>33.89</v>
      </c>
      <c r="AE57" s="78">
        <f t="shared" si="16"/>
        <v>8799373</v>
      </c>
      <c r="AF57" s="158">
        <v>0.02</v>
      </c>
      <c r="AG57" s="279">
        <v>11765666</v>
      </c>
      <c r="AH57" s="279">
        <v>0</v>
      </c>
      <c r="AI57" s="493">
        <f t="shared" si="17"/>
        <v>11765666</v>
      </c>
      <c r="AJ57" s="78">
        <v>548902250</v>
      </c>
      <c r="AK57" s="78">
        <f t="shared" si="28"/>
        <v>588283300</v>
      </c>
      <c r="AL57" s="590">
        <f t="shared" si="18"/>
        <v>7.1745105799803158E-2</v>
      </c>
      <c r="AM57" s="593">
        <f t="shared" si="19"/>
        <v>588283300</v>
      </c>
      <c r="AN57" s="131">
        <f t="shared" si="25"/>
        <v>0.02</v>
      </c>
      <c r="AO57" s="131">
        <f t="shared" si="26"/>
        <v>0</v>
      </c>
      <c r="AP57" s="78">
        <v>432345.5</v>
      </c>
      <c r="AQ57" s="78">
        <f t="shared" si="27"/>
        <v>20997384.5</v>
      </c>
      <c r="AR57" s="78">
        <f>ROUND(AQ57/'Table 3 Levels 1&amp;2'!C57,2)</f>
        <v>2629.93</v>
      </c>
    </row>
    <row r="58" spans="1:44">
      <c r="A58" s="12">
        <v>51</v>
      </c>
      <c r="B58" s="69" t="s">
        <v>151</v>
      </c>
      <c r="C58" s="14">
        <v>639290601</v>
      </c>
      <c r="D58" s="14">
        <v>73002115</v>
      </c>
      <c r="E58" s="14">
        <f t="shared" si="9"/>
        <v>566288486</v>
      </c>
      <c r="F58" s="14">
        <v>512799577</v>
      </c>
      <c r="G58" s="584">
        <f t="shared" si="10"/>
        <v>0.10430763089338507</v>
      </c>
      <c r="H58" s="585">
        <f t="shared" si="21"/>
        <v>564079534.70000005</v>
      </c>
      <c r="I58" s="498">
        <v>8.4</v>
      </c>
      <c r="J58" s="482">
        <v>4465094</v>
      </c>
      <c r="K58" s="498">
        <v>11.18</v>
      </c>
      <c r="L58" s="482">
        <v>5942832</v>
      </c>
      <c r="M58" s="481">
        <v>11.58</v>
      </c>
      <c r="N58" s="481">
        <v>12.25</v>
      </c>
      <c r="O58" s="481">
        <v>3</v>
      </c>
      <c r="P58" s="482">
        <v>6257574</v>
      </c>
      <c r="Q58" s="77">
        <f t="shared" si="11"/>
        <v>16665500</v>
      </c>
      <c r="R58" s="481">
        <v>0</v>
      </c>
      <c r="S58" s="482">
        <v>0</v>
      </c>
      <c r="T58" s="481">
        <v>8</v>
      </c>
      <c r="U58" s="481">
        <v>18</v>
      </c>
      <c r="V58" s="481">
        <v>2</v>
      </c>
      <c r="W58" s="482">
        <v>2342907</v>
      </c>
      <c r="X58" s="14">
        <f t="shared" si="12"/>
        <v>2342907</v>
      </c>
      <c r="Y58" s="146">
        <f t="shared" si="13"/>
        <v>19.579999999999998</v>
      </c>
      <c r="Z58" s="14">
        <f t="shared" si="14"/>
        <v>10407926</v>
      </c>
      <c r="AA58" s="14">
        <f t="shared" si="15"/>
        <v>8600481</v>
      </c>
      <c r="AB58" s="147">
        <f t="shared" si="22"/>
        <v>4.1399999999999997</v>
      </c>
      <c r="AC58" s="148">
        <f t="shared" si="23"/>
        <v>29.43</v>
      </c>
      <c r="AD58" s="128">
        <f t="shared" si="24"/>
        <v>33.57</v>
      </c>
      <c r="AE58" s="77">
        <f t="shared" si="16"/>
        <v>19008407</v>
      </c>
      <c r="AF58" s="157">
        <v>1.7500000000000002E-2</v>
      </c>
      <c r="AG58" s="278">
        <v>17685184</v>
      </c>
      <c r="AH58" s="278">
        <v>0</v>
      </c>
      <c r="AI58" s="492">
        <f t="shared" si="17"/>
        <v>17685184</v>
      </c>
      <c r="AJ58" s="77">
        <v>865813086</v>
      </c>
      <c r="AK58" s="77">
        <f t="shared" si="28"/>
        <v>1010581943</v>
      </c>
      <c r="AL58" s="591">
        <f t="shared" si="18"/>
        <v>0.16720566983899801</v>
      </c>
      <c r="AM58" s="594">
        <f t="shared" si="19"/>
        <v>995685048.89999998</v>
      </c>
      <c r="AN58" s="130">
        <f t="shared" si="25"/>
        <v>1.7499999997526178E-2</v>
      </c>
      <c r="AO58" s="130">
        <f t="shared" si="26"/>
        <v>0</v>
      </c>
      <c r="AP58" s="77">
        <v>495361</v>
      </c>
      <c r="AQ58" s="77">
        <f t="shared" si="27"/>
        <v>37188952</v>
      </c>
      <c r="AR58" s="77">
        <f>ROUND(AQ58/'Table 3 Levels 1&amp;2'!C58,2)</f>
        <v>4109.28</v>
      </c>
    </row>
    <row r="59" spans="1:44">
      <c r="A59" s="12">
        <v>52</v>
      </c>
      <c r="B59" s="69" t="s">
        <v>152</v>
      </c>
      <c r="C59" s="14">
        <v>2071957489</v>
      </c>
      <c r="D59" s="14">
        <v>498218082</v>
      </c>
      <c r="E59" s="14">
        <f t="shared" si="9"/>
        <v>1573739407</v>
      </c>
      <c r="F59" s="14">
        <v>1471491895</v>
      </c>
      <c r="G59" s="582">
        <f t="shared" si="10"/>
        <v>6.9485610044763446E-2</v>
      </c>
      <c r="H59" s="583">
        <f t="shared" si="21"/>
        <v>1573739407</v>
      </c>
      <c r="I59" s="498">
        <v>3.8</v>
      </c>
      <c r="J59" s="482">
        <v>6181669</v>
      </c>
      <c r="K59" s="498">
        <v>43.75</v>
      </c>
      <c r="L59" s="482">
        <v>65829490</v>
      </c>
      <c r="M59" s="481">
        <v>43.75</v>
      </c>
      <c r="N59" s="481">
        <v>43.75</v>
      </c>
      <c r="O59" s="481">
        <v>0</v>
      </c>
      <c r="P59" s="482">
        <v>0</v>
      </c>
      <c r="Q59" s="77">
        <f t="shared" si="11"/>
        <v>72011159</v>
      </c>
      <c r="R59" s="481">
        <v>20.9</v>
      </c>
      <c r="S59" s="482">
        <v>31795559</v>
      </c>
      <c r="T59" s="481">
        <v>20.9</v>
      </c>
      <c r="U59" s="481">
        <v>20.9</v>
      </c>
      <c r="V59" s="481">
        <v>0</v>
      </c>
      <c r="W59" s="482">
        <v>0</v>
      </c>
      <c r="X59" s="14">
        <f t="shared" si="12"/>
        <v>31795559</v>
      </c>
      <c r="Y59" s="146">
        <f t="shared" si="13"/>
        <v>68.449999999999989</v>
      </c>
      <c r="Z59" s="14">
        <f t="shared" si="14"/>
        <v>103806718</v>
      </c>
      <c r="AA59" s="14">
        <f t="shared" si="15"/>
        <v>0</v>
      </c>
      <c r="AB59" s="147">
        <f t="shared" si="22"/>
        <v>20.2</v>
      </c>
      <c r="AC59" s="148">
        <f t="shared" si="23"/>
        <v>45.76</v>
      </c>
      <c r="AD59" s="128">
        <f t="shared" si="24"/>
        <v>65.959999999999994</v>
      </c>
      <c r="AE59" s="77">
        <f t="shared" si="16"/>
        <v>103806718</v>
      </c>
      <c r="AF59" s="157">
        <v>0.02</v>
      </c>
      <c r="AG59" s="278">
        <v>75235263</v>
      </c>
      <c r="AH59" s="278">
        <v>0</v>
      </c>
      <c r="AI59" s="492">
        <f t="shared" si="17"/>
        <v>75235263</v>
      </c>
      <c r="AJ59" s="77">
        <v>3603969100</v>
      </c>
      <c r="AK59" s="77">
        <f t="shared" si="28"/>
        <v>3761763150</v>
      </c>
      <c r="AL59" s="589">
        <f t="shared" si="18"/>
        <v>4.3783408131884374E-2</v>
      </c>
      <c r="AM59" s="592">
        <f t="shared" si="19"/>
        <v>3761763150</v>
      </c>
      <c r="AN59" s="130">
        <f t="shared" si="25"/>
        <v>0.02</v>
      </c>
      <c r="AO59" s="130">
        <f t="shared" si="26"/>
        <v>0</v>
      </c>
      <c r="AP59" s="77">
        <v>1943649</v>
      </c>
      <c r="AQ59" s="77">
        <f t="shared" si="27"/>
        <v>180985630</v>
      </c>
      <c r="AR59" s="77">
        <f>ROUND(AQ59/'Table 3 Levels 1&amp;2'!C59,2)</f>
        <v>4956.47</v>
      </c>
    </row>
    <row r="60" spans="1:44">
      <c r="A60" s="12">
        <v>53</v>
      </c>
      <c r="B60" s="69" t="s">
        <v>153</v>
      </c>
      <c r="C60" s="14">
        <v>670967851</v>
      </c>
      <c r="D60" s="14">
        <v>180154591</v>
      </c>
      <c r="E60" s="14">
        <f t="shared" si="9"/>
        <v>490813260</v>
      </c>
      <c r="F60" s="14">
        <v>469016299</v>
      </c>
      <c r="G60" s="582">
        <f t="shared" si="10"/>
        <v>4.6473781500714968E-2</v>
      </c>
      <c r="H60" s="583">
        <f t="shared" si="21"/>
        <v>490813260</v>
      </c>
      <c r="I60" s="498">
        <v>4.0599999999999996</v>
      </c>
      <c r="J60" s="482">
        <v>1947644</v>
      </c>
      <c r="K60" s="498">
        <v>0</v>
      </c>
      <c r="L60" s="482">
        <v>0</v>
      </c>
      <c r="M60" s="481">
        <v>0</v>
      </c>
      <c r="N60" s="481">
        <v>7.5</v>
      </c>
      <c r="O60" s="481">
        <v>1</v>
      </c>
      <c r="P60" s="482">
        <v>1624255</v>
      </c>
      <c r="Q60" s="77">
        <f t="shared" si="11"/>
        <v>3571899</v>
      </c>
      <c r="R60" s="481">
        <v>0</v>
      </c>
      <c r="S60" s="482">
        <v>0</v>
      </c>
      <c r="T60" s="481">
        <v>2.25</v>
      </c>
      <c r="U60" s="481">
        <v>18</v>
      </c>
      <c r="V60" s="481">
        <v>6</v>
      </c>
      <c r="W60" s="482">
        <v>1652672</v>
      </c>
      <c r="X60" s="14">
        <f t="shared" si="12"/>
        <v>1652672</v>
      </c>
      <c r="Y60" s="146">
        <f t="shared" si="13"/>
        <v>4.0599999999999996</v>
      </c>
      <c r="Z60" s="14">
        <f t="shared" si="14"/>
        <v>1947644</v>
      </c>
      <c r="AA60" s="14">
        <f t="shared" si="15"/>
        <v>3276927</v>
      </c>
      <c r="AB60" s="147">
        <f t="shared" si="22"/>
        <v>3.37</v>
      </c>
      <c r="AC60" s="148">
        <f t="shared" si="23"/>
        <v>7.28</v>
      </c>
      <c r="AD60" s="128">
        <f t="shared" si="24"/>
        <v>10.64</v>
      </c>
      <c r="AE60" s="77">
        <f t="shared" si="16"/>
        <v>5224571</v>
      </c>
      <c r="AF60" s="157">
        <v>0.02</v>
      </c>
      <c r="AG60" s="278">
        <v>28267736</v>
      </c>
      <c r="AH60" s="278">
        <v>3054678</v>
      </c>
      <c r="AI60" s="492">
        <f t="shared" si="17"/>
        <v>31322414</v>
      </c>
      <c r="AJ60" s="77">
        <v>1523525900</v>
      </c>
      <c r="AK60" s="77">
        <f t="shared" si="28"/>
        <v>1566120700</v>
      </c>
      <c r="AL60" s="589">
        <f t="shared" si="18"/>
        <v>2.7958041277801708E-2</v>
      </c>
      <c r="AM60" s="592">
        <f t="shared" si="19"/>
        <v>1566120700</v>
      </c>
      <c r="AN60" s="130">
        <f t="shared" si="25"/>
        <v>1.8049525812410244E-2</v>
      </c>
      <c r="AO60" s="130">
        <f t="shared" si="26"/>
        <v>1.950474187589756E-3</v>
      </c>
      <c r="AP60" s="77">
        <v>139130</v>
      </c>
      <c r="AQ60" s="77">
        <f t="shared" si="27"/>
        <v>36686115</v>
      </c>
      <c r="AR60" s="77">
        <f>ROUND(AQ60/'Table 3 Levels 1&amp;2'!C60,2)</f>
        <v>1930.04</v>
      </c>
    </row>
    <row r="61" spans="1:44">
      <c r="A61" s="12">
        <v>54</v>
      </c>
      <c r="B61" s="69" t="s">
        <v>154</v>
      </c>
      <c r="C61" s="14">
        <v>46723569</v>
      </c>
      <c r="D61" s="14">
        <v>6009986</v>
      </c>
      <c r="E61" s="14">
        <f t="shared" si="9"/>
        <v>40713583</v>
      </c>
      <c r="F61" s="14">
        <v>46291033</v>
      </c>
      <c r="G61" s="582">
        <f t="shared" si="10"/>
        <v>-0.12048661778621358</v>
      </c>
      <c r="H61" s="583">
        <f t="shared" si="21"/>
        <v>40713583</v>
      </c>
      <c r="I61" s="498">
        <v>5.08</v>
      </c>
      <c r="J61" s="482">
        <v>206779</v>
      </c>
      <c r="K61" s="498">
        <v>31.82</v>
      </c>
      <c r="L61" s="482">
        <v>1295220</v>
      </c>
      <c r="M61" s="481">
        <v>0</v>
      </c>
      <c r="N61" s="481">
        <v>0</v>
      </c>
      <c r="O61" s="481">
        <v>0</v>
      </c>
      <c r="P61" s="482">
        <v>0</v>
      </c>
      <c r="Q61" s="77">
        <f t="shared" si="11"/>
        <v>1501999</v>
      </c>
      <c r="R61" s="481">
        <v>0</v>
      </c>
      <c r="S61" s="482">
        <v>0</v>
      </c>
      <c r="T61" s="481">
        <v>0</v>
      </c>
      <c r="U61" s="481">
        <v>0</v>
      </c>
      <c r="V61" s="481">
        <v>0</v>
      </c>
      <c r="W61" s="482">
        <v>0</v>
      </c>
      <c r="X61" s="14">
        <f t="shared" si="12"/>
        <v>0</v>
      </c>
      <c r="Y61" s="146">
        <f t="shared" si="13"/>
        <v>36.9</v>
      </c>
      <c r="Z61" s="14">
        <f t="shared" si="14"/>
        <v>1501999</v>
      </c>
      <c r="AA61" s="14">
        <f t="shared" si="15"/>
        <v>0</v>
      </c>
      <c r="AB61" s="147">
        <f t="shared" si="22"/>
        <v>0</v>
      </c>
      <c r="AC61" s="148">
        <f t="shared" si="23"/>
        <v>36.89</v>
      </c>
      <c r="AD61" s="128">
        <f t="shared" si="24"/>
        <v>36.89</v>
      </c>
      <c r="AE61" s="77">
        <f t="shared" si="16"/>
        <v>1501999</v>
      </c>
      <c r="AF61" s="157">
        <v>1.4999999999999999E-2</v>
      </c>
      <c r="AG61" s="278">
        <v>594679</v>
      </c>
      <c r="AH61" s="278">
        <v>0</v>
      </c>
      <c r="AI61" s="492">
        <f t="shared" si="17"/>
        <v>594679</v>
      </c>
      <c r="AJ61" s="77">
        <v>39169800</v>
      </c>
      <c r="AK61" s="77">
        <f t="shared" si="28"/>
        <v>39645267</v>
      </c>
      <c r="AL61" s="589">
        <f t="shared" si="18"/>
        <v>1.2138611889772222E-2</v>
      </c>
      <c r="AM61" s="592">
        <f t="shared" si="19"/>
        <v>39645267</v>
      </c>
      <c r="AN61" s="130">
        <f t="shared" si="25"/>
        <v>1.499999987388154E-2</v>
      </c>
      <c r="AO61" s="130">
        <f t="shared" si="26"/>
        <v>0</v>
      </c>
      <c r="AP61" s="77">
        <v>52973.5</v>
      </c>
      <c r="AQ61" s="77">
        <f t="shared" si="27"/>
        <v>2149651.5</v>
      </c>
      <c r="AR61" s="77">
        <f>ROUND(AQ61/'Table 3 Levels 1&amp;2'!C61,2)</f>
        <v>3075.32</v>
      </c>
    </row>
    <row r="62" spans="1:44">
      <c r="A62" s="18">
        <v>55</v>
      </c>
      <c r="B62" s="70" t="s">
        <v>155</v>
      </c>
      <c r="C62" s="20">
        <v>914684385</v>
      </c>
      <c r="D62" s="20">
        <v>172892410</v>
      </c>
      <c r="E62" s="20">
        <f t="shared" si="9"/>
        <v>741791975</v>
      </c>
      <c r="F62" s="20">
        <v>722165295</v>
      </c>
      <c r="G62" s="756">
        <f t="shared" si="10"/>
        <v>2.7177545273758968E-2</v>
      </c>
      <c r="H62" s="757">
        <f t="shared" si="21"/>
        <v>741791975</v>
      </c>
      <c r="I62" s="499">
        <v>3.86</v>
      </c>
      <c r="J62" s="484">
        <v>2711252</v>
      </c>
      <c r="K62" s="499">
        <v>5.41</v>
      </c>
      <c r="L62" s="484">
        <v>3799943</v>
      </c>
      <c r="M62" s="483">
        <v>0</v>
      </c>
      <c r="N62" s="483">
        <v>0</v>
      </c>
      <c r="O62" s="483">
        <v>0</v>
      </c>
      <c r="P62" s="484">
        <v>0</v>
      </c>
      <c r="Q62" s="78">
        <f t="shared" si="11"/>
        <v>6511195</v>
      </c>
      <c r="R62" s="483">
        <v>0</v>
      </c>
      <c r="S62" s="484">
        <v>30</v>
      </c>
      <c r="T62" s="483">
        <v>0</v>
      </c>
      <c r="U62" s="483">
        <v>0</v>
      </c>
      <c r="V62" s="483">
        <v>0</v>
      </c>
      <c r="W62" s="484">
        <v>0</v>
      </c>
      <c r="X62" s="20">
        <f t="shared" si="12"/>
        <v>30</v>
      </c>
      <c r="Y62" s="149">
        <f t="shared" si="13"/>
        <v>9.27</v>
      </c>
      <c r="Z62" s="20">
        <f t="shared" si="14"/>
        <v>6511225</v>
      </c>
      <c r="AA62" s="20">
        <f t="shared" si="15"/>
        <v>0</v>
      </c>
      <c r="AB62" s="150">
        <f t="shared" si="22"/>
        <v>0</v>
      </c>
      <c r="AC62" s="151">
        <f t="shared" si="23"/>
        <v>8.7799999999999994</v>
      </c>
      <c r="AD62" s="129">
        <f t="shared" si="24"/>
        <v>8.7799999999999994</v>
      </c>
      <c r="AE62" s="78">
        <f t="shared" si="16"/>
        <v>6511225</v>
      </c>
      <c r="AF62" s="158">
        <v>2.0799999999999999E-2</v>
      </c>
      <c r="AG62" s="279">
        <v>46884621</v>
      </c>
      <c r="AH62" s="279">
        <v>0</v>
      </c>
      <c r="AI62" s="493">
        <f t="shared" si="17"/>
        <v>46884621</v>
      </c>
      <c r="AJ62" s="78">
        <v>2119738077</v>
      </c>
      <c r="AK62" s="78">
        <f t="shared" si="28"/>
        <v>2254068317</v>
      </c>
      <c r="AL62" s="590">
        <f t="shared" si="18"/>
        <v>6.3371150170644402E-2</v>
      </c>
      <c r="AM62" s="593">
        <f t="shared" si="19"/>
        <v>2254068317</v>
      </c>
      <c r="AN62" s="131">
        <f t="shared" si="25"/>
        <v>2.0800000002839311E-2</v>
      </c>
      <c r="AO62" s="131">
        <f t="shared" si="26"/>
        <v>0</v>
      </c>
      <c r="AP62" s="78">
        <v>406862</v>
      </c>
      <c r="AQ62" s="78">
        <f t="shared" si="27"/>
        <v>53802708</v>
      </c>
      <c r="AR62" s="78">
        <f>ROUND(AQ62/'Table 3 Levels 1&amp;2'!C62,2)</f>
        <v>3041.94</v>
      </c>
    </row>
    <row r="63" spans="1:44">
      <c r="A63" s="12">
        <v>56</v>
      </c>
      <c r="B63" s="69" t="s">
        <v>156</v>
      </c>
      <c r="C63" s="14">
        <v>192345730</v>
      </c>
      <c r="D63" s="14">
        <v>34623772</v>
      </c>
      <c r="E63" s="14">
        <f t="shared" si="9"/>
        <v>157721958</v>
      </c>
      <c r="F63" s="14">
        <v>130913178</v>
      </c>
      <c r="G63" s="584">
        <f t="shared" si="10"/>
        <v>0.20478289817393325</v>
      </c>
      <c r="H63" s="585">
        <f t="shared" si="21"/>
        <v>144004495.80000001</v>
      </c>
      <c r="I63" s="498">
        <v>3.55</v>
      </c>
      <c r="J63" s="482">
        <v>551782</v>
      </c>
      <c r="K63" s="498">
        <v>17.98</v>
      </c>
      <c r="L63" s="482">
        <v>2805959</v>
      </c>
      <c r="M63" s="481">
        <v>1.48</v>
      </c>
      <c r="N63" s="481">
        <v>1.64</v>
      </c>
      <c r="O63" s="481">
        <v>9</v>
      </c>
      <c r="P63" s="482">
        <v>248029</v>
      </c>
      <c r="Q63" s="77">
        <f t="shared" si="11"/>
        <v>3605770</v>
      </c>
      <c r="R63" s="481">
        <v>0</v>
      </c>
      <c r="S63" s="482">
        <v>0</v>
      </c>
      <c r="T63" s="481">
        <v>0</v>
      </c>
      <c r="U63" s="481">
        <v>0</v>
      </c>
      <c r="V63" s="481">
        <v>0</v>
      </c>
      <c r="W63" s="482">
        <v>0</v>
      </c>
      <c r="X63" s="14">
        <f t="shared" si="12"/>
        <v>0</v>
      </c>
      <c r="Y63" s="146">
        <f t="shared" si="13"/>
        <v>21.53</v>
      </c>
      <c r="Z63" s="14">
        <f t="shared" si="14"/>
        <v>3357741</v>
      </c>
      <c r="AA63" s="14">
        <f t="shared" si="15"/>
        <v>248029</v>
      </c>
      <c r="AB63" s="147">
        <f t="shared" si="22"/>
        <v>0</v>
      </c>
      <c r="AC63" s="148">
        <f t="shared" si="23"/>
        <v>22.86</v>
      </c>
      <c r="AD63" s="128">
        <f t="shared" si="24"/>
        <v>22.86</v>
      </c>
      <c r="AE63" s="77">
        <f t="shared" si="16"/>
        <v>3605770</v>
      </c>
      <c r="AF63" s="157">
        <v>0.02</v>
      </c>
      <c r="AG63" s="278">
        <v>4787471</v>
      </c>
      <c r="AH63" s="278">
        <v>0</v>
      </c>
      <c r="AI63" s="492">
        <f t="shared" si="17"/>
        <v>4787471</v>
      </c>
      <c r="AJ63" s="77">
        <v>275824800</v>
      </c>
      <c r="AK63" s="77">
        <f t="shared" si="28"/>
        <v>239373550</v>
      </c>
      <c r="AL63" s="589">
        <f t="shared" si="18"/>
        <v>-0.13215363520611634</v>
      </c>
      <c r="AM63" s="592">
        <f t="shared" si="19"/>
        <v>239373550</v>
      </c>
      <c r="AN63" s="130">
        <f t="shared" si="25"/>
        <v>0.02</v>
      </c>
      <c r="AO63" s="130">
        <f t="shared" si="26"/>
        <v>0</v>
      </c>
      <c r="AP63" s="77">
        <v>151687.5</v>
      </c>
      <c r="AQ63" s="77">
        <f t="shared" si="27"/>
        <v>8544928.5</v>
      </c>
      <c r="AR63" s="77">
        <f>ROUND(AQ63/'Table 3 Levels 1&amp;2'!C63,2)</f>
        <v>3016.21</v>
      </c>
    </row>
    <row r="64" spans="1:44">
      <c r="A64" s="12">
        <v>57</v>
      </c>
      <c r="B64" s="69" t="s">
        <v>157</v>
      </c>
      <c r="C64" s="14">
        <v>398950960</v>
      </c>
      <c r="D64" s="14">
        <v>89330240</v>
      </c>
      <c r="E64" s="14">
        <f t="shared" si="9"/>
        <v>309620720</v>
      </c>
      <c r="F64" s="14">
        <v>306010230</v>
      </c>
      <c r="G64" s="582">
        <f t="shared" si="10"/>
        <v>1.1798592484963656E-2</v>
      </c>
      <c r="H64" s="583">
        <f t="shared" si="21"/>
        <v>309620720</v>
      </c>
      <c r="I64" s="498">
        <v>4.6500000000000004</v>
      </c>
      <c r="J64" s="482">
        <v>1418551</v>
      </c>
      <c r="K64" s="498">
        <v>35</v>
      </c>
      <c r="L64" s="482">
        <v>10672645</v>
      </c>
      <c r="M64" s="481">
        <v>0</v>
      </c>
      <c r="N64" s="481">
        <v>0</v>
      </c>
      <c r="O64" s="481">
        <v>0</v>
      </c>
      <c r="P64" s="482">
        <v>0</v>
      </c>
      <c r="Q64" s="77">
        <f t="shared" si="11"/>
        <v>12091196</v>
      </c>
      <c r="R64" s="481">
        <v>0</v>
      </c>
      <c r="S64" s="482">
        <v>0</v>
      </c>
      <c r="T64" s="481">
        <v>0</v>
      </c>
      <c r="U64" s="481">
        <v>0</v>
      </c>
      <c r="V64" s="481">
        <v>0</v>
      </c>
      <c r="W64" s="482">
        <v>0</v>
      </c>
      <c r="X64" s="14">
        <f t="shared" si="12"/>
        <v>0</v>
      </c>
      <c r="Y64" s="146">
        <f t="shared" si="13"/>
        <v>39.65</v>
      </c>
      <c r="Z64" s="14">
        <f t="shared" si="14"/>
        <v>12091196</v>
      </c>
      <c r="AA64" s="14">
        <f t="shared" si="15"/>
        <v>0</v>
      </c>
      <c r="AB64" s="147">
        <f t="shared" si="22"/>
        <v>0</v>
      </c>
      <c r="AC64" s="148">
        <f t="shared" si="23"/>
        <v>39.049999999999997</v>
      </c>
      <c r="AD64" s="128">
        <f t="shared" si="24"/>
        <v>39.049999999999997</v>
      </c>
      <c r="AE64" s="77">
        <f t="shared" si="16"/>
        <v>12091196</v>
      </c>
      <c r="AF64" s="157">
        <v>1.4999999999999999E-2</v>
      </c>
      <c r="AG64" s="278">
        <v>11023107</v>
      </c>
      <c r="AH64" s="278">
        <v>0</v>
      </c>
      <c r="AI64" s="492">
        <f t="shared" si="17"/>
        <v>11023107</v>
      </c>
      <c r="AJ64" s="77">
        <v>623242133</v>
      </c>
      <c r="AK64" s="77">
        <f t="shared" si="28"/>
        <v>734873800</v>
      </c>
      <c r="AL64" s="591">
        <f t="shared" si="18"/>
        <v>0.1791144421874315</v>
      </c>
      <c r="AM64" s="594">
        <f t="shared" si="19"/>
        <v>716728452.94999993</v>
      </c>
      <c r="AN64" s="130">
        <f t="shared" si="25"/>
        <v>1.4999999999999999E-2</v>
      </c>
      <c r="AO64" s="130">
        <f t="shared" si="26"/>
        <v>0</v>
      </c>
      <c r="AP64" s="77">
        <v>2377214</v>
      </c>
      <c r="AQ64" s="77">
        <f t="shared" si="27"/>
        <v>25491517</v>
      </c>
      <c r="AR64" s="77">
        <f>ROUND(AQ64/'Table 3 Levels 1&amp;2'!C64,2)</f>
        <v>2874.23</v>
      </c>
    </row>
    <row r="65" spans="1:44">
      <c r="A65" s="12">
        <v>58</v>
      </c>
      <c r="B65" s="69" t="s">
        <v>158</v>
      </c>
      <c r="C65" s="14">
        <v>163020940</v>
      </c>
      <c r="D65" s="14">
        <v>45925907</v>
      </c>
      <c r="E65" s="14">
        <f t="shared" si="9"/>
        <v>117095033</v>
      </c>
      <c r="F65" s="14">
        <v>121458730</v>
      </c>
      <c r="G65" s="582">
        <f t="shared" si="10"/>
        <v>-3.5927405135884424E-2</v>
      </c>
      <c r="H65" s="583">
        <f t="shared" si="21"/>
        <v>117095033</v>
      </c>
      <c r="I65" s="498">
        <v>4.18</v>
      </c>
      <c r="J65" s="482">
        <v>470452</v>
      </c>
      <c r="K65" s="498">
        <v>8.1199999999999992</v>
      </c>
      <c r="L65" s="482">
        <v>913884</v>
      </c>
      <c r="M65" s="481">
        <v>10</v>
      </c>
      <c r="N65" s="481">
        <v>18.77</v>
      </c>
      <c r="O65" s="481">
        <v>9</v>
      </c>
      <c r="P65" s="482">
        <v>1706617</v>
      </c>
      <c r="Q65" s="77">
        <f t="shared" si="11"/>
        <v>3090953</v>
      </c>
      <c r="R65" s="481">
        <v>0</v>
      </c>
      <c r="S65" s="482">
        <v>0</v>
      </c>
      <c r="T65" s="481">
        <v>18.350000000000001</v>
      </c>
      <c r="U65" s="481">
        <v>43.19</v>
      </c>
      <c r="V65" s="481">
        <v>9</v>
      </c>
      <c r="W65" s="482">
        <v>3041502</v>
      </c>
      <c r="X65" s="14">
        <f t="shared" si="12"/>
        <v>3041502</v>
      </c>
      <c r="Y65" s="146">
        <f t="shared" si="13"/>
        <v>12.299999999999999</v>
      </c>
      <c r="Z65" s="14">
        <f t="shared" si="14"/>
        <v>1384336</v>
      </c>
      <c r="AA65" s="14">
        <f t="shared" si="15"/>
        <v>4748119</v>
      </c>
      <c r="AB65" s="147">
        <f t="shared" si="22"/>
        <v>25.97</v>
      </c>
      <c r="AC65" s="148">
        <f t="shared" si="23"/>
        <v>26.4</v>
      </c>
      <c r="AD65" s="128">
        <f t="shared" si="24"/>
        <v>52.37</v>
      </c>
      <c r="AE65" s="77">
        <f t="shared" si="16"/>
        <v>6132455</v>
      </c>
      <c r="AF65" s="157">
        <v>0.02</v>
      </c>
      <c r="AG65" s="278">
        <v>10811799</v>
      </c>
      <c r="AH65" s="278">
        <v>0</v>
      </c>
      <c r="AI65" s="492">
        <f t="shared" si="17"/>
        <v>10811799</v>
      </c>
      <c r="AJ65" s="77">
        <v>538870350</v>
      </c>
      <c r="AK65" s="77">
        <f t="shared" si="28"/>
        <v>540589950</v>
      </c>
      <c r="AL65" s="589">
        <f t="shared" si="18"/>
        <v>3.191120090389089E-3</v>
      </c>
      <c r="AM65" s="592">
        <f t="shared" si="19"/>
        <v>540589950</v>
      </c>
      <c r="AN65" s="130">
        <f t="shared" si="25"/>
        <v>0.02</v>
      </c>
      <c r="AO65" s="130">
        <f t="shared" si="26"/>
        <v>0</v>
      </c>
      <c r="AP65" s="77">
        <v>432567</v>
      </c>
      <c r="AQ65" s="77">
        <f t="shared" si="27"/>
        <v>17376821</v>
      </c>
      <c r="AR65" s="77">
        <f>ROUND(AQ65/'Table 3 Levels 1&amp;2'!C65,2)</f>
        <v>1830.49</v>
      </c>
    </row>
    <row r="66" spans="1:44">
      <c r="A66" s="12">
        <v>59</v>
      </c>
      <c r="B66" s="69" t="s">
        <v>159</v>
      </c>
      <c r="C66" s="14">
        <v>124413140</v>
      </c>
      <c r="D66" s="14">
        <v>42220039</v>
      </c>
      <c r="E66" s="14">
        <f t="shared" si="9"/>
        <v>82193101</v>
      </c>
      <c r="F66" s="14">
        <v>77180840</v>
      </c>
      <c r="G66" s="582">
        <f t="shared" si="10"/>
        <v>6.4941778296271457E-2</v>
      </c>
      <c r="H66" s="583">
        <f t="shared" si="21"/>
        <v>82193101</v>
      </c>
      <c r="I66" s="498">
        <v>3.91</v>
      </c>
      <c r="J66" s="482">
        <v>358858</v>
      </c>
      <c r="K66" s="498">
        <v>15.07</v>
      </c>
      <c r="L66" s="482">
        <v>1383103</v>
      </c>
      <c r="M66" s="481">
        <v>5.19</v>
      </c>
      <c r="N66" s="481">
        <v>5.19</v>
      </c>
      <c r="O66" s="481">
        <v>1</v>
      </c>
      <c r="P66" s="482">
        <v>23964</v>
      </c>
      <c r="Q66" s="77">
        <f t="shared" si="11"/>
        <v>1765925</v>
      </c>
      <c r="R66" s="481">
        <v>0</v>
      </c>
      <c r="S66" s="482">
        <v>0</v>
      </c>
      <c r="T66" s="481">
        <v>17</v>
      </c>
      <c r="U66" s="481">
        <v>33.5</v>
      </c>
      <c r="V66" s="481">
        <v>3</v>
      </c>
      <c r="W66" s="482">
        <v>2871264</v>
      </c>
      <c r="X66" s="14">
        <f t="shared" si="12"/>
        <v>2871264</v>
      </c>
      <c r="Y66" s="146">
        <f t="shared" si="13"/>
        <v>18.98</v>
      </c>
      <c r="Z66" s="14">
        <f t="shared" si="14"/>
        <v>1741961</v>
      </c>
      <c r="AA66" s="14">
        <f t="shared" si="15"/>
        <v>2895228</v>
      </c>
      <c r="AB66" s="147">
        <f t="shared" si="22"/>
        <v>34.93</v>
      </c>
      <c r="AC66" s="148">
        <f t="shared" si="23"/>
        <v>21.49</v>
      </c>
      <c r="AD66" s="128">
        <f t="shared" si="24"/>
        <v>56.42</v>
      </c>
      <c r="AE66" s="77">
        <f t="shared" si="16"/>
        <v>4637189</v>
      </c>
      <c r="AF66" s="157">
        <v>0.02</v>
      </c>
      <c r="AG66" s="278">
        <v>3958010</v>
      </c>
      <c r="AH66" s="278">
        <v>0</v>
      </c>
      <c r="AI66" s="492">
        <f t="shared" si="17"/>
        <v>3958010</v>
      </c>
      <c r="AJ66" s="77">
        <v>184213300</v>
      </c>
      <c r="AK66" s="77">
        <f t="shared" si="28"/>
        <v>197900500</v>
      </c>
      <c r="AL66" s="589">
        <f t="shared" si="18"/>
        <v>7.4300824099019988E-2</v>
      </c>
      <c r="AM66" s="592">
        <f t="shared" si="19"/>
        <v>197900500</v>
      </c>
      <c r="AN66" s="130">
        <f t="shared" si="25"/>
        <v>0.02</v>
      </c>
      <c r="AO66" s="130">
        <f t="shared" si="26"/>
        <v>0</v>
      </c>
      <c r="AP66" s="77">
        <v>161850</v>
      </c>
      <c r="AQ66" s="77">
        <f t="shared" si="27"/>
        <v>8757049</v>
      </c>
      <c r="AR66" s="77">
        <f>ROUND(AQ66/'Table 3 Levels 1&amp;2'!C66,2)</f>
        <v>1691.53</v>
      </c>
    </row>
    <row r="67" spans="1:44">
      <c r="A67" s="18">
        <v>60</v>
      </c>
      <c r="B67" s="70" t="s">
        <v>160</v>
      </c>
      <c r="C67" s="20">
        <v>280216270</v>
      </c>
      <c r="D67" s="20">
        <v>52209019</v>
      </c>
      <c r="E67" s="20">
        <f t="shared" si="9"/>
        <v>228007251</v>
      </c>
      <c r="F67" s="20">
        <v>213957412</v>
      </c>
      <c r="G67" s="756">
        <f t="shared" si="10"/>
        <v>6.5666521522516827E-2</v>
      </c>
      <c r="H67" s="757">
        <f t="shared" si="21"/>
        <v>228007251</v>
      </c>
      <c r="I67" s="499">
        <v>4.18</v>
      </c>
      <c r="J67" s="484">
        <v>947380</v>
      </c>
      <c r="K67" s="499">
        <v>11.58</v>
      </c>
      <c r="L67" s="484">
        <v>2619301</v>
      </c>
      <c r="M67" s="483">
        <v>7.12</v>
      </c>
      <c r="N67" s="483">
        <v>25.37</v>
      </c>
      <c r="O67" s="483">
        <v>3</v>
      </c>
      <c r="P67" s="484">
        <v>1449907</v>
      </c>
      <c r="Q67" s="78">
        <f t="shared" si="11"/>
        <v>5016588</v>
      </c>
      <c r="R67" s="483">
        <v>0</v>
      </c>
      <c r="S67" s="484">
        <v>0</v>
      </c>
      <c r="T67" s="483">
        <v>19</v>
      </c>
      <c r="U67" s="483">
        <v>40</v>
      </c>
      <c r="V67" s="483">
        <v>7</v>
      </c>
      <c r="W67" s="484">
        <v>6288274</v>
      </c>
      <c r="X67" s="20">
        <f t="shared" si="12"/>
        <v>6288274</v>
      </c>
      <c r="Y67" s="149">
        <f t="shared" si="13"/>
        <v>15.76</v>
      </c>
      <c r="Z67" s="20">
        <f t="shared" si="14"/>
        <v>3566681</v>
      </c>
      <c r="AA67" s="20">
        <f t="shared" si="15"/>
        <v>7738181</v>
      </c>
      <c r="AB67" s="150">
        <f t="shared" si="22"/>
        <v>27.58</v>
      </c>
      <c r="AC67" s="151">
        <f t="shared" si="23"/>
        <v>22</v>
      </c>
      <c r="AD67" s="129">
        <f t="shared" si="24"/>
        <v>49.58</v>
      </c>
      <c r="AE67" s="78">
        <f t="shared" si="16"/>
        <v>11304862</v>
      </c>
      <c r="AF67" s="158">
        <v>2.1299999999999999E-2</v>
      </c>
      <c r="AG67" s="279">
        <v>14308091</v>
      </c>
      <c r="AH67" s="279">
        <v>0</v>
      </c>
      <c r="AI67" s="493">
        <f t="shared" si="17"/>
        <v>14308091</v>
      </c>
      <c r="AJ67" s="78">
        <v>650909531</v>
      </c>
      <c r="AK67" s="78">
        <f t="shared" si="28"/>
        <v>671741362</v>
      </c>
      <c r="AL67" s="590">
        <f t="shared" si="18"/>
        <v>3.2004187998285742E-2</v>
      </c>
      <c r="AM67" s="593">
        <f t="shared" si="19"/>
        <v>671741362</v>
      </c>
      <c r="AN67" s="131">
        <f t="shared" si="25"/>
        <v>2.1299999984220119E-2</v>
      </c>
      <c r="AO67" s="131">
        <f t="shared" si="26"/>
        <v>0</v>
      </c>
      <c r="AP67" s="78">
        <v>354884.5</v>
      </c>
      <c r="AQ67" s="78">
        <f t="shared" si="27"/>
        <v>25967837.5</v>
      </c>
      <c r="AR67" s="78">
        <f>ROUND(AQ67/'Table 3 Levels 1&amp;2'!C67,2)</f>
        <v>4014.82</v>
      </c>
    </row>
    <row r="68" spans="1:44">
      <c r="A68" s="12">
        <v>61</v>
      </c>
      <c r="B68" s="69" t="s">
        <v>161</v>
      </c>
      <c r="C68" s="14">
        <v>367450610</v>
      </c>
      <c r="D68" s="14">
        <v>38994833</v>
      </c>
      <c r="E68" s="14">
        <f t="shared" si="9"/>
        <v>328455777</v>
      </c>
      <c r="F68" s="14">
        <v>311590633</v>
      </c>
      <c r="G68" s="582">
        <f t="shared" si="10"/>
        <v>5.412596597536358E-2</v>
      </c>
      <c r="H68" s="583">
        <f t="shared" si="21"/>
        <v>328455777</v>
      </c>
      <c r="I68" s="498">
        <v>4.3899999999999997</v>
      </c>
      <c r="J68" s="482">
        <v>1438743</v>
      </c>
      <c r="K68" s="498">
        <v>27</v>
      </c>
      <c r="L68" s="482">
        <v>8848758</v>
      </c>
      <c r="M68" s="481">
        <v>0</v>
      </c>
      <c r="N68" s="481">
        <v>0</v>
      </c>
      <c r="O68" s="481">
        <v>0</v>
      </c>
      <c r="P68" s="482">
        <v>0</v>
      </c>
      <c r="Q68" s="77">
        <f t="shared" si="11"/>
        <v>10287501</v>
      </c>
      <c r="R68" s="481">
        <v>4</v>
      </c>
      <c r="S68" s="482">
        <v>1310927</v>
      </c>
      <c r="T68" s="481">
        <v>0</v>
      </c>
      <c r="U68" s="481">
        <v>0</v>
      </c>
      <c r="V68" s="481">
        <v>0</v>
      </c>
      <c r="W68" s="482">
        <v>0</v>
      </c>
      <c r="X68" s="14">
        <f t="shared" si="12"/>
        <v>1310927</v>
      </c>
      <c r="Y68" s="146">
        <f t="shared" si="13"/>
        <v>35.39</v>
      </c>
      <c r="Z68" s="14">
        <f t="shared" si="14"/>
        <v>11598428</v>
      </c>
      <c r="AA68" s="14">
        <f t="shared" si="15"/>
        <v>0</v>
      </c>
      <c r="AB68" s="147">
        <f t="shared" si="22"/>
        <v>3.99</v>
      </c>
      <c r="AC68" s="148">
        <f t="shared" si="23"/>
        <v>31.32</v>
      </c>
      <c r="AD68" s="128">
        <f t="shared" si="24"/>
        <v>35.31</v>
      </c>
      <c r="AE68" s="77">
        <f t="shared" si="16"/>
        <v>11598428</v>
      </c>
      <c r="AF68" s="157">
        <v>0.02</v>
      </c>
      <c r="AG68" s="278">
        <v>10207463</v>
      </c>
      <c r="AH68" s="278">
        <v>0</v>
      </c>
      <c r="AI68" s="492">
        <f t="shared" si="17"/>
        <v>10207463</v>
      </c>
      <c r="AJ68" s="77">
        <v>536997350</v>
      </c>
      <c r="AK68" s="77">
        <f t="shared" si="28"/>
        <v>510373150</v>
      </c>
      <c r="AL68" s="589">
        <f t="shared" si="18"/>
        <v>-4.9579760496024791E-2</v>
      </c>
      <c r="AM68" s="592">
        <f t="shared" si="19"/>
        <v>510373150</v>
      </c>
      <c r="AN68" s="130">
        <f t="shared" si="25"/>
        <v>0.02</v>
      </c>
      <c r="AO68" s="130">
        <f t="shared" si="26"/>
        <v>0</v>
      </c>
      <c r="AP68" s="77">
        <v>210970.5</v>
      </c>
      <c r="AQ68" s="77">
        <f t="shared" si="27"/>
        <v>22016861.5</v>
      </c>
      <c r="AR68" s="77">
        <f>ROUND(AQ68/'Table 3 Levels 1&amp;2'!C68,2)</f>
        <v>6224.73</v>
      </c>
    </row>
    <row r="69" spans="1:44">
      <c r="A69" s="12">
        <v>62</v>
      </c>
      <c r="B69" s="69" t="s">
        <v>162</v>
      </c>
      <c r="C69" s="14">
        <v>66748070</v>
      </c>
      <c r="D69" s="14">
        <v>16299899</v>
      </c>
      <c r="E69" s="14">
        <f t="shared" si="9"/>
        <v>50448171</v>
      </c>
      <c r="F69" s="14">
        <v>53059759</v>
      </c>
      <c r="G69" s="582">
        <f t="shared" si="10"/>
        <v>-4.9219748623434194E-2</v>
      </c>
      <c r="H69" s="583">
        <f t="shared" si="21"/>
        <v>50448171</v>
      </c>
      <c r="I69" s="498">
        <v>6.33</v>
      </c>
      <c r="J69" s="482">
        <v>310464</v>
      </c>
      <c r="K69" s="498">
        <v>16.899999999999999</v>
      </c>
      <c r="L69" s="482">
        <v>828876</v>
      </c>
      <c r="M69" s="481">
        <v>4.47</v>
      </c>
      <c r="N69" s="481">
        <v>4.47</v>
      </c>
      <c r="O69" s="481">
        <v>1</v>
      </c>
      <c r="P69" s="482">
        <v>104340</v>
      </c>
      <c r="Q69" s="77">
        <f t="shared" si="11"/>
        <v>1243680</v>
      </c>
      <c r="R69" s="481">
        <v>0</v>
      </c>
      <c r="S69" s="482">
        <v>0</v>
      </c>
      <c r="T69" s="481">
        <v>0</v>
      </c>
      <c r="U69" s="481">
        <v>0</v>
      </c>
      <c r="V69" s="481">
        <v>0</v>
      </c>
      <c r="W69" s="482">
        <v>0</v>
      </c>
      <c r="X69" s="14">
        <f t="shared" si="12"/>
        <v>0</v>
      </c>
      <c r="Y69" s="146">
        <f t="shared" si="13"/>
        <v>23.229999999999997</v>
      </c>
      <c r="Z69" s="14">
        <f t="shared" si="14"/>
        <v>1139340</v>
      </c>
      <c r="AA69" s="14">
        <f t="shared" si="15"/>
        <v>104340</v>
      </c>
      <c r="AB69" s="147">
        <f t="shared" si="22"/>
        <v>0</v>
      </c>
      <c r="AC69" s="148">
        <f t="shared" si="23"/>
        <v>24.65</v>
      </c>
      <c r="AD69" s="128">
        <f t="shared" si="24"/>
        <v>24.65</v>
      </c>
      <c r="AE69" s="77">
        <f t="shared" si="16"/>
        <v>1243680</v>
      </c>
      <c r="AF69" s="157">
        <v>0.02</v>
      </c>
      <c r="AG69" s="278">
        <v>2272494</v>
      </c>
      <c r="AH69" s="278">
        <v>0</v>
      </c>
      <c r="AI69" s="492">
        <f t="shared" si="17"/>
        <v>2272494</v>
      </c>
      <c r="AJ69" s="77">
        <v>110454550</v>
      </c>
      <c r="AK69" s="77">
        <f t="shared" si="28"/>
        <v>113624700</v>
      </c>
      <c r="AL69" s="589">
        <f t="shared" si="18"/>
        <v>2.8700945320948752E-2</v>
      </c>
      <c r="AM69" s="592">
        <f t="shared" si="19"/>
        <v>113624700</v>
      </c>
      <c r="AN69" s="130">
        <f t="shared" si="25"/>
        <v>0.02</v>
      </c>
      <c r="AO69" s="130">
        <f t="shared" si="26"/>
        <v>0</v>
      </c>
      <c r="AP69" s="77">
        <v>97717.5</v>
      </c>
      <c r="AQ69" s="77">
        <f t="shared" si="27"/>
        <v>3613891.5</v>
      </c>
      <c r="AR69" s="77">
        <f>ROUND(AQ69/'Table 3 Levels 1&amp;2'!C69,2)</f>
        <v>1720.9</v>
      </c>
    </row>
    <row r="70" spans="1:44">
      <c r="A70" s="12">
        <v>63</v>
      </c>
      <c r="B70" s="69" t="s">
        <v>163</v>
      </c>
      <c r="C70" s="14">
        <v>287736902</v>
      </c>
      <c r="D70" s="14">
        <v>16665937</v>
      </c>
      <c r="E70" s="14">
        <f t="shared" si="9"/>
        <v>271070965</v>
      </c>
      <c r="F70" s="14">
        <v>273853000</v>
      </c>
      <c r="G70" s="582">
        <f t="shared" si="10"/>
        <v>-1.0158862601468671E-2</v>
      </c>
      <c r="H70" s="583">
        <f t="shared" si="21"/>
        <v>271070965</v>
      </c>
      <c r="I70" s="498">
        <v>4.46</v>
      </c>
      <c r="J70" s="482">
        <v>1163200</v>
      </c>
      <c r="K70" s="498">
        <v>29.5</v>
      </c>
      <c r="L70" s="482">
        <v>7689508</v>
      </c>
      <c r="M70" s="481">
        <v>0</v>
      </c>
      <c r="N70" s="481">
        <v>0</v>
      </c>
      <c r="O70" s="481">
        <v>0</v>
      </c>
      <c r="P70" s="482">
        <v>0</v>
      </c>
      <c r="Q70" s="77">
        <f t="shared" si="11"/>
        <v>8852708</v>
      </c>
      <c r="R70" s="481">
        <v>4</v>
      </c>
      <c r="S70" s="482">
        <v>1043227</v>
      </c>
      <c r="T70" s="481">
        <v>0</v>
      </c>
      <c r="U70" s="481">
        <v>0</v>
      </c>
      <c r="V70" s="481">
        <v>0</v>
      </c>
      <c r="W70" s="482">
        <v>0</v>
      </c>
      <c r="X70" s="14">
        <f t="shared" si="12"/>
        <v>1043227</v>
      </c>
      <c r="Y70" s="146">
        <f t="shared" si="13"/>
        <v>37.96</v>
      </c>
      <c r="Z70" s="14">
        <f t="shared" si="14"/>
        <v>9895935</v>
      </c>
      <c r="AA70" s="14">
        <f t="shared" si="15"/>
        <v>0</v>
      </c>
      <c r="AB70" s="147">
        <f t="shared" si="22"/>
        <v>3.85</v>
      </c>
      <c r="AC70" s="148">
        <f t="shared" si="23"/>
        <v>32.659999999999997</v>
      </c>
      <c r="AD70" s="128">
        <f t="shared" si="24"/>
        <v>36.51</v>
      </c>
      <c r="AE70" s="77">
        <f t="shared" si="16"/>
        <v>9895935</v>
      </c>
      <c r="AF70" s="157">
        <v>2.5000000000000001E-2</v>
      </c>
      <c r="AG70" s="278">
        <v>4158235</v>
      </c>
      <c r="AH70" s="278">
        <v>0</v>
      </c>
      <c r="AI70" s="492">
        <f t="shared" si="17"/>
        <v>4158235</v>
      </c>
      <c r="AJ70" s="77">
        <v>197835100</v>
      </c>
      <c r="AK70" s="77">
        <f t="shared" si="28"/>
        <v>166329400</v>
      </c>
      <c r="AL70" s="589">
        <f t="shared" si="18"/>
        <v>-0.15925232681157186</v>
      </c>
      <c r="AM70" s="592">
        <f t="shared" si="19"/>
        <v>166329400</v>
      </c>
      <c r="AN70" s="130">
        <f t="shared" si="25"/>
        <v>2.5000000000000001E-2</v>
      </c>
      <c r="AO70" s="130">
        <f t="shared" si="26"/>
        <v>0</v>
      </c>
      <c r="AP70" s="77">
        <v>55770.5</v>
      </c>
      <c r="AQ70" s="77">
        <f t="shared" si="27"/>
        <v>14109940.5</v>
      </c>
      <c r="AR70" s="77">
        <f>ROUND(AQ70/'Table 3 Levels 1&amp;2'!C70,2)</f>
        <v>6937.04</v>
      </c>
    </row>
    <row r="71" spans="1:44">
      <c r="A71" s="12">
        <v>64</v>
      </c>
      <c r="B71" s="69" t="s">
        <v>164</v>
      </c>
      <c r="C71" s="14">
        <v>86074043</v>
      </c>
      <c r="D71" s="14">
        <v>16064294</v>
      </c>
      <c r="E71" s="14">
        <f t="shared" si="9"/>
        <v>70009749</v>
      </c>
      <c r="F71" s="14">
        <v>59155594</v>
      </c>
      <c r="G71" s="584">
        <f t="shared" si="10"/>
        <v>0.18348484506807589</v>
      </c>
      <c r="H71" s="585">
        <f t="shared" si="21"/>
        <v>65071153.400000006</v>
      </c>
      <c r="I71" s="498">
        <v>4.88</v>
      </c>
      <c r="J71" s="482">
        <v>299702</v>
      </c>
      <c r="K71" s="498">
        <v>15.64</v>
      </c>
      <c r="L71" s="482">
        <v>962306</v>
      </c>
      <c r="M71" s="481">
        <v>3</v>
      </c>
      <c r="N71" s="481">
        <v>3.12</v>
      </c>
      <c r="O71" s="481">
        <v>2</v>
      </c>
      <c r="P71" s="482">
        <v>158867</v>
      </c>
      <c r="Q71" s="77">
        <f t="shared" si="11"/>
        <v>1420875</v>
      </c>
      <c r="R71" s="481">
        <v>0</v>
      </c>
      <c r="S71" s="482">
        <v>0</v>
      </c>
      <c r="T71" s="481">
        <v>18</v>
      </c>
      <c r="U71" s="481">
        <v>45</v>
      </c>
      <c r="V71" s="481">
        <v>4</v>
      </c>
      <c r="W71" s="482">
        <v>1431955</v>
      </c>
      <c r="X71" s="14">
        <f t="shared" si="12"/>
        <v>1431955</v>
      </c>
      <c r="Y71" s="146">
        <f t="shared" si="13"/>
        <v>20.52</v>
      </c>
      <c r="Z71" s="14">
        <f t="shared" si="14"/>
        <v>1262008</v>
      </c>
      <c r="AA71" s="14">
        <f t="shared" si="15"/>
        <v>1590822</v>
      </c>
      <c r="AB71" s="147">
        <f t="shared" si="22"/>
        <v>20.45</v>
      </c>
      <c r="AC71" s="148">
        <f t="shared" si="23"/>
        <v>20.3</v>
      </c>
      <c r="AD71" s="128">
        <f t="shared" si="24"/>
        <v>40.75</v>
      </c>
      <c r="AE71" s="77">
        <f t="shared" si="16"/>
        <v>2852830</v>
      </c>
      <c r="AF71" s="157">
        <v>0.02</v>
      </c>
      <c r="AG71" s="278">
        <v>3504036</v>
      </c>
      <c r="AH71" s="278">
        <v>0</v>
      </c>
      <c r="AI71" s="492">
        <f t="shared" si="17"/>
        <v>3504036</v>
      </c>
      <c r="AJ71" s="77">
        <v>159191000</v>
      </c>
      <c r="AK71" s="77">
        <f t="shared" si="28"/>
        <v>175201800</v>
      </c>
      <c r="AL71" s="589">
        <f t="shared" si="18"/>
        <v>0.10057603759006477</v>
      </c>
      <c r="AM71" s="592">
        <f t="shared" si="19"/>
        <v>175201800</v>
      </c>
      <c r="AN71" s="130">
        <f t="shared" si="25"/>
        <v>0.02</v>
      </c>
      <c r="AO71" s="130">
        <f t="shared" si="26"/>
        <v>0</v>
      </c>
      <c r="AP71" s="77">
        <v>309841</v>
      </c>
      <c r="AQ71" s="77">
        <f t="shared" si="27"/>
        <v>6666707</v>
      </c>
      <c r="AR71" s="77">
        <f>ROUND(AQ71/'Table 3 Levels 1&amp;2'!C71,2)</f>
        <v>2754.84</v>
      </c>
    </row>
    <row r="72" spans="1:44">
      <c r="A72" s="18">
        <v>65</v>
      </c>
      <c r="B72" s="70" t="s">
        <v>165</v>
      </c>
      <c r="C72" s="20">
        <v>383752471</v>
      </c>
      <c r="D72" s="20">
        <v>46690034</v>
      </c>
      <c r="E72" s="20">
        <f t="shared" si="9"/>
        <v>337062437</v>
      </c>
      <c r="F72" s="20">
        <v>342041168</v>
      </c>
      <c r="G72" s="756">
        <f t="shared" si="10"/>
        <v>-1.4555940821720034E-2</v>
      </c>
      <c r="H72" s="757">
        <f t="shared" si="21"/>
        <v>337062437</v>
      </c>
      <c r="I72" s="499">
        <v>7.07</v>
      </c>
      <c r="J72" s="484">
        <v>2378645</v>
      </c>
      <c r="K72" s="499">
        <v>20.57</v>
      </c>
      <c r="L72" s="484">
        <v>6924265</v>
      </c>
      <c r="M72" s="483">
        <v>0</v>
      </c>
      <c r="N72" s="483">
        <v>0</v>
      </c>
      <c r="O72" s="483">
        <v>0</v>
      </c>
      <c r="P72" s="484">
        <v>0</v>
      </c>
      <c r="Q72" s="78">
        <f t="shared" si="11"/>
        <v>9302910</v>
      </c>
      <c r="R72" s="483">
        <v>17</v>
      </c>
      <c r="S72" s="484">
        <v>5717698</v>
      </c>
      <c r="T72" s="483">
        <v>0</v>
      </c>
      <c r="U72" s="483">
        <v>0</v>
      </c>
      <c r="V72" s="483">
        <v>0</v>
      </c>
      <c r="W72" s="484">
        <v>0</v>
      </c>
      <c r="X72" s="20">
        <f t="shared" si="12"/>
        <v>5717698</v>
      </c>
      <c r="Y72" s="149">
        <f t="shared" si="13"/>
        <v>44.64</v>
      </c>
      <c r="Z72" s="20">
        <f t="shared" si="14"/>
        <v>15020608</v>
      </c>
      <c r="AA72" s="20">
        <f t="shared" si="15"/>
        <v>0</v>
      </c>
      <c r="AB72" s="150">
        <f t="shared" ref="AB72:AB77" si="29">ROUND((X72/E72)*1000,2)</f>
        <v>16.96</v>
      </c>
      <c r="AC72" s="151">
        <f t="shared" ref="AC72:AC77" si="30">ROUND((Q72/E72)*1000,2)</f>
        <v>27.6</v>
      </c>
      <c r="AD72" s="129">
        <f t="shared" ref="AD72:AD77" si="31">ROUND((AE72/E72)*1000,2)</f>
        <v>44.56</v>
      </c>
      <c r="AE72" s="78">
        <f t="shared" si="16"/>
        <v>15020608</v>
      </c>
      <c r="AF72" s="158">
        <v>0.02</v>
      </c>
      <c r="AG72" s="279">
        <v>24878003</v>
      </c>
      <c r="AH72" s="279">
        <v>0</v>
      </c>
      <c r="AI72" s="493">
        <f t="shared" si="17"/>
        <v>24878003</v>
      </c>
      <c r="AJ72" s="78">
        <v>1201463950</v>
      </c>
      <c r="AK72" s="78">
        <f t="shared" si="28"/>
        <v>1243900150</v>
      </c>
      <c r="AL72" s="590">
        <f t="shared" si="18"/>
        <v>3.5320410570787414E-2</v>
      </c>
      <c r="AM72" s="593">
        <f t="shared" si="19"/>
        <v>1243900150</v>
      </c>
      <c r="AN72" s="131">
        <f t="shared" si="25"/>
        <v>0.02</v>
      </c>
      <c r="AO72" s="131">
        <f t="shared" si="26"/>
        <v>0</v>
      </c>
      <c r="AP72" s="78">
        <v>303721</v>
      </c>
      <c r="AQ72" s="78">
        <f>AP72+AE72+AI72</f>
        <v>40202332</v>
      </c>
      <c r="AR72" s="78">
        <f>ROUND(AQ72/'Table 3 Levels 1&amp;2'!C72,2)</f>
        <v>4783.1400000000003</v>
      </c>
    </row>
    <row r="73" spans="1:44">
      <c r="A73" s="12">
        <v>66</v>
      </c>
      <c r="B73" s="69" t="s">
        <v>166</v>
      </c>
      <c r="C73" s="77">
        <v>99780600</v>
      </c>
      <c r="D73" s="77">
        <v>21176570</v>
      </c>
      <c r="E73" s="14">
        <f>C73-D73</f>
        <v>78604030</v>
      </c>
      <c r="F73" s="77">
        <v>73038730</v>
      </c>
      <c r="G73" s="582">
        <f>(E73-F73)/F73</f>
        <v>7.6196560372832331E-2</v>
      </c>
      <c r="H73" s="583">
        <f t="shared" si="21"/>
        <v>78604030</v>
      </c>
      <c r="I73" s="498">
        <v>6.44</v>
      </c>
      <c r="J73" s="482">
        <v>496571</v>
      </c>
      <c r="K73" s="498">
        <v>56.37</v>
      </c>
      <c r="L73" s="482">
        <v>4223286</v>
      </c>
      <c r="M73" s="481">
        <v>0</v>
      </c>
      <c r="N73" s="481">
        <v>0</v>
      </c>
      <c r="O73" s="481">
        <v>0</v>
      </c>
      <c r="P73" s="482">
        <v>0</v>
      </c>
      <c r="Q73" s="77">
        <f>J73+L73+P73</f>
        <v>4719857</v>
      </c>
      <c r="R73" s="481">
        <v>0</v>
      </c>
      <c r="S73" s="482">
        <v>0</v>
      </c>
      <c r="T73" s="481">
        <v>0</v>
      </c>
      <c r="U73" s="481">
        <v>0</v>
      </c>
      <c r="V73" s="481">
        <v>0</v>
      </c>
      <c r="W73" s="482">
        <v>0</v>
      </c>
      <c r="X73" s="77">
        <f>S73+W73</f>
        <v>0</v>
      </c>
      <c r="Y73" s="161">
        <f t="shared" ref="Y73:Z75" si="32">I73+K73+R73</f>
        <v>62.809999999999995</v>
      </c>
      <c r="Z73" s="77">
        <f t="shared" si="32"/>
        <v>4719857</v>
      </c>
      <c r="AA73" s="77">
        <f>P73+W73</f>
        <v>0</v>
      </c>
      <c r="AB73" s="162">
        <f t="shared" si="29"/>
        <v>0</v>
      </c>
      <c r="AC73" s="163">
        <f t="shared" si="30"/>
        <v>60.05</v>
      </c>
      <c r="AD73" s="128">
        <f t="shared" si="31"/>
        <v>60.05</v>
      </c>
      <c r="AE73" s="77">
        <f>X73+Q73</f>
        <v>4719857</v>
      </c>
      <c r="AF73" s="157">
        <v>0.01</v>
      </c>
      <c r="AG73" s="278">
        <v>2310643</v>
      </c>
      <c r="AH73" s="278">
        <v>0</v>
      </c>
      <c r="AI73" s="492">
        <f>AG73+AH73</f>
        <v>2310643</v>
      </c>
      <c r="AJ73" s="77">
        <v>233497200</v>
      </c>
      <c r="AK73" s="77">
        <f t="shared" si="28"/>
        <v>231064300</v>
      </c>
      <c r="AL73" s="589">
        <f>(AK73-AJ73)/AJ73</f>
        <v>-1.0419396892125473E-2</v>
      </c>
      <c r="AM73" s="592">
        <f>IF((AK73-AJ73)/AJ73&gt;$AM$5,AJ73*(1+$AM$5),AK73)</f>
        <v>231064300</v>
      </c>
      <c r="AN73" s="130">
        <f t="shared" si="25"/>
        <v>0.01</v>
      </c>
      <c r="AO73" s="130">
        <f t="shared" si="26"/>
        <v>0</v>
      </c>
      <c r="AP73" s="77">
        <v>214465</v>
      </c>
      <c r="AQ73" s="77">
        <f>AP73+AE73+AI73</f>
        <v>7244965</v>
      </c>
      <c r="AR73" s="77">
        <f>ROUND(AQ73/'Table 3 Levels 1&amp;2'!C73,2)</f>
        <v>3522.1</v>
      </c>
    </row>
    <row r="74" spans="1:44" s="75" customFormat="1">
      <c r="A74" s="103">
        <v>67</v>
      </c>
      <c r="B74" s="160" t="s">
        <v>33</v>
      </c>
      <c r="C74" s="77">
        <v>224340050</v>
      </c>
      <c r="D74" s="165">
        <v>37676700</v>
      </c>
      <c r="E74" s="14">
        <f>C74-D74</f>
        <v>186663350</v>
      </c>
      <c r="F74" s="165">
        <v>184265610</v>
      </c>
      <c r="G74" s="758">
        <f>(E74-F74)/F74</f>
        <v>1.3012411811406371E-2</v>
      </c>
      <c r="H74" s="583">
        <f t="shared" si="21"/>
        <v>186663350</v>
      </c>
      <c r="I74" s="161">
        <v>5</v>
      </c>
      <c r="J74" s="77">
        <v>916793</v>
      </c>
      <c r="K74" s="161">
        <v>38.200000000000003</v>
      </c>
      <c r="L74" s="77">
        <v>7004471</v>
      </c>
      <c r="M74" s="487">
        <v>0</v>
      </c>
      <c r="N74" s="487">
        <v>0</v>
      </c>
      <c r="O74" s="81">
        <v>1</v>
      </c>
      <c r="P74" s="77">
        <v>0</v>
      </c>
      <c r="Q74" s="77">
        <f>J74+L74+P74</f>
        <v>7921264</v>
      </c>
      <c r="R74" s="481">
        <v>36</v>
      </c>
      <c r="S74" s="77">
        <v>6611442</v>
      </c>
      <c r="T74" s="487">
        <v>0</v>
      </c>
      <c r="U74" s="487">
        <v>0</v>
      </c>
      <c r="V74" s="81">
        <v>1</v>
      </c>
      <c r="W74" s="77">
        <v>0</v>
      </c>
      <c r="X74" s="77">
        <f>S74+W74</f>
        <v>6611442</v>
      </c>
      <c r="Y74" s="161">
        <f t="shared" si="32"/>
        <v>79.2</v>
      </c>
      <c r="Z74" s="77">
        <f t="shared" si="32"/>
        <v>14532706</v>
      </c>
      <c r="AA74" s="77">
        <f>P74+W74</f>
        <v>0</v>
      </c>
      <c r="AB74" s="162">
        <f t="shared" si="29"/>
        <v>35.42</v>
      </c>
      <c r="AC74" s="163">
        <f t="shared" si="30"/>
        <v>42.44</v>
      </c>
      <c r="AD74" s="128">
        <f t="shared" si="31"/>
        <v>77.86</v>
      </c>
      <c r="AE74" s="77">
        <f>X74+Q74</f>
        <v>14532706</v>
      </c>
      <c r="AF74" s="157">
        <v>0.02</v>
      </c>
      <c r="AG74" s="278">
        <v>7761984</v>
      </c>
      <c r="AH74" s="278">
        <v>0</v>
      </c>
      <c r="AI74" s="492">
        <f>AG74+AH74</f>
        <v>7761984</v>
      </c>
      <c r="AJ74" s="77">
        <v>381984350</v>
      </c>
      <c r="AK74" s="77">
        <f t="shared" si="28"/>
        <v>388099200</v>
      </c>
      <c r="AL74" s="589">
        <f>(AK74-AJ74)/AJ74</f>
        <v>1.6008116562890602E-2</v>
      </c>
      <c r="AM74" s="592">
        <f>IF((AK74-AJ74)/AJ74&gt;$AM$5,AJ74*(1+$AM$5),AK74)</f>
        <v>388099200</v>
      </c>
      <c r="AN74" s="130">
        <f t="shared" si="25"/>
        <v>0.02</v>
      </c>
      <c r="AO74" s="130">
        <f t="shared" si="26"/>
        <v>0</v>
      </c>
      <c r="AP74" s="77">
        <v>81064</v>
      </c>
      <c r="AQ74" s="77">
        <f>AP74+AE74+AI74</f>
        <v>22375754</v>
      </c>
      <c r="AR74" s="77">
        <f>ROUND(AQ74/'Table 3 Levels 1&amp;2'!C74,2)</f>
        <v>4417.72</v>
      </c>
    </row>
    <row r="75" spans="1:44" s="75" customFormat="1">
      <c r="A75" s="103">
        <v>68</v>
      </c>
      <c r="B75" s="160" t="s">
        <v>31</v>
      </c>
      <c r="C75" s="77">
        <v>65684720</v>
      </c>
      <c r="D75" s="165">
        <v>21233950</v>
      </c>
      <c r="E75" s="165">
        <f>C75-D75</f>
        <v>44450770</v>
      </c>
      <c r="F75" s="165">
        <v>46445230</v>
      </c>
      <c r="G75" s="758">
        <f>(E75-F75)/F75</f>
        <v>-4.2942192341387908E-2</v>
      </c>
      <c r="H75" s="583">
        <f t="shared" si="21"/>
        <v>44450770</v>
      </c>
      <c r="I75" s="161">
        <v>5</v>
      </c>
      <c r="J75" s="77">
        <v>210986</v>
      </c>
      <c r="K75" s="161">
        <v>38.200000000000003</v>
      </c>
      <c r="L75" s="77">
        <v>1610580</v>
      </c>
      <c r="M75" s="487">
        <v>0</v>
      </c>
      <c r="N75" s="487">
        <v>0</v>
      </c>
      <c r="O75" s="81">
        <v>1</v>
      </c>
      <c r="P75" s="77">
        <v>0</v>
      </c>
      <c r="Q75" s="77">
        <f>J75+L75+P75</f>
        <v>1821566</v>
      </c>
      <c r="R75" s="481">
        <v>0</v>
      </c>
      <c r="S75" s="77">
        <v>0</v>
      </c>
      <c r="T75" s="487">
        <v>0</v>
      </c>
      <c r="U75" s="487">
        <v>0</v>
      </c>
      <c r="V75" s="81">
        <v>1</v>
      </c>
      <c r="W75" s="77">
        <v>0</v>
      </c>
      <c r="X75" s="77">
        <f>S75+W75</f>
        <v>0</v>
      </c>
      <c r="Y75" s="161">
        <f t="shared" si="32"/>
        <v>43.2</v>
      </c>
      <c r="Z75" s="77">
        <f t="shared" si="32"/>
        <v>1821566</v>
      </c>
      <c r="AA75" s="77">
        <f>P75+W75</f>
        <v>0</v>
      </c>
      <c r="AB75" s="162">
        <f t="shared" si="29"/>
        <v>0</v>
      </c>
      <c r="AC75" s="163">
        <f t="shared" si="30"/>
        <v>40.98</v>
      </c>
      <c r="AD75" s="128">
        <f t="shared" si="31"/>
        <v>40.98</v>
      </c>
      <c r="AE75" s="77">
        <f>X75+Q75</f>
        <v>1821566</v>
      </c>
      <c r="AF75" s="157">
        <v>0.02</v>
      </c>
      <c r="AG75" s="278">
        <v>3220233</v>
      </c>
      <c r="AH75" s="278">
        <v>0</v>
      </c>
      <c r="AI75" s="492">
        <f>AG75+AH75</f>
        <v>3220233</v>
      </c>
      <c r="AJ75" s="77">
        <v>150485100</v>
      </c>
      <c r="AK75" s="77">
        <f t="shared" si="28"/>
        <v>161011650</v>
      </c>
      <c r="AL75" s="589">
        <f>(AK75-AJ75)/AJ75</f>
        <v>6.9950779180131456E-2</v>
      </c>
      <c r="AM75" s="592">
        <f>IF((AK75-AJ75)/AJ75&gt;$AM$5,AJ75*(1+$AM$5),AK75)</f>
        <v>161011650</v>
      </c>
      <c r="AN75" s="130">
        <f t="shared" si="25"/>
        <v>0.02</v>
      </c>
      <c r="AO75" s="130">
        <f t="shared" si="26"/>
        <v>0</v>
      </c>
      <c r="AP75" s="77">
        <v>45686</v>
      </c>
      <c r="AQ75" s="77">
        <f>AP75+AE75+AI75</f>
        <v>5087485</v>
      </c>
      <c r="AR75" s="77">
        <f>ROUND(AQ75/'Table 3 Levels 1&amp;2'!C75,2)</f>
        <v>2879.17</v>
      </c>
    </row>
    <row r="76" spans="1:44" s="109" customFormat="1">
      <c r="A76" s="103">
        <v>69</v>
      </c>
      <c r="B76" s="160" t="s">
        <v>229</v>
      </c>
      <c r="C76" s="77">
        <v>167279030</v>
      </c>
      <c r="D76" s="165">
        <v>61883300</v>
      </c>
      <c r="E76" s="165">
        <f>C76-D76</f>
        <v>105395730</v>
      </c>
      <c r="F76" s="165">
        <v>101279930</v>
      </c>
      <c r="G76" s="758">
        <f>(E76-F76)/F76</f>
        <v>4.0637863789992748E-2</v>
      </c>
      <c r="H76" s="583">
        <f t="shared" si="21"/>
        <v>105395730</v>
      </c>
      <c r="I76" s="161">
        <v>4.58</v>
      </c>
      <c r="J76" s="77">
        <v>469703</v>
      </c>
      <c r="K76" s="161">
        <v>35.21</v>
      </c>
      <c r="L76" s="77">
        <v>3610230</v>
      </c>
      <c r="M76" s="487">
        <v>0</v>
      </c>
      <c r="N76" s="487">
        <v>0</v>
      </c>
      <c r="O76" s="81">
        <v>7</v>
      </c>
      <c r="P76" s="77">
        <v>0</v>
      </c>
      <c r="Q76" s="488">
        <f>J76+L76+P76</f>
        <v>4079933</v>
      </c>
      <c r="R76" s="483">
        <v>23.65</v>
      </c>
      <c r="S76" s="77">
        <v>2432267</v>
      </c>
      <c r="T76" s="487">
        <v>0</v>
      </c>
      <c r="U76" s="487">
        <v>0</v>
      </c>
      <c r="V76" s="81">
        <v>7</v>
      </c>
      <c r="W76" s="77">
        <v>0</v>
      </c>
      <c r="X76" s="488">
        <f>S76+W76</f>
        <v>2432267</v>
      </c>
      <c r="Y76" s="161">
        <f>I76+K76+R76</f>
        <v>63.44</v>
      </c>
      <c r="Z76" s="77">
        <f>J76+L76+S76</f>
        <v>6512200</v>
      </c>
      <c r="AA76" s="77">
        <f>P76+W76</f>
        <v>0</v>
      </c>
      <c r="AB76" s="489">
        <f t="shared" si="29"/>
        <v>23.08</v>
      </c>
      <c r="AC76" s="490">
        <f t="shared" si="30"/>
        <v>38.71</v>
      </c>
      <c r="AD76" s="491">
        <f t="shared" si="31"/>
        <v>61.79</v>
      </c>
      <c r="AE76" s="77">
        <f>X76+Q76</f>
        <v>6512200</v>
      </c>
      <c r="AF76" s="157">
        <v>2.5000000000000001E-2</v>
      </c>
      <c r="AG76" s="278">
        <v>5374013</v>
      </c>
      <c r="AH76" s="278">
        <v>1343245</v>
      </c>
      <c r="AI76" s="492">
        <f>AG76+AH76</f>
        <v>6717258</v>
      </c>
      <c r="AJ76" s="77">
        <v>270790640</v>
      </c>
      <c r="AK76" s="77">
        <f t="shared" si="28"/>
        <v>268690320</v>
      </c>
      <c r="AL76" s="589">
        <f>(AK76-AJ76)/AJ76</f>
        <v>-7.7562503637496477E-3</v>
      </c>
      <c r="AM76" s="592">
        <f>IF((AK76-AJ76)/AJ76&gt;$AM$5,AJ76*(1+$AM$5),AK76)</f>
        <v>268690320</v>
      </c>
      <c r="AN76" s="130">
        <f t="shared" si="25"/>
        <v>2.000076891493523E-2</v>
      </c>
      <c r="AO76" s="130">
        <f t="shared" si="26"/>
        <v>4.9992310850647693E-3</v>
      </c>
      <c r="AP76" s="77">
        <v>0</v>
      </c>
      <c r="AQ76" s="77">
        <f>AP76+AE76+AI76</f>
        <v>13229458</v>
      </c>
      <c r="AR76" s="77">
        <f>ROUND(AQ76/'Table 3 Levels 1&amp;2'!C76,2)</f>
        <v>3357.73</v>
      </c>
    </row>
    <row r="77" spans="1:44" s="62" customFormat="1" ht="13.5" thickBot="1">
      <c r="A77" s="376"/>
      <c r="B77" s="377" t="s">
        <v>98</v>
      </c>
      <c r="C77" s="159">
        <f>SUM(C8:C76)</f>
        <v>39287212425</v>
      </c>
      <c r="D77" s="159">
        <f>SUM(D8:D76)</f>
        <v>6774840685</v>
      </c>
      <c r="E77" s="159">
        <f>SUM(E8:E76)</f>
        <v>32512371740</v>
      </c>
      <c r="F77" s="378">
        <f>SUM(F8:F76)</f>
        <v>31424624315</v>
      </c>
      <c r="G77" s="942">
        <f>(E77-F77)/F77</f>
        <v>3.4614492574244794E-2</v>
      </c>
      <c r="H77" s="943">
        <f>SUM(H8:H76)</f>
        <v>32368249012.300007</v>
      </c>
      <c r="I77" s="379">
        <v>5.0599999999999996</v>
      </c>
      <c r="J77" s="159">
        <f>SUM(J8:J76)</f>
        <v>204507018</v>
      </c>
      <c r="K77" s="380">
        <v>23.86</v>
      </c>
      <c r="L77" s="159">
        <f>SUM(L8:L76)</f>
        <v>838182666</v>
      </c>
      <c r="M77" s="380">
        <v>0</v>
      </c>
      <c r="N77" s="380">
        <v>89.78</v>
      </c>
      <c r="O77" s="380">
        <f>SUM(O8:O76)</f>
        <v>115</v>
      </c>
      <c r="P77" s="159">
        <f>SUM(P8:P76)</f>
        <v>30313027</v>
      </c>
      <c r="Q77" s="159">
        <f>SUM(Q8:Q76)</f>
        <v>1073002711</v>
      </c>
      <c r="R77" s="494">
        <v>4.99</v>
      </c>
      <c r="S77" s="413">
        <f>SUM(S8:S76)</f>
        <v>142304973</v>
      </c>
      <c r="T77" s="494">
        <v>0</v>
      </c>
      <c r="U77" s="494">
        <v>55</v>
      </c>
      <c r="V77" s="494">
        <f>SUM(V8:V76)</f>
        <v>143</v>
      </c>
      <c r="W77" s="413">
        <f>SUM(W8:W76)</f>
        <v>92990433</v>
      </c>
      <c r="X77" s="159">
        <f>SUM(X8:X76)</f>
        <v>235295406</v>
      </c>
      <c r="Y77" s="380"/>
      <c r="Z77" s="159">
        <f>SUM(Z8:Z76)</f>
        <v>1184994657</v>
      </c>
      <c r="AA77" s="159">
        <f>SUM(AA8:AA76)</f>
        <v>123303460</v>
      </c>
      <c r="AB77" s="381">
        <f t="shared" si="29"/>
        <v>7.24</v>
      </c>
      <c r="AC77" s="382">
        <f t="shared" si="30"/>
        <v>33</v>
      </c>
      <c r="AD77" s="759">
        <f t="shared" si="31"/>
        <v>40.24</v>
      </c>
      <c r="AE77" s="159">
        <f>SUM(AE8:AE76)</f>
        <v>1308298117</v>
      </c>
      <c r="AF77" s="480">
        <f>ROUND(AI77/AK77,4)</f>
        <v>1.9800000000000002E-2</v>
      </c>
      <c r="AG77" s="746">
        <f>SUM(AG8:AG76)</f>
        <v>1601531744</v>
      </c>
      <c r="AH77" s="746">
        <f>SUM(AH8:AH76)</f>
        <v>41988526</v>
      </c>
      <c r="AI77" s="378">
        <f>SUM(AI8:AI76)</f>
        <v>1644278388</v>
      </c>
      <c r="AJ77" s="378">
        <f>SUM(AJ8:AJ76)</f>
        <v>78125864792</v>
      </c>
      <c r="AK77" s="378">
        <f>SUM(AK8:AK76)</f>
        <v>82977212324.5</v>
      </c>
      <c r="AL77" s="946">
        <f>(AK77-AJ77)/AJ77</f>
        <v>6.2096561048201958E-2</v>
      </c>
      <c r="AM77" s="378">
        <f>SUM(AM8:AM76)</f>
        <v>81720840432.400009</v>
      </c>
      <c r="AN77" s="383">
        <f>ROUND(AG77/$AK77,4)</f>
        <v>1.9300000000000001E-2</v>
      </c>
      <c r="AO77" s="383">
        <f>ROUND(AH77/$AK77,4)</f>
        <v>5.0000000000000001E-4</v>
      </c>
      <c r="AP77" s="413">
        <f>SUM(AP8:AP76)</f>
        <v>38141997.5</v>
      </c>
      <c r="AQ77" s="159">
        <f>SUM(AQ8:AQ76)</f>
        <v>2990718502.5</v>
      </c>
      <c r="AR77" s="159">
        <f>ROUND(AQ77/'Table 3 Levels 1&amp;2'!C77,2)</f>
        <v>4448.82</v>
      </c>
    </row>
    <row r="78" spans="1:44" ht="13.5" hidden="1" thickTop="1">
      <c r="I78" s="75"/>
      <c r="AF78" s="157"/>
      <c r="AG78" s="434"/>
      <c r="AH78" s="434"/>
      <c r="AI78" s="596" t="s">
        <v>518</v>
      </c>
    </row>
    <row r="79" spans="1:44" hidden="1">
      <c r="D79" s="290"/>
      <c r="J79" s="783"/>
      <c r="L79" s="783"/>
      <c r="Q79" s="59">
        <f>J77+L77+P77</f>
        <v>1073002711</v>
      </c>
      <c r="S79" s="783" t="s">
        <v>798</v>
      </c>
      <c r="W79" s="783" t="s">
        <v>799</v>
      </c>
      <c r="X79" s="59">
        <f>S77+W77</f>
        <v>235295406</v>
      </c>
      <c r="AF79" s="280"/>
      <c r="AG79" s="785" t="s">
        <v>645</v>
      </c>
      <c r="AH79" s="434"/>
      <c r="AI79" s="597" t="s">
        <v>517</v>
      </c>
      <c r="AO79" s="434"/>
    </row>
    <row r="80" spans="1:44" hidden="1">
      <c r="E80" s="59"/>
      <c r="J80" s="784" t="s">
        <v>800</v>
      </c>
      <c r="L80" s="783" t="s">
        <v>801</v>
      </c>
      <c r="AD80" s="336"/>
      <c r="AF80" s="280"/>
      <c r="AG80" s="434"/>
      <c r="AH80" s="434"/>
      <c r="AI80" s="451" t="s">
        <v>264</v>
      </c>
      <c r="AJ80" s="164"/>
      <c r="AK80" s="164"/>
      <c r="AL80" s="164"/>
      <c r="AM80" s="164"/>
      <c r="AQ80" s="164"/>
    </row>
    <row r="81" spans="1:45" s="75" customFormat="1" hidden="1">
      <c r="A81" s="443"/>
      <c r="B81" s="171"/>
      <c r="C81"/>
      <c r="D81"/>
      <c r="E81"/>
      <c r="F81"/>
      <c r="G81"/>
      <c r="H81"/>
      <c r="I81"/>
      <c r="J81" s="783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 s="35"/>
      <c r="AF81" s="250"/>
      <c r="AG81" s="745"/>
      <c r="AH81" s="205"/>
      <c r="AI81" s="429">
        <f>AG77+AH77</f>
        <v>1643520270</v>
      </c>
      <c r="AJ81" s="234"/>
      <c r="AK81" s="234"/>
      <c r="AL81" s="250"/>
      <c r="AM81" s="234"/>
      <c r="AN81" s="205"/>
      <c r="AO81" s="205"/>
      <c r="AP81" s="234"/>
      <c r="AQ81" s="234"/>
      <c r="AR81" s="234"/>
      <c r="AS81" s="179"/>
    </row>
    <row r="82" spans="1:45" hidden="1">
      <c r="AE82" s="35"/>
      <c r="AF82" s="35"/>
      <c r="AG82" s="430"/>
      <c r="AH82" s="35"/>
      <c r="AI82" s="430">
        <f>AI77-AI81</f>
        <v>758118</v>
      </c>
      <c r="AJ82" s="35"/>
      <c r="AK82" s="35"/>
      <c r="AL82" s="35"/>
      <c r="AM82" s="431"/>
      <c r="AN82" s="35"/>
      <c r="AO82" s="35"/>
      <c r="AP82" s="35"/>
      <c r="AQ82" s="35"/>
      <c r="AR82" s="35"/>
      <c r="AS82" s="35"/>
    </row>
    <row r="83" spans="1:45" hidden="1">
      <c r="AE83" s="35"/>
      <c r="AF83" s="35"/>
      <c r="AG83" s="430"/>
      <c r="AH83" s="35"/>
      <c r="AI83" s="430"/>
      <c r="AJ83" s="35"/>
      <c r="AK83" s="35"/>
      <c r="AL83" s="35"/>
      <c r="AM83" s="432"/>
      <c r="AN83" s="35"/>
      <c r="AO83" s="35"/>
      <c r="AP83" s="35"/>
      <c r="AQ83" s="35"/>
      <c r="AR83" s="35"/>
      <c r="AS83" s="35"/>
    </row>
    <row r="84" spans="1:45" hidden="1"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3.5" thickTop="1"/>
  </sheetData>
  <mergeCells count="50"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  <mergeCell ref="A3:A5"/>
    <mergeCell ref="B3:B5"/>
    <mergeCell ref="C4:C5"/>
    <mergeCell ref="D4:D5"/>
    <mergeCell ref="F4:F5"/>
    <mergeCell ref="E4:E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J4:J5"/>
    <mergeCell ref="S4:S5"/>
    <mergeCell ref="M4:M5"/>
    <mergeCell ref="N4:N5"/>
    <mergeCell ref="V4:V5"/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</mergeCells>
  <phoneticPr fontId="0" type="noConversion"/>
  <printOptions horizontalCentered="1"/>
  <pageMargins left="0.19" right="0.19" top="1.02" bottom="0.35" header="0.35" footer="0.27"/>
  <pageSetup paperSize="5" scale="85" firstPageNumber="97" fitToWidth="0" orientation="portrait" useFirstPageNumber="1" r:id="rId1"/>
  <headerFooter alignWithMargins="0">
    <oddHeader xml:space="preserve">&amp;L&amp;"Arial,Bold"&amp;18Table 7: FY2012-13 Budget Letter (May 2013)&amp;20
&amp;18FY2010-2011 Local Property and Sales Tax Revenues </oddHeader>
    <oddFooter>&amp;R&amp;12&amp;P</oddFooter>
  </headerFooter>
  <colBreaks count="5" manualBreakCount="5">
    <brk id="8" min="2" max="76" man="1"/>
    <brk id="17" min="2" max="76" man="1"/>
    <brk id="24" min="2" max="76" man="1"/>
    <brk id="31" min="2" max="76" man="1"/>
    <brk id="35" min="2" max="76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8"/>
  <sheetViews>
    <sheetView view="pageBreakPreview" zoomScale="80" zoomScaleNormal="80" zoomScaleSheetLayoutView="80" workbookViewId="0">
      <pane xSplit="6" ySplit="3" topLeftCell="G4" activePane="bottomRight" state="frozen"/>
      <selection activeCell="A8" sqref="A8:A9"/>
      <selection pane="topRight" activeCell="A8" sqref="A8:A9"/>
      <selection pane="bottomLeft" activeCell="A8" sqref="A8:A9"/>
      <selection pane="bottomRight" activeCell="G39" sqref="G39"/>
    </sheetView>
  </sheetViews>
  <sheetFormatPr defaultRowHeight="12.75"/>
  <cols>
    <col min="1" max="1" width="0.28515625" customWidth="1"/>
    <col min="2" max="2" width="6.85546875" hidden="1" customWidth="1"/>
    <col min="3" max="3" width="5.42578125" hidden="1" customWidth="1"/>
    <col min="4" max="4" width="11.140625" hidden="1" customWidth="1"/>
    <col min="5" max="5" width="9.140625" style="47"/>
    <col min="6" max="6" width="31" bestFit="1" customWidth="1"/>
    <col min="7" max="7" width="12.85546875" customWidth="1"/>
    <col min="20" max="20" width="10.85546875" customWidth="1"/>
    <col min="22" max="22" width="11.28515625" customWidth="1"/>
    <col min="23" max="23" width="11.140625" customWidth="1"/>
    <col min="24" max="24" width="11.7109375" customWidth="1"/>
    <col min="25" max="25" width="11.85546875" customWidth="1"/>
    <col min="26" max="26" width="10.140625" customWidth="1"/>
    <col min="27" max="27" width="6.85546875" customWidth="1"/>
    <col min="28" max="28" width="9.5703125" customWidth="1"/>
    <col min="29" max="29" width="8.7109375" bestFit="1" customWidth="1"/>
    <col min="30" max="30" width="14.5703125" customWidth="1"/>
    <col min="31" max="31" width="12.5703125" customWidth="1"/>
    <col min="32" max="32" width="12.42578125" customWidth="1"/>
    <col min="33" max="33" width="11.85546875" customWidth="1"/>
    <col min="34" max="34" width="10.28515625" customWidth="1"/>
    <col min="35" max="35" width="10.140625" customWidth="1"/>
    <col min="36" max="36" width="10.28515625" customWidth="1"/>
    <col min="39" max="39" width="12" customWidth="1"/>
    <col min="40" max="40" width="10.85546875" customWidth="1"/>
    <col min="41" max="41" width="9.85546875" customWidth="1"/>
    <col min="42" max="42" width="11.7109375" customWidth="1"/>
    <col min="43" max="43" width="12" customWidth="1"/>
    <col min="44" max="44" width="10.7109375" customWidth="1"/>
    <col min="45" max="45" width="12" customWidth="1"/>
    <col min="46" max="46" width="11" customWidth="1"/>
    <col min="47" max="47" width="11.85546875" customWidth="1"/>
    <col min="48" max="48" width="11.140625" customWidth="1"/>
    <col min="49" max="49" width="11.28515625" customWidth="1"/>
    <col min="50" max="50" width="11.7109375" customWidth="1"/>
    <col min="51" max="51" width="11.42578125" customWidth="1"/>
    <col min="52" max="52" width="12.140625" customWidth="1"/>
    <col min="53" max="53" width="11.5703125" customWidth="1"/>
    <col min="54" max="54" width="11.28515625" customWidth="1"/>
    <col min="55" max="55" width="11.42578125" customWidth="1"/>
    <col min="56" max="56" width="11.5703125" customWidth="1"/>
    <col min="57" max="57" width="10.5703125" customWidth="1"/>
    <col min="58" max="58" width="11.5703125" customWidth="1"/>
    <col min="60" max="60" width="11.7109375" customWidth="1"/>
    <col min="61" max="61" width="11.5703125" customWidth="1"/>
    <col min="62" max="62" width="12.28515625" customWidth="1"/>
  </cols>
  <sheetData>
    <row r="1" spans="1:62" hidden="1">
      <c r="E1" s="153" t="s">
        <v>1082</v>
      </c>
    </row>
    <row r="2" spans="1:62" ht="13.5" hidden="1" thickTop="1">
      <c r="B2" t="s">
        <v>1022</v>
      </c>
      <c r="K2" s="1225"/>
      <c r="L2" s="1226"/>
      <c r="M2" s="1226"/>
      <c r="N2" s="1226"/>
      <c r="O2" s="1226"/>
      <c r="P2" s="1226"/>
      <c r="Q2" s="1226"/>
      <c r="R2" s="1226"/>
      <c r="S2" s="1226"/>
      <c r="T2" s="1226"/>
      <c r="U2" s="1226"/>
      <c r="V2" s="1226"/>
      <c r="W2" s="1226"/>
      <c r="X2" s="1226"/>
      <c r="Y2" s="1226"/>
      <c r="Z2" s="1227"/>
      <c r="AA2" s="35"/>
      <c r="AB2" s="35"/>
      <c r="AC2" s="35"/>
      <c r="AD2" s="35"/>
    </row>
    <row r="3" spans="1:62" ht="89.25" customHeight="1">
      <c r="A3" s="1228" t="s">
        <v>1023</v>
      </c>
      <c r="B3" s="1228" t="s">
        <v>1024</v>
      </c>
      <c r="C3" s="1228" t="s">
        <v>1025</v>
      </c>
      <c r="D3" s="1279" t="s">
        <v>1026</v>
      </c>
      <c r="E3" s="1313" t="s">
        <v>203</v>
      </c>
      <c r="F3" s="1320" t="s">
        <v>1027</v>
      </c>
      <c r="G3" s="1229" t="s">
        <v>1028</v>
      </c>
      <c r="H3" s="1229" t="s">
        <v>1029</v>
      </c>
      <c r="I3" s="1229" t="s">
        <v>1030</v>
      </c>
      <c r="J3" s="1229" t="s">
        <v>1031</v>
      </c>
      <c r="K3" s="1230" t="s">
        <v>777</v>
      </c>
      <c r="L3" s="1230" t="s">
        <v>778</v>
      </c>
      <c r="M3" s="1230" t="s">
        <v>779</v>
      </c>
      <c r="N3" s="1230" t="s">
        <v>780</v>
      </c>
      <c r="O3" s="1230" t="s">
        <v>781</v>
      </c>
      <c r="P3" s="1230" t="s">
        <v>782</v>
      </c>
      <c r="Q3" s="1230" t="s">
        <v>783</v>
      </c>
      <c r="R3" s="1230" t="s">
        <v>784</v>
      </c>
      <c r="S3" s="1230" t="s">
        <v>785</v>
      </c>
      <c r="T3" s="1230" t="s">
        <v>786</v>
      </c>
      <c r="U3" s="1230" t="s">
        <v>787</v>
      </c>
      <c r="V3" s="1230" t="s">
        <v>1032</v>
      </c>
      <c r="W3" s="1230" t="s">
        <v>788</v>
      </c>
      <c r="X3" s="1230" t="s">
        <v>789</v>
      </c>
      <c r="Y3" s="1230" t="s">
        <v>790</v>
      </c>
      <c r="Z3" s="1230" t="s">
        <v>1033</v>
      </c>
      <c r="AA3" s="1230" t="s">
        <v>728</v>
      </c>
      <c r="AB3" s="1230" t="s">
        <v>791</v>
      </c>
      <c r="AC3" s="1230" t="s">
        <v>1034</v>
      </c>
      <c r="AD3" s="1312" t="s">
        <v>1083</v>
      </c>
      <c r="AE3" s="1232" t="s">
        <v>1035</v>
      </c>
      <c r="AF3" s="1231" t="s">
        <v>1036</v>
      </c>
      <c r="AG3" s="1232" t="s">
        <v>1037</v>
      </c>
      <c r="AH3" s="1229" t="s">
        <v>1038</v>
      </c>
      <c r="AI3" s="1229" t="s">
        <v>1039</v>
      </c>
      <c r="AJ3" s="1229" t="s">
        <v>1040</v>
      </c>
      <c r="AK3" s="1229" t="s">
        <v>1041</v>
      </c>
      <c r="AL3" s="1229" t="s">
        <v>1042</v>
      </c>
      <c r="AM3" s="1229" t="s">
        <v>1043</v>
      </c>
      <c r="AN3" s="1229" t="s">
        <v>1044</v>
      </c>
      <c r="AO3" s="1229" t="s">
        <v>1045</v>
      </c>
      <c r="AP3" s="1229" t="s">
        <v>1046</v>
      </c>
      <c r="AQ3" s="1229" t="s">
        <v>1047</v>
      </c>
      <c r="AR3" s="1229" t="s">
        <v>1048</v>
      </c>
      <c r="AS3" s="1229" t="s">
        <v>1049</v>
      </c>
      <c r="AT3" s="1229" t="s">
        <v>1050</v>
      </c>
      <c r="AU3" s="1229" t="s">
        <v>1051</v>
      </c>
      <c r="AV3" s="1229" t="s">
        <v>1052</v>
      </c>
      <c r="AW3" s="1229" t="s">
        <v>1053</v>
      </c>
      <c r="AX3" s="1229" t="s">
        <v>1054</v>
      </c>
      <c r="AY3" s="1229" t="s">
        <v>1055</v>
      </c>
      <c r="AZ3" s="1229" t="s">
        <v>1056</v>
      </c>
      <c r="BA3" s="1229" t="s">
        <v>1057</v>
      </c>
      <c r="BB3" s="1229" t="s">
        <v>1058</v>
      </c>
      <c r="BC3" s="1229" t="s">
        <v>1059</v>
      </c>
      <c r="BD3" s="1229" t="s">
        <v>1060</v>
      </c>
      <c r="BE3" s="1229" t="s">
        <v>1061</v>
      </c>
      <c r="BF3" s="1229" t="s">
        <v>1062</v>
      </c>
      <c r="BG3" s="1229" t="s">
        <v>1063</v>
      </c>
      <c r="BH3" s="1229" t="s">
        <v>1064</v>
      </c>
      <c r="BI3" s="1229" t="s">
        <v>1065</v>
      </c>
      <c r="BJ3" s="1229" t="s">
        <v>1066</v>
      </c>
    </row>
    <row r="4" spans="1:62" ht="14.1" customHeight="1">
      <c r="A4" s="1283" t="s">
        <v>1067</v>
      </c>
      <c r="B4" s="1283" t="s">
        <v>1068</v>
      </c>
      <c r="C4" s="1283" t="s">
        <v>1069</v>
      </c>
      <c r="D4" s="1314">
        <v>40940</v>
      </c>
      <c r="E4" s="1329" t="s">
        <v>307</v>
      </c>
      <c r="F4" s="1321" t="s">
        <v>308</v>
      </c>
      <c r="G4" s="1284">
        <v>9313</v>
      </c>
      <c r="H4" s="1281"/>
      <c r="I4" s="1281"/>
      <c r="J4" s="1281"/>
      <c r="K4" s="1281"/>
      <c r="L4" s="1281"/>
      <c r="M4" s="1281"/>
      <c r="N4" s="1281"/>
      <c r="O4" s="1281"/>
      <c r="P4" s="1281"/>
      <c r="Q4" s="1281"/>
      <c r="R4" s="1281"/>
      <c r="S4" s="1281"/>
      <c r="T4" s="1281"/>
      <c r="U4" s="1284">
        <v>23</v>
      </c>
      <c r="V4" s="1281"/>
      <c r="W4" s="1284">
        <v>10</v>
      </c>
      <c r="X4" s="1281"/>
      <c r="Y4" s="1281"/>
      <c r="Z4" s="1281"/>
      <c r="AA4" s="1281"/>
      <c r="AB4" s="1285"/>
      <c r="AC4" s="1281"/>
      <c r="AD4" s="1281">
        <f>SUM(G4:AC4)</f>
        <v>9346</v>
      </c>
      <c r="AE4" s="1235"/>
      <c r="AF4" s="1235"/>
      <c r="AG4" s="1235"/>
      <c r="AH4" s="1235"/>
      <c r="AI4" s="1235"/>
      <c r="AJ4" s="1235"/>
      <c r="AK4" s="1234">
        <v>1</v>
      </c>
      <c r="AL4" s="1235"/>
      <c r="AM4" s="1235"/>
      <c r="AN4" s="1235"/>
      <c r="AO4" s="1235"/>
      <c r="AP4" s="1235"/>
      <c r="AQ4" s="1235"/>
      <c r="AR4" s="1235"/>
      <c r="AS4" s="1234">
        <v>1</v>
      </c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4">
        <v>1</v>
      </c>
      <c r="BJ4" s="1235"/>
    </row>
    <row r="5" spans="1:62" ht="14.1" customHeight="1">
      <c r="A5" s="1233" t="s">
        <v>1067</v>
      </c>
      <c r="B5" s="1233" t="s">
        <v>1068</v>
      </c>
      <c r="C5" s="1233" t="s">
        <v>1069</v>
      </c>
      <c r="D5" s="1315">
        <v>40940</v>
      </c>
      <c r="E5" s="1330" t="s">
        <v>309</v>
      </c>
      <c r="F5" s="1322" t="s">
        <v>310</v>
      </c>
      <c r="G5" s="1280">
        <v>4016</v>
      </c>
      <c r="H5" s="1287"/>
      <c r="I5" s="1287"/>
      <c r="J5" s="1287"/>
      <c r="K5" s="1287"/>
      <c r="L5" s="1287"/>
      <c r="M5" s="1287"/>
      <c r="N5" s="1287"/>
      <c r="O5" s="1287"/>
      <c r="P5" s="1287"/>
      <c r="Q5" s="1287"/>
      <c r="R5" s="1287"/>
      <c r="S5" s="1287"/>
      <c r="T5" s="1287"/>
      <c r="U5" s="1280">
        <v>9</v>
      </c>
      <c r="V5" s="1287"/>
      <c r="W5" s="1280">
        <v>2</v>
      </c>
      <c r="X5" s="1287"/>
      <c r="Y5" s="1287"/>
      <c r="Z5" s="1287"/>
      <c r="AA5" s="1287"/>
      <c r="AB5" s="1282"/>
      <c r="AC5" s="1287"/>
      <c r="AD5" s="1287">
        <f t="shared" ref="AD5:AD68" si="0">SUM(G5:AC5)</f>
        <v>4027</v>
      </c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4">
        <v>12</v>
      </c>
      <c r="BB5" s="1235"/>
      <c r="BC5" s="1235"/>
      <c r="BD5" s="1235"/>
      <c r="BE5" s="1235"/>
      <c r="BF5" s="1235"/>
      <c r="BG5" s="1235"/>
      <c r="BH5" s="1235"/>
      <c r="BI5" s="1235"/>
      <c r="BJ5" s="1235"/>
    </row>
    <row r="6" spans="1:62" ht="14.1" customHeight="1">
      <c r="A6" s="1233" t="s">
        <v>1067</v>
      </c>
      <c r="B6" s="1233" t="s">
        <v>1068</v>
      </c>
      <c r="C6" s="1233" t="s">
        <v>1069</v>
      </c>
      <c r="D6" s="1315">
        <v>40940</v>
      </c>
      <c r="E6" s="1330" t="s">
        <v>311</v>
      </c>
      <c r="F6" s="1322" t="s">
        <v>312</v>
      </c>
      <c r="G6" s="1280">
        <v>20083</v>
      </c>
      <c r="H6" s="1287"/>
      <c r="I6" s="1287"/>
      <c r="J6" s="1287"/>
      <c r="K6" s="1287"/>
      <c r="L6" s="1287"/>
      <c r="M6" s="1287"/>
      <c r="N6" s="1287"/>
      <c r="O6" s="1287"/>
      <c r="P6" s="1287"/>
      <c r="Q6" s="1287"/>
      <c r="R6" s="1287"/>
      <c r="S6" s="1287"/>
      <c r="T6" s="1287"/>
      <c r="U6" s="1280">
        <v>33</v>
      </c>
      <c r="V6" s="1287"/>
      <c r="W6" s="1280">
        <v>11</v>
      </c>
      <c r="X6" s="1287"/>
      <c r="Y6" s="1287"/>
      <c r="Z6" s="1287"/>
      <c r="AA6" s="1287"/>
      <c r="AB6" s="1282"/>
      <c r="AC6" s="1287"/>
      <c r="AD6" s="1287">
        <f t="shared" si="0"/>
        <v>20127</v>
      </c>
      <c r="AE6" s="1235"/>
      <c r="AF6" s="1235"/>
      <c r="AG6" s="1235"/>
      <c r="AH6" s="1235"/>
      <c r="AI6" s="1235"/>
      <c r="AJ6" s="1235"/>
      <c r="AK6" s="1235"/>
      <c r="AL6" s="1234">
        <v>5</v>
      </c>
      <c r="AM6" s="1235"/>
      <c r="AN6" s="1235"/>
      <c r="AO6" s="1235"/>
      <c r="AP6" s="1235"/>
      <c r="AQ6" s="1235"/>
      <c r="AR6" s="1234">
        <v>1</v>
      </c>
      <c r="AS6" s="1234">
        <v>1</v>
      </c>
      <c r="AT6" s="1235"/>
      <c r="AU6" s="1235"/>
      <c r="AV6" s="1235"/>
      <c r="AW6" s="1235"/>
      <c r="AX6" s="1235"/>
      <c r="AY6" s="1235"/>
      <c r="AZ6" s="1235"/>
      <c r="BA6" s="1235"/>
      <c r="BB6" s="1235"/>
      <c r="BC6" s="1235"/>
      <c r="BD6" s="1235"/>
      <c r="BE6" s="1235"/>
      <c r="BF6" s="1235"/>
      <c r="BG6" s="1235"/>
      <c r="BH6" s="1235"/>
      <c r="BI6" s="1235"/>
      <c r="BJ6" s="1235"/>
    </row>
    <row r="7" spans="1:62" ht="14.1" customHeight="1">
      <c r="A7" s="1233" t="s">
        <v>1067</v>
      </c>
      <c r="B7" s="1233" t="s">
        <v>1068</v>
      </c>
      <c r="C7" s="1233" t="s">
        <v>1069</v>
      </c>
      <c r="D7" s="1315">
        <v>40940</v>
      </c>
      <c r="E7" s="1330" t="s">
        <v>313</v>
      </c>
      <c r="F7" s="1322" t="s">
        <v>314</v>
      </c>
      <c r="G7" s="1280">
        <v>3563</v>
      </c>
      <c r="H7" s="1287"/>
      <c r="I7" s="1287"/>
      <c r="J7" s="1287"/>
      <c r="K7" s="1287"/>
      <c r="L7" s="1287"/>
      <c r="M7" s="1287"/>
      <c r="N7" s="1287"/>
      <c r="O7" s="1287"/>
      <c r="P7" s="1287"/>
      <c r="Q7" s="1287"/>
      <c r="R7" s="1280"/>
      <c r="S7" s="1287"/>
      <c r="T7" s="1287"/>
      <c r="U7" s="1280">
        <v>3</v>
      </c>
      <c r="V7" s="1287"/>
      <c r="W7" s="1280">
        <v>5</v>
      </c>
      <c r="X7" s="1287"/>
      <c r="Y7" s="1287"/>
      <c r="Z7" s="1287"/>
      <c r="AA7" s="1287"/>
      <c r="AB7" s="1282"/>
      <c r="AC7" s="1287"/>
      <c r="AD7" s="1287">
        <f t="shared" si="0"/>
        <v>3571</v>
      </c>
      <c r="AE7" s="1235"/>
      <c r="AF7" s="1235"/>
      <c r="AG7" s="1235"/>
      <c r="AH7" s="1235"/>
      <c r="AI7" s="1235"/>
      <c r="AJ7" s="1235"/>
      <c r="AK7" s="1235"/>
      <c r="AL7" s="1235"/>
      <c r="AM7" s="1235"/>
      <c r="AN7" s="1235"/>
      <c r="AO7" s="1235"/>
      <c r="AP7" s="1235"/>
      <c r="AQ7" s="1235"/>
      <c r="AR7" s="1235"/>
      <c r="AS7" s="1235"/>
      <c r="AT7" s="1235"/>
      <c r="AU7" s="1235"/>
      <c r="AV7" s="1235"/>
      <c r="AW7" s="1235"/>
      <c r="AX7" s="1235"/>
      <c r="AY7" s="1235"/>
      <c r="AZ7" s="1235"/>
      <c r="BA7" s="1235"/>
      <c r="BB7" s="1235"/>
      <c r="BC7" s="1235"/>
      <c r="BD7" s="1235"/>
      <c r="BE7" s="1235"/>
      <c r="BF7" s="1235"/>
      <c r="BG7" s="1235"/>
      <c r="BH7" s="1235"/>
      <c r="BI7" s="1235"/>
      <c r="BJ7" s="1234">
        <v>1</v>
      </c>
    </row>
    <row r="8" spans="1:62" ht="14.1" customHeight="1">
      <c r="A8" s="1291" t="s">
        <v>1067</v>
      </c>
      <c r="B8" s="1291" t="s">
        <v>1068</v>
      </c>
      <c r="C8" s="1291" t="s">
        <v>1069</v>
      </c>
      <c r="D8" s="1316">
        <v>40940</v>
      </c>
      <c r="E8" s="1331" t="s">
        <v>315</v>
      </c>
      <c r="F8" s="1323" t="s">
        <v>316</v>
      </c>
      <c r="G8" s="1292">
        <v>5731</v>
      </c>
      <c r="H8" s="1293"/>
      <c r="I8" s="1293"/>
      <c r="J8" s="1293"/>
      <c r="K8" s="1293"/>
      <c r="L8" s="1293"/>
      <c r="M8" s="1293"/>
      <c r="N8" s="1292"/>
      <c r="O8" s="1293"/>
      <c r="P8" s="1293"/>
      <c r="Q8" s="1293"/>
      <c r="R8" s="1293"/>
      <c r="S8" s="1293"/>
      <c r="T8" s="1293"/>
      <c r="U8" s="1292">
        <v>23</v>
      </c>
      <c r="V8" s="1293"/>
      <c r="W8" s="1292">
        <v>4</v>
      </c>
      <c r="X8" s="1293"/>
      <c r="Y8" s="1293"/>
      <c r="Z8" s="1293"/>
      <c r="AA8" s="1293"/>
      <c r="AB8" s="1294"/>
      <c r="AC8" s="1293"/>
      <c r="AD8" s="1293">
        <f t="shared" si="0"/>
        <v>5758</v>
      </c>
      <c r="AE8" s="1235"/>
      <c r="AF8" s="1235"/>
      <c r="AG8" s="1235"/>
      <c r="AH8" s="1235"/>
      <c r="AI8" s="1235"/>
      <c r="AJ8" s="1235"/>
      <c r="AK8" s="1235"/>
      <c r="AL8" s="1235"/>
      <c r="AM8" s="1235"/>
      <c r="AN8" s="1235"/>
      <c r="AO8" s="1235"/>
      <c r="AP8" s="1235"/>
      <c r="AQ8" s="1235"/>
      <c r="AR8" s="1235"/>
      <c r="AS8" s="1235"/>
      <c r="AT8" s="1235"/>
      <c r="AU8" s="1235"/>
      <c r="AV8" s="1235"/>
      <c r="AW8" s="1235"/>
      <c r="AX8" s="1234">
        <v>6</v>
      </c>
      <c r="AY8" s="1235"/>
      <c r="AZ8" s="1235"/>
      <c r="BA8" s="1235"/>
      <c r="BB8" s="1235"/>
      <c r="BC8" s="1235"/>
      <c r="BD8" s="1235"/>
      <c r="BE8" s="1235"/>
      <c r="BF8" s="1235"/>
      <c r="BG8" s="1235"/>
      <c r="BH8" s="1234">
        <v>2</v>
      </c>
      <c r="BI8" s="1234">
        <v>1</v>
      </c>
      <c r="BJ8" s="1235"/>
    </row>
    <row r="9" spans="1:62" ht="14.1" customHeight="1">
      <c r="A9" s="1286" t="s">
        <v>1067</v>
      </c>
      <c r="B9" s="1286" t="s">
        <v>1068</v>
      </c>
      <c r="C9" s="1286" t="s">
        <v>1069</v>
      </c>
      <c r="D9" s="1317">
        <v>40940</v>
      </c>
      <c r="E9" s="1332" t="s">
        <v>317</v>
      </c>
      <c r="F9" s="1324" t="s">
        <v>318</v>
      </c>
      <c r="G9" s="1288">
        <v>6020</v>
      </c>
      <c r="H9" s="1289"/>
      <c r="I9" s="1289"/>
      <c r="J9" s="1289"/>
      <c r="K9" s="1289"/>
      <c r="L9" s="1289"/>
      <c r="M9" s="1289"/>
      <c r="N9" s="1289"/>
      <c r="O9" s="1289"/>
      <c r="P9" s="1289"/>
      <c r="Q9" s="1289"/>
      <c r="R9" s="1289"/>
      <c r="S9" s="1289"/>
      <c r="T9" s="1289"/>
      <c r="U9" s="1288">
        <v>15</v>
      </c>
      <c r="V9" s="1289"/>
      <c r="W9" s="1288">
        <v>4</v>
      </c>
      <c r="X9" s="1289"/>
      <c r="Y9" s="1289"/>
      <c r="Z9" s="1289"/>
      <c r="AA9" s="1289"/>
      <c r="AB9" s="1290"/>
      <c r="AC9" s="1289"/>
      <c r="AD9" s="1289">
        <f t="shared" si="0"/>
        <v>6039</v>
      </c>
      <c r="AE9" s="1235"/>
      <c r="AF9" s="1235"/>
      <c r="AG9" s="1235"/>
      <c r="AH9" s="1235"/>
      <c r="AI9" s="1235"/>
      <c r="AJ9" s="1235"/>
      <c r="AK9" s="1235"/>
      <c r="AL9" s="1234">
        <v>1</v>
      </c>
      <c r="AM9" s="1234">
        <v>20</v>
      </c>
      <c r="AN9" s="1235"/>
      <c r="AO9" s="1235"/>
      <c r="AP9" s="1235"/>
      <c r="AQ9" s="1235"/>
      <c r="AR9" s="1234">
        <v>1</v>
      </c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235"/>
    </row>
    <row r="10" spans="1:62" ht="14.1" customHeight="1">
      <c r="A10" s="1233" t="s">
        <v>1067</v>
      </c>
      <c r="B10" s="1233" t="s">
        <v>1068</v>
      </c>
      <c r="C10" s="1233" t="s">
        <v>1069</v>
      </c>
      <c r="D10" s="1315">
        <v>40940</v>
      </c>
      <c r="E10" s="1330" t="s">
        <v>319</v>
      </c>
      <c r="F10" s="1322" t="s">
        <v>320</v>
      </c>
      <c r="G10" s="1280">
        <v>2207</v>
      </c>
      <c r="H10" s="1287"/>
      <c r="I10" s="1287"/>
      <c r="J10" s="1287"/>
      <c r="K10" s="1287"/>
      <c r="L10" s="1287"/>
      <c r="M10" s="1287"/>
      <c r="N10" s="1287"/>
      <c r="O10" s="1287"/>
      <c r="P10" s="1287"/>
      <c r="Q10" s="1287"/>
      <c r="R10" s="1287"/>
      <c r="S10" s="1287"/>
      <c r="T10" s="1287"/>
      <c r="U10" s="1280">
        <v>5</v>
      </c>
      <c r="V10" s="1287"/>
      <c r="W10" s="1280">
        <v>6</v>
      </c>
      <c r="X10" s="1287"/>
      <c r="Y10" s="1287"/>
      <c r="Z10" s="1287"/>
      <c r="AA10" s="1287"/>
      <c r="AB10" s="1282"/>
      <c r="AC10" s="1287"/>
      <c r="AD10" s="1287">
        <f t="shared" si="0"/>
        <v>2218</v>
      </c>
      <c r="AE10" s="1235"/>
      <c r="AF10" s="1235"/>
      <c r="AG10" s="1235"/>
      <c r="AH10" s="1235"/>
      <c r="AI10" s="1235"/>
      <c r="AJ10" s="1235"/>
      <c r="AK10" s="1235"/>
      <c r="AL10" s="1235"/>
      <c r="AM10" s="1235"/>
      <c r="AN10" s="1235"/>
      <c r="AO10" s="1235"/>
      <c r="AP10" s="1235"/>
      <c r="AQ10" s="1235"/>
      <c r="AR10" s="1235"/>
      <c r="AS10" s="1235"/>
      <c r="AT10" s="1235"/>
      <c r="AU10" s="1235"/>
      <c r="AV10" s="1235"/>
      <c r="AW10" s="1235"/>
      <c r="AX10" s="1235"/>
      <c r="AY10" s="1235"/>
      <c r="AZ10" s="1235"/>
      <c r="BA10" s="1235"/>
      <c r="BB10" s="1235"/>
      <c r="BC10" s="1235"/>
      <c r="BD10" s="1235"/>
      <c r="BE10" s="1235"/>
      <c r="BF10" s="1235"/>
      <c r="BG10" s="1235"/>
      <c r="BH10" s="1235"/>
      <c r="BI10" s="1235"/>
      <c r="BJ10" s="1235"/>
    </row>
    <row r="11" spans="1:62" ht="14.1" customHeight="1">
      <c r="A11" s="1233" t="s">
        <v>1067</v>
      </c>
      <c r="B11" s="1233" t="s">
        <v>1068</v>
      </c>
      <c r="C11" s="1233" t="s">
        <v>1069</v>
      </c>
      <c r="D11" s="1315">
        <v>40940</v>
      </c>
      <c r="E11" s="1330" t="s">
        <v>321</v>
      </c>
      <c r="F11" s="1322" t="s">
        <v>322</v>
      </c>
      <c r="G11" s="1280">
        <v>20718</v>
      </c>
      <c r="H11" s="1287"/>
      <c r="I11" s="1287"/>
      <c r="J11" s="1287"/>
      <c r="K11" s="1287"/>
      <c r="L11" s="1287"/>
      <c r="M11" s="1287"/>
      <c r="N11" s="1287"/>
      <c r="O11" s="1287"/>
      <c r="P11" s="1287"/>
      <c r="Q11" s="1287"/>
      <c r="R11" s="1287"/>
      <c r="S11" s="1287"/>
      <c r="T11" s="1287"/>
      <c r="U11" s="1280">
        <v>45</v>
      </c>
      <c r="V11" s="1287"/>
      <c r="W11" s="1280">
        <v>22</v>
      </c>
      <c r="X11" s="1287"/>
      <c r="Y11" s="1287"/>
      <c r="Z11" s="1287"/>
      <c r="AA11" s="1287"/>
      <c r="AB11" s="1282"/>
      <c r="AC11" s="1287"/>
      <c r="AD11" s="1287">
        <f t="shared" si="0"/>
        <v>20785</v>
      </c>
      <c r="AE11" s="1235"/>
      <c r="AF11" s="1235"/>
      <c r="AG11" s="1235"/>
      <c r="AH11" s="1235"/>
      <c r="AI11" s="1235"/>
      <c r="AJ11" s="1234">
        <v>1</v>
      </c>
      <c r="AK11" s="1235"/>
      <c r="AL11" s="1235"/>
      <c r="AM11" s="1235"/>
      <c r="AN11" s="1235"/>
      <c r="AO11" s="1235"/>
      <c r="AP11" s="1235"/>
      <c r="AQ11" s="1235"/>
      <c r="AR11" s="1235"/>
      <c r="AS11" s="1234">
        <v>1</v>
      </c>
      <c r="AT11" s="1235"/>
      <c r="AU11" s="1235"/>
      <c r="AV11" s="1235"/>
      <c r="AW11" s="1235"/>
      <c r="AX11" s="1235"/>
      <c r="AY11" s="1235"/>
      <c r="AZ11" s="1235"/>
      <c r="BA11" s="1235"/>
      <c r="BB11" s="1235"/>
      <c r="BC11" s="1235"/>
      <c r="BD11" s="1235"/>
      <c r="BE11" s="1235"/>
      <c r="BF11" s="1235"/>
      <c r="BG11" s="1235"/>
      <c r="BH11" s="1235"/>
      <c r="BI11" s="1235"/>
      <c r="BJ11" s="1234">
        <v>5</v>
      </c>
    </row>
    <row r="12" spans="1:62" ht="14.1" customHeight="1">
      <c r="A12" s="1233" t="s">
        <v>1067</v>
      </c>
      <c r="B12" s="1233" t="s">
        <v>1068</v>
      </c>
      <c r="C12" s="1233" t="s">
        <v>1069</v>
      </c>
      <c r="D12" s="1315">
        <v>40940</v>
      </c>
      <c r="E12" s="1330" t="s">
        <v>323</v>
      </c>
      <c r="F12" s="1322" t="s">
        <v>324</v>
      </c>
      <c r="G12" s="1280">
        <v>40653</v>
      </c>
      <c r="H12" s="1280">
        <v>478</v>
      </c>
      <c r="I12" s="1287"/>
      <c r="J12" s="1280">
        <v>166</v>
      </c>
      <c r="K12" s="1287"/>
      <c r="L12" s="1287"/>
      <c r="M12" s="1287"/>
      <c r="N12" s="1287"/>
      <c r="O12" s="1287"/>
      <c r="P12" s="1287"/>
      <c r="Q12" s="1287"/>
      <c r="R12" s="1287"/>
      <c r="S12" s="1287"/>
      <c r="T12" s="1287"/>
      <c r="U12" s="1280">
        <v>93</v>
      </c>
      <c r="V12" s="1287"/>
      <c r="W12" s="1280">
        <v>38</v>
      </c>
      <c r="X12" s="1280">
        <v>1</v>
      </c>
      <c r="Y12" s="1287"/>
      <c r="Z12" s="1287"/>
      <c r="AA12" s="1287"/>
      <c r="AB12" s="1282"/>
      <c r="AC12" s="1287"/>
      <c r="AD12" s="1287">
        <f t="shared" si="0"/>
        <v>41429</v>
      </c>
      <c r="AE12" s="1235"/>
      <c r="AF12" s="1235"/>
      <c r="AG12" s="1235"/>
      <c r="AH12" s="1235"/>
      <c r="AI12" s="1235"/>
      <c r="AJ12" s="1234">
        <v>1</v>
      </c>
      <c r="AK12" s="1234">
        <v>2</v>
      </c>
      <c r="AL12" s="1234">
        <v>1</v>
      </c>
      <c r="AM12" s="1235"/>
      <c r="AN12" s="1235"/>
      <c r="AO12" s="1235"/>
      <c r="AP12" s="1235"/>
      <c r="AQ12" s="1235"/>
      <c r="AR12" s="1234">
        <v>1</v>
      </c>
      <c r="AS12" s="1234">
        <v>12</v>
      </c>
      <c r="AT12" s="1235"/>
      <c r="AU12" s="1234">
        <v>6</v>
      </c>
      <c r="AV12" s="1235"/>
      <c r="AW12" s="1235"/>
      <c r="AX12" s="1235"/>
      <c r="AY12" s="1235"/>
      <c r="AZ12" s="1235"/>
      <c r="BA12" s="1235"/>
      <c r="BB12" s="1235"/>
      <c r="BC12" s="1235"/>
      <c r="BD12" s="1235"/>
      <c r="BE12" s="1235"/>
      <c r="BF12" s="1235"/>
      <c r="BG12" s="1235"/>
      <c r="BH12" s="1235"/>
      <c r="BI12" s="1235"/>
      <c r="BJ12" s="1234">
        <v>15</v>
      </c>
    </row>
    <row r="13" spans="1:62" ht="14.1" customHeight="1">
      <c r="A13" s="1291" t="s">
        <v>1067</v>
      </c>
      <c r="B13" s="1291" t="s">
        <v>1068</v>
      </c>
      <c r="C13" s="1291" t="s">
        <v>1069</v>
      </c>
      <c r="D13" s="1316">
        <v>40940</v>
      </c>
      <c r="E13" s="1331" t="s">
        <v>325</v>
      </c>
      <c r="F13" s="1323" t="s">
        <v>326</v>
      </c>
      <c r="G13" s="1292">
        <v>30976</v>
      </c>
      <c r="H13" s="1293"/>
      <c r="I13" s="1293"/>
      <c r="J13" s="1293"/>
      <c r="K13" s="1293"/>
      <c r="L13" s="1293"/>
      <c r="M13" s="1293"/>
      <c r="N13" s="1292"/>
      <c r="O13" s="1293"/>
      <c r="P13" s="1293"/>
      <c r="Q13" s="1293"/>
      <c r="R13" s="1293"/>
      <c r="S13" s="1293"/>
      <c r="T13" s="1293"/>
      <c r="U13" s="1292">
        <v>62</v>
      </c>
      <c r="V13" s="1293"/>
      <c r="W13" s="1292">
        <v>24</v>
      </c>
      <c r="X13" s="1293">
        <v>635</v>
      </c>
      <c r="Y13" s="1293"/>
      <c r="Z13" s="1293"/>
      <c r="AA13" s="1293"/>
      <c r="AB13" s="1294"/>
      <c r="AC13" s="1293"/>
      <c r="AD13" s="1293">
        <f t="shared" si="0"/>
        <v>31697</v>
      </c>
      <c r="AE13" s="1235"/>
      <c r="AF13" s="1235"/>
      <c r="AG13" s="1235"/>
      <c r="AH13" s="1235">
        <v>1</v>
      </c>
      <c r="AI13" s="1235"/>
      <c r="AJ13" s="1235"/>
      <c r="AK13" s="1235">
        <v>1</v>
      </c>
      <c r="AL13" s="1235"/>
      <c r="AM13" s="1235"/>
      <c r="AN13" s="1235"/>
      <c r="AO13" s="1235"/>
      <c r="AP13" s="1235"/>
      <c r="AQ13" s="1235"/>
      <c r="AR13" s="1235"/>
      <c r="AS13" s="1235">
        <v>1</v>
      </c>
      <c r="AT13" s="1235"/>
      <c r="AU13" s="1235"/>
      <c r="AV13" s="1235"/>
      <c r="AW13" s="1235"/>
      <c r="AX13" s="1234"/>
      <c r="AY13" s="1235"/>
      <c r="AZ13" s="1235"/>
      <c r="BA13" s="1235"/>
      <c r="BB13" s="1235"/>
      <c r="BC13" s="1235"/>
      <c r="BD13" s="1235"/>
      <c r="BE13" s="1235"/>
      <c r="BF13" s="1235"/>
      <c r="BG13" s="1235"/>
      <c r="BH13" s="1234">
        <v>3</v>
      </c>
      <c r="BI13" s="1234">
        <v>2</v>
      </c>
      <c r="BJ13" s="1235">
        <v>1</v>
      </c>
    </row>
    <row r="14" spans="1:62" ht="14.1" customHeight="1">
      <c r="A14" s="1233" t="s">
        <v>1067</v>
      </c>
      <c r="B14" s="1233" t="s">
        <v>1068</v>
      </c>
      <c r="C14" s="1233" t="s">
        <v>1069</v>
      </c>
      <c r="D14" s="1315">
        <v>40940</v>
      </c>
      <c r="E14" s="1330" t="s">
        <v>327</v>
      </c>
      <c r="F14" s="1322" t="s">
        <v>328</v>
      </c>
      <c r="G14" s="1280">
        <v>1572</v>
      </c>
      <c r="H14" s="1287"/>
      <c r="I14" s="1287"/>
      <c r="J14" s="1287"/>
      <c r="K14" s="1280"/>
      <c r="L14" s="1287"/>
      <c r="M14" s="1287"/>
      <c r="N14" s="1287"/>
      <c r="O14" s="1287"/>
      <c r="P14" s="1287"/>
      <c r="Q14" s="1287"/>
      <c r="R14" s="1287"/>
      <c r="S14" s="1287"/>
      <c r="T14" s="1287"/>
      <c r="U14" s="1280">
        <v>3</v>
      </c>
      <c r="V14" s="1287"/>
      <c r="W14" s="1287"/>
      <c r="X14" s="1287"/>
      <c r="Y14" s="1287"/>
      <c r="Z14" s="1287"/>
      <c r="AA14" s="1287"/>
      <c r="AB14" s="1282"/>
      <c r="AC14" s="1287"/>
      <c r="AD14" s="1287">
        <f t="shared" si="0"/>
        <v>1575</v>
      </c>
      <c r="AE14" s="1235"/>
      <c r="AF14" s="1235"/>
      <c r="AG14" s="1235"/>
      <c r="AH14" s="1235"/>
      <c r="AI14" s="1235"/>
      <c r="AJ14" s="1235"/>
      <c r="AK14" s="1235"/>
      <c r="AL14" s="1235"/>
      <c r="AM14" s="1235"/>
      <c r="AN14" s="1235"/>
      <c r="AO14" s="1235"/>
      <c r="AP14" s="1235"/>
      <c r="AQ14" s="1235"/>
      <c r="AR14" s="1235"/>
      <c r="AS14" s="1235"/>
      <c r="AT14" s="1235"/>
      <c r="AU14" s="1235"/>
      <c r="AV14" s="1235"/>
      <c r="AW14" s="1235"/>
      <c r="AX14" s="1235"/>
      <c r="AY14" s="1235"/>
      <c r="AZ14" s="1235"/>
      <c r="BA14" s="1235"/>
      <c r="BB14" s="1235"/>
      <c r="BC14" s="1235"/>
      <c r="BD14" s="1235"/>
      <c r="BE14" s="1235"/>
      <c r="BF14" s="1235"/>
      <c r="BG14" s="1235"/>
      <c r="BH14" s="1235"/>
      <c r="BI14" s="1235"/>
      <c r="BJ14" s="1235"/>
    </row>
    <row r="15" spans="1:62" ht="14.1" customHeight="1">
      <c r="A15" s="1233" t="s">
        <v>1067</v>
      </c>
      <c r="B15" s="1233" t="s">
        <v>1068</v>
      </c>
      <c r="C15" s="1233" t="s">
        <v>1069</v>
      </c>
      <c r="D15" s="1315">
        <v>40940</v>
      </c>
      <c r="E15" s="1330" t="s">
        <v>329</v>
      </c>
      <c r="F15" s="1322" t="s">
        <v>330</v>
      </c>
      <c r="G15" s="1280">
        <v>1223</v>
      </c>
      <c r="H15" s="1287"/>
      <c r="I15" s="1287"/>
      <c r="J15" s="1287"/>
      <c r="K15" s="1287"/>
      <c r="L15" s="1287"/>
      <c r="M15" s="1287"/>
      <c r="N15" s="1287"/>
      <c r="O15" s="1287"/>
      <c r="P15" s="1287"/>
      <c r="Q15" s="1287"/>
      <c r="R15" s="1287"/>
      <c r="S15" s="1287"/>
      <c r="T15" s="1287"/>
      <c r="U15" s="1287"/>
      <c r="V15" s="1287"/>
      <c r="W15" s="1280">
        <v>2</v>
      </c>
      <c r="X15" s="1287"/>
      <c r="Y15" s="1287"/>
      <c r="Z15" s="1287"/>
      <c r="AA15" s="1287"/>
      <c r="AB15" s="1282"/>
      <c r="AC15" s="1287"/>
      <c r="AD15" s="1287">
        <f t="shared" si="0"/>
        <v>1225</v>
      </c>
      <c r="AE15" s="1235"/>
      <c r="AF15" s="1235"/>
      <c r="AG15" s="1235"/>
      <c r="AH15" s="1235"/>
      <c r="AI15" s="1235"/>
      <c r="AJ15" s="1235"/>
      <c r="AK15" s="1235"/>
      <c r="AL15" s="1235"/>
      <c r="AM15" s="1235"/>
      <c r="AN15" s="1235"/>
      <c r="AO15" s="1235"/>
      <c r="AP15" s="1235"/>
      <c r="AQ15" s="1235"/>
      <c r="AR15" s="1235"/>
      <c r="AS15" s="1235"/>
      <c r="AT15" s="1235"/>
      <c r="AU15" s="1235"/>
      <c r="AV15" s="1235"/>
      <c r="AW15" s="1235"/>
      <c r="AX15" s="1235"/>
      <c r="AY15" s="1235"/>
      <c r="AZ15" s="1235"/>
      <c r="BA15" s="1235"/>
      <c r="BB15" s="1235"/>
      <c r="BC15" s="1235"/>
      <c r="BD15" s="1235"/>
      <c r="BE15" s="1235"/>
      <c r="BF15" s="1235"/>
      <c r="BG15" s="1235"/>
      <c r="BH15" s="1235"/>
      <c r="BI15" s="1235"/>
      <c r="BJ15" s="1235"/>
    </row>
    <row r="16" spans="1:62" ht="14.1" customHeight="1">
      <c r="A16" s="1233" t="s">
        <v>1067</v>
      </c>
      <c r="B16" s="1233" t="s">
        <v>1068</v>
      </c>
      <c r="C16" s="1233" t="s">
        <v>1069</v>
      </c>
      <c r="D16" s="1315">
        <v>40940</v>
      </c>
      <c r="E16" s="1330" t="s">
        <v>331</v>
      </c>
      <c r="F16" s="1322" t="s">
        <v>332</v>
      </c>
      <c r="G16" s="1280">
        <v>1508</v>
      </c>
      <c r="H16" s="1287"/>
      <c r="I16" s="1287"/>
      <c r="J16" s="1287"/>
      <c r="K16" s="1287"/>
      <c r="L16" s="1287"/>
      <c r="M16" s="1287"/>
      <c r="N16" s="1287"/>
      <c r="O16" s="1287"/>
      <c r="P16" s="1287"/>
      <c r="Q16" s="1287"/>
      <c r="R16" s="1287"/>
      <c r="S16" s="1287"/>
      <c r="T16" s="1287"/>
      <c r="U16" s="1280">
        <v>6</v>
      </c>
      <c r="V16" s="1287"/>
      <c r="W16" s="1280">
        <v>5</v>
      </c>
      <c r="X16" s="1287"/>
      <c r="Y16" s="1287"/>
      <c r="Z16" s="1287"/>
      <c r="AA16" s="1287"/>
      <c r="AB16" s="1282"/>
      <c r="AC16" s="1287"/>
      <c r="AD16" s="1287">
        <f t="shared" si="0"/>
        <v>1519</v>
      </c>
      <c r="AE16" s="1235"/>
      <c r="AF16" s="1235"/>
      <c r="AG16" s="1235"/>
      <c r="AH16" s="1235"/>
      <c r="AI16" s="1235"/>
      <c r="AJ16" s="1235"/>
      <c r="AK16" s="1235"/>
      <c r="AL16" s="1235"/>
      <c r="AM16" s="1235"/>
      <c r="AN16" s="1235"/>
      <c r="AO16" s="1235"/>
      <c r="AP16" s="1235"/>
      <c r="AQ16" s="1235"/>
      <c r="AR16" s="1235"/>
      <c r="AS16" s="1235"/>
      <c r="AT16" s="1235"/>
      <c r="AU16" s="1235"/>
      <c r="AV16" s="1235"/>
      <c r="AW16" s="1235"/>
      <c r="AX16" s="1235"/>
      <c r="AY16" s="1235"/>
      <c r="AZ16" s="1235"/>
      <c r="BA16" s="1235"/>
      <c r="BB16" s="1235"/>
      <c r="BC16" s="1235"/>
      <c r="BD16" s="1235"/>
      <c r="BE16" s="1235"/>
      <c r="BF16" s="1235"/>
      <c r="BG16" s="1235"/>
      <c r="BH16" s="1235"/>
      <c r="BI16" s="1235"/>
      <c r="BJ16" s="1235"/>
    </row>
    <row r="17" spans="1:62" ht="14.1" customHeight="1">
      <c r="A17" s="1233" t="s">
        <v>1067</v>
      </c>
      <c r="B17" s="1233" t="s">
        <v>1068</v>
      </c>
      <c r="C17" s="1233" t="s">
        <v>1069</v>
      </c>
      <c r="D17" s="1315">
        <v>40940</v>
      </c>
      <c r="E17" s="1330" t="s">
        <v>333</v>
      </c>
      <c r="F17" s="1322" t="s">
        <v>334</v>
      </c>
      <c r="G17" s="1280">
        <v>1945</v>
      </c>
      <c r="H17" s="1287"/>
      <c r="I17" s="1287"/>
      <c r="J17" s="1287"/>
      <c r="K17" s="1287"/>
      <c r="L17" s="1287"/>
      <c r="M17" s="1287"/>
      <c r="N17" s="1287"/>
      <c r="O17" s="1287"/>
      <c r="P17" s="1287"/>
      <c r="Q17" s="1287"/>
      <c r="R17" s="1287"/>
      <c r="S17" s="1280">
        <v>3</v>
      </c>
      <c r="T17" s="1287"/>
      <c r="U17" s="1280">
        <v>3</v>
      </c>
      <c r="V17" s="1287"/>
      <c r="W17" s="1280">
        <v>7</v>
      </c>
      <c r="X17" s="1287"/>
      <c r="Y17" s="1287"/>
      <c r="Z17" s="1287"/>
      <c r="AA17" s="1287"/>
      <c r="AB17" s="1282"/>
      <c r="AC17" s="1287"/>
      <c r="AD17" s="1287">
        <f t="shared" si="0"/>
        <v>1958</v>
      </c>
      <c r="AE17" s="1235"/>
      <c r="AF17" s="1235"/>
      <c r="AG17" s="1235"/>
      <c r="AH17" s="1235"/>
      <c r="AI17" s="1235"/>
      <c r="AJ17" s="1235"/>
      <c r="AK17" s="1235"/>
      <c r="AL17" s="1235"/>
      <c r="AM17" s="1235"/>
      <c r="AN17" s="1234">
        <v>3</v>
      </c>
      <c r="AO17" s="1235"/>
      <c r="AP17" s="1235"/>
      <c r="AQ17" s="1235"/>
      <c r="AR17" s="1235"/>
      <c r="AS17" s="1235"/>
      <c r="AT17" s="1235"/>
      <c r="AU17" s="1235"/>
      <c r="AV17" s="1235"/>
      <c r="AW17" s="1235"/>
      <c r="AX17" s="1235"/>
      <c r="AY17" s="1235"/>
      <c r="AZ17" s="1235"/>
      <c r="BA17" s="1235"/>
      <c r="BB17" s="1235"/>
      <c r="BC17" s="1235"/>
      <c r="BD17" s="1235"/>
      <c r="BE17" s="1235"/>
      <c r="BF17" s="1235"/>
      <c r="BG17" s="1235"/>
      <c r="BH17" s="1235"/>
      <c r="BI17" s="1235"/>
      <c r="BJ17" s="1235"/>
    </row>
    <row r="18" spans="1:62" ht="14.1" customHeight="1">
      <c r="A18" s="1291" t="s">
        <v>1067</v>
      </c>
      <c r="B18" s="1291" t="s">
        <v>1068</v>
      </c>
      <c r="C18" s="1291" t="s">
        <v>1069</v>
      </c>
      <c r="D18" s="1316">
        <v>40940</v>
      </c>
      <c r="E18" s="1331" t="s">
        <v>335</v>
      </c>
      <c r="F18" s="1323" t="s">
        <v>336</v>
      </c>
      <c r="G18" s="1292">
        <v>3621</v>
      </c>
      <c r="H18" s="1293"/>
      <c r="I18" s="1293"/>
      <c r="J18" s="1293"/>
      <c r="K18" s="1293"/>
      <c r="L18" s="1293"/>
      <c r="M18" s="1293"/>
      <c r="N18" s="1292"/>
      <c r="O18" s="1293"/>
      <c r="P18" s="1293"/>
      <c r="Q18" s="1293"/>
      <c r="R18" s="1293"/>
      <c r="S18" s="1293"/>
      <c r="T18" s="1293"/>
      <c r="U18" s="1292">
        <v>4</v>
      </c>
      <c r="V18" s="1293"/>
      <c r="W18" s="1292">
        <v>2</v>
      </c>
      <c r="X18" s="1293"/>
      <c r="Y18" s="1293"/>
      <c r="Z18" s="1293"/>
      <c r="AA18" s="1293"/>
      <c r="AB18" s="1294"/>
      <c r="AC18" s="1293"/>
      <c r="AD18" s="1293">
        <f t="shared" si="0"/>
        <v>3627</v>
      </c>
      <c r="AE18" s="1235"/>
      <c r="AF18" s="1235"/>
      <c r="AG18" s="1235"/>
      <c r="AH18" s="1235">
        <v>1</v>
      </c>
      <c r="AI18" s="1235"/>
      <c r="AJ18" s="1235"/>
      <c r="AK18" s="1235"/>
      <c r="AL18" s="1235"/>
      <c r="AM18" s="1235"/>
      <c r="AN18" s="1235"/>
      <c r="AO18" s="1235"/>
      <c r="AP18" s="1235"/>
      <c r="AQ18" s="1235"/>
      <c r="AR18" s="1235"/>
      <c r="AS18" s="1235">
        <v>2</v>
      </c>
      <c r="AT18" s="1235"/>
      <c r="AU18" s="1235"/>
      <c r="AV18" s="1235"/>
      <c r="AW18" s="1235"/>
      <c r="AX18" s="1234"/>
      <c r="AY18" s="1235"/>
      <c r="AZ18" s="1235"/>
      <c r="BA18" s="1235"/>
      <c r="BB18" s="1235"/>
      <c r="BC18" s="1235"/>
      <c r="BD18" s="1235"/>
      <c r="BE18" s="1235"/>
      <c r="BF18" s="1235"/>
      <c r="BG18" s="1235"/>
      <c r="BH18" s="1234"/>
      <c r="BI18" s="1234"/>
      <c r="BJ18" s="1235">
        <v>1</v>
      </c>
    </row>
    <row r="19" spans="1:62" ht="14.1" customHeight="1">
      <c r="A19" s="1233" t="s">
        <v>1067</v>
      </c>
      <c r="B19" s="1233" t="s">
        <v>1068</v>
      </c>
      <c r="C19" s="1233" t="s">
        <v>1069</v>
      </c>
      <c r="D19" s="1315">
        <v>40940</v>
      </c>
      <c r="E19" s="1330" t="s">
        <v>337</v>
      </c>
      <c r="F19" s="1322" t="s">
        <v>338</v>
      </c>
      <c r="G19" s="1280">
        <v>4773</v>
      </c>
      <c r="H19" s="1287"/>
      <c r="I19" s="1287"/>
      <c r="J19" s="1287"/>
      <c r="K19" s="1287"/>
      <c r="L19" s="1287"/>
      <c r="M19" s="1287"/>
      <c r="N19" s="1287"/>
      <c r="O19" s="1287"/>
      <c r="P19" s="1287"/>
      <c r="Q19" s="1287"/>
      <c r="R19" s="1287"/>
      <c r="S19" s="1287"/>
      <c r="T19" s="1287"/>
      <c r="U19" s="1280">
        <v>13</v>
      </c>
      <c r="V19" s="1287"/>
      <c r="W19" s="1280">
        <v>1</v>
      </c>
      <c r="X19" s="1287"/>
      <c r="Y19" s="1287"/>
      <c r="Z19" s="1287"/>
      <c r="AA19" s="1287"/>
      <c r="AB19" s="1282"/>
      <c r="AC19" s="1287"/>
      <c r="AD19" s="1287">
        <f t="shared" si="0"/>
        <v>4787</v>
      </c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4">
        <v>2</v>
      </c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235"/>
    </row>
    <row r="20" spans="1:62" ht="14.1" customHeight="1">
      <c r="A20" s="1233" t="s">
        <v>1067</v>
      </c>
      <c r="B20" s="1233" t="s">
        <v>1068</v>
      </c>
      <c r="C20" s="1233" t="s">
        <v>1069</v>
      </c>
      <c r="D20" s="1315">
        <v>40940</v>
      </c>
      <c r="E20" s="1330" t="s">
        <v>339</v>
      </c>
      <c r="F20" s="1322" t="s">
        <v>340</v>
      </c>
      <c r="G20" s="1280">
        <v>41009</v>
      </c>
      <c r="H20" s="1280">
        <v>2117</v>
      </c>
      <c r="I20" s="1287"/>
      <c r="J20" s="1280">
        <v>253</v>
      </c>
      <c r="K20" s="1287"/>
      <c r="L20" s="1287"/>
      <c r="M20" s="1287"/>
      <c r="N20" s="1287"/>
      <c r="O20" s="1287"/>
      <c r="P20" s="1287"/>
      <c r="Q20" s="1287"/>
      <c r="R20" s="1287"/>
      <c r="S20" s="1287"/>
      <c r="T20" s="1280">
        <v>189</v>
      </c>
      <c r="U20" s="1280">
        <v>77</v>
      </c>
      <c r="V20" s="1287"/>
      <c r="W20" s="1280">
        <v>40</v>
      </c>
      <c r="X20" s="1287"/>
      <c r="Y20" s="1287"/>
      <c r="Z20" s="1287"/>
      <c r="AA20" s="1287"/>
      <c r="AB20" s="1282"/>
      <c r="AC20" s="1287"/>
      <c r="AD20" s="1287">
        <f t="shared" si="0"/>
        <v>43685</v>
      </c>
      <c r="AE20" s="1237">
        <v>1359</v>
      </c>
      <c r="AF20" s="1236">
        <v>266</v>
      </c>
      <c r="AG20" s="1235"/>
      <c r="AH20" s="1234">
        <v>2</v>
      </c>
      <c r="AI20" s="1235"/>
      <c r="AJ20" s="1235"/>
      <c r="AK20" s="1235"/>
      <c r="AL20" s="1234">
        <v>1</v>
      </c>
      <c r="AM20" s="1235"/>
      <c r="AN20" s="1235"/>
      <c r="AO20" s="1234">
        <v>13</v>
      </c>
      <c r="AP20" s="1235"/>
      <c r="AQ20" s="1235"/>
      <c r="AR20" s="1234">
        <v>3</v>
      </c>
      <c r="AS20" s="1234">
        <v>1</v>
      </c>
      <c r="AT20" s="1235"/>
      <c r="AU20" s="1235"/>
      <c r="AV20" s="1235"/>
      <c r="AW20" s="1235"/>
      <c r="AX20" s="1235"/>
      <c r="AY20" s="1235"/>
      <c r="AZ20" s="1235"/>
      <c r="BA20" s="1235"/>
      <c r="BB20" s="1235"/>
      <c r="BC20" s="1235"/>
      <c r="BD20" s="1234">
        <v>158</v>
      </c>
      <c r="BE20" s="1234">
        <v>63</v>
      </c>
      <c r="BF20" s="1235"/>
      <c r="BG20" s="1235"/>
      <c r="BH20" s="1234">
        <v>12</v>
      </c>
      <c r="BI20" s="1234">
        <v>6</v>
      </c>
      <c r="BJ20" s="1234">
        <v>4</v>
      </c>
    </row>
    <row r="21" spans="1:62" ht="14.1" customHeight="1">
      <c r="A21" s="1233" t="s">
        <v>1067</v>
      </c>
      <c r="B21" s="1233" t="s">
        <v>1068</v>
      </c>
      <c r="C21" s="1233" t="s">
        <v>1069</v>
      </c>
      <c r="D21" s="1315">
        <v>40940</v>
      </c>
      <c r="E21" s="1330" t="s">
        <v>341</v>
      </c>
      <c r="F21" s="1322" t="s">
        <v>342</v>
      </c>
      <c r="G21" s="1280">
        <v>1134</v>
      </c>
      <c r="H21" s="1287"/>
      <c r="I21" s="1287"/>
      <c r="J21" s="1287"/>
      <c r="K21" s="1287"/>
      <c r="L21" s="1287"/>
      <c r="M21" s="1287"/>
      <c r="N21" s="1287"/>
      <c r="O21" s="1280"/>
      <c r="P21" s="1287"/>
      <c r="Q21" s="1287"/>
      <c r="R21" s="1287"/>
      <c r="S21" s="1287"/>
      <c r="T21" s="1287"/>
      <c r="U21" s="1280">
        <v>1</v>
      </c>
      <c r="V21" s="1287"/>
      <c r="W21" s="1287"/>
      <c r="X21" s="1287"/>
      <c r="Y21" s="1287"/>
      <c r="Z21" s="1287"/>
      <c r="AA21" s="1287"/>
      <c r="AB21" s="1282"/>
      <c r="AC21" s="1287"/>
      <c r="AD21" s="1287">
        <f t="shared" si="0"/>
        <v>1135</v>
      </c>
      <c r="AE21" s="1235"/>
      <c r="AF21" s="1235"/>
      <c r="AG21" s="1235"/>
      <c r="AH21" s="1235"/>
      <c r="AI21" s="1235"/>
      <c r="AJ21" s="1235"/>
      <c r="AK21" s="1235"/>
      <c r="AL21" s="1235"/>
      <c r="AM21" s="1235"/>
      <c r="AN21" s="1235"/>
      <c r="AO21" s="1235"/>
      <c r="AP21" s="1235"/>
      <c r="AQ21" s="1235"/>
      <c r="AR21" s="1235"/>
      <c r="AS21" s="1235"/>
      <c r="AT21" s="1235"/>
      <c r="AU21" s="1235"/>
      <c r="AV21" s="1235"/>
      <c r="AW21" s="1235"/>
      <c r="AX21" s="1235"/>
      <c r="AY21" s="1235"/>
      <c r="AZ21" s="1235"/>
      <c r="BA21" s="1235"/>
      <c r="BB21" s="1235"/>
      <c r="BC21" s="1235"/>
      <c r="BD21" s="1235"/>
      <c r="BE21" s="1235"/>
      <c r="BF21" s="1235"/>
      <c r="BG21" s="1235"/>
      <c r="BH21" s="1235"/>
      <c r="BI21" s="1235"/>
      <c r="BJ21" s="1234">
        <v>1</v>
      </c>
    </row>
    <row r="22" spans="1:62" ht="14.1" customHeight="1">
      <c r="A22" s="1233" t="s">
        <v>1067</v>
      </c>
      <c r="B22" s="1233" t="s">
        <v>1068</v>
      </c>
      <c r="C22" s="1233" t="s">
        <v>1069</v>
      </c>
      <c r="D22" s="1315">
        <v>40940</v>
      </c>
      <c r="E22" s="1330" t="s">
        <v>343</v>
      </c>
      <c r="F22" s="1322" t="s">
        <v>344</v>
      </c>
      <c r="G22" s="1280">
        <v>1929</v>
      </c>
      <c r="H22" s="1287"/>
      <c r="I22" s="1287"/>
      <c r="J22" s="1287"/>
      <c r="K22" s="1287"/>
      <c r="L22" s="1287"/>
      <c r="M22" s="1287"/>
      <c r="N22" s="1287"/>
      <c r="O22" s="1287"/>
      <c r="P22" s="1287"/>
      <c r="Q22" s="1287"/>
      <c r="R22" s="1287"/>
      <c r="S22" s="1287"/>
      <c r="T22" s="1287"/>
      <c r="U22" s="1280">
        <v>8</v>
      </c>
      <c r="V22" s="1287"/>
      <c r="W22" s="1280">
        <v>1</v>
      </c>
      <c r="X22" s="1287"/>
      <c r="Y22" s="1287"/>
      <c r="Z22" s="1287"/>
      <c r="AA22" s="1287"/>
      <c r="AB22" s="1282"/>
      <c r="AC22" s="1287"/>
      <c r="AD22" s="1287">
        <f t="shared" si="0"/>
        <v>1938</v>
      </c>
      <c r="AE22" s="1235"/>
      <c r="AF22" s="1235"/>
      <c r="AG22" s="1237">
        <v>7</v>
      </c>
      <c r="AH22" s="1235"/>
      <c r="AI22" s="1235"/>
      <c r="AJ22" s="1235"/>
      <c r="AK22" s="1235"/>
      <c r="AL22" s="1235"/>
      <c r="AM22" s="1235"/>
      <c r="AN22" s="1235"/>
      <c r="AO22" s="1235"/>
      <c r="AP22" s="1235"/>
      <c r="AQ22" s="1235"/>
      <c r="AR22" s="1235"/>
      <c r="AS22" s="1235"/>
      <c r="AT22" s="1235"/>
      <c r="AU22" s="1235"/>
      <c r="AV22" s="1234">
        <v>13</v>
      </c>
      <c r="AW22" s="1235"/>
      <c r="AX22" s="1235"/>
      <c r="AY22" s="1235"/>
      <c r="AZ22" s="1235"/>
      <c r="BA22" s="1235"/>
      <c r="BB22" s="1235"/>
      <c r="BC22" s="1235"/>
      <c r="BD22" s="1235"/>
      <c r="BE22" s="1235"/>
      <c r="BF22" s="1235"/>
      <c r="BG22" s="1235"/>
      <c r="BH22" s="1235"/>
      <c r="BI22" s="1234">
        <v>1</v>
      </c>
      <c r="BJ22" s="1235"/>
    </row>
    <row r="23" spans="1:62" ht="14.1" customHeight="1">
      <c r="A23" s="1291" t="s">
        <v>1067</v>
      </c>
      <c r="B23" s="1291" t="s">
        <v>1068</v>
      </c>
      <c r="C23" s="1291" t="s">
        <v>1069</v>
      </c>
      <c r="D23" s="1316">
        <v>40940</v>
      </c>
      <c r="E23" s="1331" t="s">
        <v>345</v>
      </c>
      <c r="F23" s="1323" t="s">
        <v>346</v>
      </c>
      <c r="G23" s="1292">
        <v>5802</v>
      </c>
      <c r="H23" s="1293"/>
      <c r="I23" s="1293"/>
      <c r="J23" s="1293"/>
      <c r="K23" s="1293"/>
      <c r="L23" s="1293"/>
      <c r="M23" s="1293"/>
      <c r="N23" s="1292"/>
      <c r="O23" s="1293"/>
      <c r="P23" s="1293"/>
      <c r="Q23" s="1293"/>
      <c r="R23" s="1293"/>
      <c r="S23" s="1293"/>
      <c r="T23" s="1293"/>
      <c r="U23" s="1292">
        <v>8</v>
      </c>
      <c r="V23" s="1293"/>
      <c r="W23" s="1292">
        <v>1</v>
      </c>
      <c r="X23" s="1293"/>
      <c r="Y23" s="1293"/>
      <c r="Z23" s="1293"/>
      <c r="AA23" s="1293"/>
      <c r="AB23" s="1294"/>
      <c r="AC23" s="1293"/>
      <c r="AD23" s="1293">
        <f t="shared" si="0"/>
        <v>5811</v>
      </c>
      <c r="AE23" s="1235"/>
      <c r="AF23" s="1235"/>
      <c r="AG23" s="1235"/>
      <c r="AH23" s="1235"/>
      <c r="AI23" s="1235"/>
      <c r="AJ23" s="1235"/>
      <c r="AK23" s="1235"/>
      <c r="AL23" s="1235"/>
      <c r="AM23" s="1235"/>
      <c r="AN23" s="1235"/>
      <c r="AO23" s="1235"/>
      <c r="AP23" s="1235"/>
      <c r="AQ23" s="1235"/>
      <c r="AR23" s="1235"/>
      <c r="AS23" s="1235">
        <v>2</v>
      </c>
      <c r="AT23" s="1235"/>
      <c r="AU23" s="1235"/>
      <c r="AV23" s="1235"/>
      <c r="AW23" s="1235"/>
      <c r="AX23" s="1234"/>
      <c r="AY23" s="1235"/>
      <c r="AZ23" s="1235"/>
      <c r="BA23" s="1235"/>
      <c r="BB23" s="1235"/>
      <c r="BC23" s="1235"/>
      <c r="BD23" s="1235"/>
      <c r="BE23" s="1235"/>
      <c r="BF23" s="1235"/>
      <c r="BG23" s="1235"/>
      <c r="BH23" s="1234">
        <v>2</v>
      </c>
      <c r="BI23" s="1234">
        <v>2</v>
      </c>
      <c r="BJ23" s="1235"/>
    </row>
    <row r="24" spans="1:62" ht="14.1" customHeight="1">
      <c r="A24" s="1233" t="s">
        <v>1067</v>
      </c>
      <c r="B24" s="1233" t="s">
        <v>1068</v>
      </c>
      <c r="C24" s="1233" t="s">
        <v>1069</v>
      </c>
      <c r="D24" s="1315">
        <v>40940</v>
      </c>
      <c r="E24" s="1330" t="s">
        <v>347</v>
      </c>
      <c r="F24" s="1322" t="s">
        <v>348</v>
      </c>
      <c r="G24" s="1280">
        <v>2938</v>
      </c>
      <c r="H24" s="1287"/>
      <c r="I24" s="1287"/>
      <c r="J24" s="1287"/>
      <c r="K24" s="1287"/>
      <c r="L24" s="1287"/>
      <c r="M24" s="1287"/>
      <c r="N24" s="1287"/>
      <c r="O24" s="1280"/>
      <c r="P24" s="1287"/>
      <c r="Q24" s="1287"/>
      <c r="R24" s="1287"/>
      <c r="S24" s="1287"/>
      <c r="T24" s="1287"/>
      <c r="U24" s="1280">
        <v>3</v>
      </c>
      <c r="V24" s="1287"/>
      <c r="W24" s="1280">
        <v>9</v>
      </c>
      <c r="X24" s="1287"/>
      <c r="Y24" s="1287"/>
      <c r="Z24" s="1287"/>
      <c r="AA24" s="1287"/>
      <c r="AB24" s="1282"/>
      <c r="AC24" s="1287"/>
      <c r="AD24" s="1287">
        <f t="shared" si="0"/>
        <v>2950</v>
      </c>
      <c r="AE24" s="1235"/>
      <c r="AF24" s="1235"/>
      <c r="AG24" s="1235"/>
      <c r="AH24" s="1235"/>
      <c r="AI24" s="1235"/>
      <c r="AJ24" s="1235"/>
      <c r="AK24" s="1235"/>
      <c r="AL24" s="1235"/>
      <c r="AM24" s="1235"/>
      <c r="AN24" s="1235"/>
      <c r="AO24" s="1235"/>
      <c r="AP24" s="1235"/>
      <c r="AQ24" s="1235"/>
      <c r="AR24" s="1235"/>
      <c r="AS24" s="1235"/>
      <c r="AT24" s="1235"/>
      <c r="AU24" s="1235"/>
      <c r="AV24" s="1235"/>
      <c r="AW24" s="1235"/>
      <c r="AX24" s="1235"/>
      <c r="AY24" s="1235"/>
      <c r="AZ24" s="1235"/>
      <c r="BA24" s="1235"/>
      <c r="BB24" s="1235"/>
      <c r="BC24" s="1235"/>
      <c r="BD24" s="1235"/>
      <c r="BE24" s="1235"/>
      <c r="BF24" s="1235"/>
      <c r="BG24" s="1235"/>
      <c r="BH24" s="1235"/>
      <c r="BI24" s="1235"/>
      <c r="BJ24" s="1234">
        <v>4</v>
      </c>
    </row>
    <row r="25" spans="1:62" ht="14.1" customHeight="1">
      <c r="A25" s="1233" t="s">
        <v>1067</v>
      </c>
      <c r="B25" s="1233" t="s">
        <v>1068</v>
      </c>
      <c r="C25" s="1233" t="s">
        <v>1069</v>
      </c>
      <c r="D25" s="1315">
        <v>40940</v>
      </c>
      <c r="E25" s="1330" t="s">
        <v>349</v>
      </c>
      <c r="F25" s="1322" t="s">
        <v>350</v>
      </c>
      <c r="G25" s="1280">
        <v>3267</v>
      </c>
      <c r="H25" s="1287"/>
      <c r="I25" s="1287"/>
      <c r="J25" s="1287"/>
      <c r="K25" s="1287"/>
      <c r="L25" s="1287"/>
      <c r="M25" s="1287"/>
      <c r="N25" s="1287"/>
      <c r="O25" s="1287"/>
      <c r="P25" s="1287"/>
      <c r="Q25" s="1287"/>
      <c r="R25" s="1287"/>
      <c r="S25" s="1287"/>
      <c r="T25" s="1287"/>
      <c r="U25" s="1280">
        <v>2</v>
      </c>
      <c r="V25" s="1287"/>
      <c r="W25" s="1280">
        <v>8</v>
      </c>
      <c r="X25" s="1287"/>
      <c r="Y25" s="1287"/>
      <c r="Z25" s="1287"/>
      <c r="AA25" s="1287"/>
      <c r="AB25" s="1282"/>
      <c r="AC25" s="1287"/>
      <c r="AD25" s="1287">
        <f t="shared" si="0"/>
        <v>3277</v>
      </c>
      <c r="AE25" s="1235"/>
      <c r="AF25" s="1235"/>
      <c r="AG25" s="1235"/>
      <c r="AH25" s="1235"/>
      <c r="AI25" s="1235"/>
      <c r="AJ25" s="1235"/>
      <c r="AK25" s="1235"/>
      <c r="AL25" s="1235"/>
      <c r="AM25" s="1235"/>
      <c r="AN25" s="1235"/>
      <c r="AO25" s="1235"/>
      <c r="AP25" s="1235"/>
      <c r="AQ25" s="1235"/>
      <c r="AR25" s="1235"/>
      <c r="AS25" s="1234">
        <v>1</v>
      </c>
      <c r="AT25" s="1235"/>
      <c r="AU25" s="1235"/>
      <c r="AV25" s="1235"/>
      <c r="AW25" s="1235"/>
      <c r="AX25" s="1235"/>
      <c r="AY25" s="1235"/>
      <c r="AZ25" s="1235"/>
      <c r="BA25" s="1235"/>
      <c r="BB25" s="1235"/>
      <c r="BC25" s="1235"/>
      <c r="BD25" s="1235"/>
      <c r="BE25" s="1235"/>
      <c r="BF25" s="1235"/>
      <c r="BG25" s="1235"/>
      <c r="BH25" s="1235"/>
      <c r="BI25" s="1235"/>
      <c r="BJ25" s="1235"/>
    </row>
    <row r="26" spans="1:62" ht="14.1" customHeight="1">
      <c r="A26" s="1233" t="s">
        <v>1067</v>
      </c>
      <c r="B26" s="1233" t="s">
        <v>1068</v>
      </c>
      <c r="C26" s="1233" t="s">
        <v>1069</v>
      </c>
      <c r="D26" s="1315">
        <v>40940</v>
      </c>
      <c r="E26" s="1330" t="s">
        <v>351</v>
      </c>
      <c r="F26" s="1322" t="s">
        <v>352</v>
      </c>
      <c r="G26" s="1280">
        <v>13259</v>
      </c>
      <c r="H26" s="1287"/>
      <c r="I26" s="1287"/>
      <c r="J26" s="1287"/>
      <c r="K26" s="1287"/>
      <c r="L26" s="1280"/>
      <c r="M26" s="1287"/>
      <c r="N26" s="1287"/>
      <c r="O26" s="1287"/>
      <c r="P26" s="1287"/>
      <c r="Q26" s="1287"/>
      <c r="R26" s="1287"/>
      <c r="S26" s="1287"/>
      <c r="T26" s="1287"/>
      <c r="U26" s="1280">
        <v>10</v>
      </c>
      <c r="V26" s="1287"/>
      <c r="W26" s="1280">
        <v>11</v>
      </c>
      <c r="X26" s="1287"/>
      <c r="Y26" s="1287"/>
      <c r="Z26" s="1287"/>
      <c r="AA26" s="1287"/>
      <c r="AB26" s="1282"/>
      <c r="AC26" s="1287"/>
      <c r="AD26" s="1287">
        <f t="shared" si="0"/>
        <v>13280</v>
      </c>
      <c r="AE26" s="1235"/>
      <c r="AF26" s="1235"/>
      <c r="AG26" s="1235"/>
      <c r="AH26" s="1235"/>
      <c r="AI26" s="1235"/>
      <c r="AJ26" s="1235"/>
      <c r="AK26" s="1235"/>
      <c r="AL26" s="1235"/>
      <c r="AM26" s="1235"/>
      <c r="AN26" s="1235"/>
      <c r="AO26" s="1234">
        <v>1</v>
      </c>
      <c r="AP26" s="1235"/>
      <c r="AQ26" s="1235"/>
      <c r="AR26" s="1234">
        <v>2</v>
      </c>
      <c r="AS26" s="1235"/>
      <c r="AT26" s="1235"/>
      <c r="AU26" s="1235"/>
      <c r="AV26" s="1235"/>
      <c r="AW26" s="1235"/>
      <c r="AX26" s="1235"/>
      <c r="AY26" s="1235"/>
      <c r="AZ26" s="1235"/>
      <c r="BA26" s="1235"/>
      <c r="BB26" s="1235"/>
      <c r="BC26" s="1235"/>
      <c r="BD26" s="1235"/>
      <c r="BE26" s="1235"/>
      <c r="BF26" s="1235"/>
      <c r="BG26" s="1235"/>
      <c r="BH26" s="1235"/>
      <c r="BI26" s="1234">
        <v>2</v>
      </c>
      <c r="BJ26" s="1234">
        <v>1</v>
      </c>
    </row>
    <row r="27" spans="1:62" ht="14.1" customHeight="1">
      <c r="A27" s="1233" t="s">
        <v>1067</v>
      </c>
      <c r="B27" s="1233" t="s">
        <v>1068</v>
      </c>
      <c r="C27" s="1233" t="s">
        <v>1069</v>
      </c>
      <c r="D27" s="1315">
        <v>40940</v>
      </c>
      <c r="E27" s="1330" t="s">
        <v>353</v>
      </c>
      <c r="F27" s="1322" t="s">
        <v>354</v>
      </c>
      <c r="G27" s="1280">
        <v>4461</v>
      </c>
      <c r="H27" s="1287"/>
      <c r="I27" s="1287"/>
      <c r="J27" s="1287"/>
      <c r="K27" s="1287"/>
      <c r="L27" s="1287"/>
      <c r="M27" s="1287"/>
      <c r="N27" s="1287"/>
      <c r="O27" s="1287"/>
      <c r="P27" s="1287"/>
      <c r="Q27" s="1287"/>
      <c r="R27" s="1287"/>
      <c r="S27" s="1287"/>
      <c r="T27" s="1287"/>
      <c r="U27" s="1280">
        <v>9</v>
      </c>
      <c r="V27" s="1287"/>
      <c r="W27" s="1280">
        <v>1</v>
      </c>
      <c r="X27" s="1287"/>
      <c r="Y27" s="1287"/>
      <c r="Z27" s="1287"/>
      <c r="AA27" s="1287"/>
      <c r="AB27" s="1282"/>
      <c r="AC27" s="1287"/>
      <c r="AD27" s="1287">
        <f t="shared" si="0"/>
        <v>4471</v>
      </c>
      <c r="AE27" s="1235"/>
      <c r="AF27" s="1235"/>
      <c r="AG27" s="1235"/>
      <c r="AH27" s="1235"/>
      <c r="AI27" s="1235"/>
      <c r="AJ27" s="1235"/>
      <c r="AK27" s="1235"/>
      <c r="AL27" s="1235"/>
      <c r="AM27" s="1235"/>
      <c r="AN27" s="1235"/>
      <c r="AO27" s="1235"/>
      <c r="AP27" s="1234">
        <v>19</v>
      </c>
      <c r="AQ27" s="1234">
        <v>6</v>
      </c>
      <c r="AR27" s="1234">
        <v>1</v>
      </c>
      <c r="AS27" s="1235"/>
      <c r="AT27" s="1235"/>
      <c r="AU27" s="1235"/>
      <c r="AV27" s="1235"/>
      <c r="AW27" s="1235"/>
      <c r="AX27" s="1235"/>
      <c r="AY27" s="1235"/>
      <c r="AZ27" s="1235"/>
      <c r="BA27" s="1235"/>
      <c r="BB27" s="1235"/>
      <c r="BC27" s="1235"/>
      <c r="BD27" s="1235"/>
      <c r="BE27" s="1235"/>
      <c r="BF27" s="1235"/>
      <c r="BG27" s="1235"/>
      <c r="BH27" s="1235"/>
      <c r="BI27" s="1235"/>
      <c r="BJ27" s="1235"/>
    </row>
    <row r="28" spans="1:62" ht="14.1" customHeight="1">
      <c r="A28" s="1291" t="s">
        <v>1067</v>
      </c>
      <c r="B28" s="1291" t="s">
        <v>1068</v>
      </c>
      <c r="C28" s="1291" t="s">
        <v>1069</v>
      </c>
      <c r="D28" s="1316">
        <v>40940</v>
      </c>
      <c r="E28" s="1331" t="s">
        <v>355</v>
      </c>
      <c r="F28" s="1323" t="s">
        <v>356</v>
      </c>
      <c r="G28" s="1292">
        <v>2224</v>
      </c>
      <c r="H28" s="1293"/>
      <c r="I28" s="1293"/>
      <c r="J28" s="1293"/>
      <c r="K28" s="1293"/>
      <c r="L28" s="1293"/>
      <c r="M28" s="1293"/>
      <c r="N28" s="1292"/>
      <c r="O28" s="1293"/>
      <c r="P28" s="1293"/>
      <c r="Q28" s="1293"/>
      <c r="R28" s="1293"/>
      <c r="S28" s="1293"/>
      <c r="T28" s="1293"/>
      <c r="U28" s="1292">
        <v>2</v>
      </c>
      <c r="V28" s="1293"/>
      <c r="W28" s="1292"/>
      <c r="X28" s="1293"/>
      <c r="Y28" s="1293"/>
      <c r="Z28" s="1293"/>
      <c r="AA28" s="1293"/>
      <c r="AB28" s="1294"/>
      <c r="AC28" s="1293"/>
      <c r="AD28" s="1293">
        <f t="shared" si="0"/>
        <v>2226</v>
      </c>
      <c r="AE28" s="1235"/>
      <c r="AF28" s="1235"/>
      <c r="AG28" s="1235"/>
      <c r="AH28" s="1235"/>
      <c r="AI28" s="1235"/>
      <c r="AJ28" s="1235"/>
      <c r="AK28" s="1235"/>
      <c r="AL28" s="1235"/>
      <c r="AM28" s="1235"/>
      <c r="AN28" s="1235"/>
      <c r="AO28" s="1235"/>
      <c r="AP28" s="1235"/>
      <c r="AQ28" s="1235"/>
      <c r="AR28" s="1235"/>
      <c r="AS28" s="1235"/>
      <c r="AT28" s="1235"/>
      <c r="AU28" s="1235"/>
      <c r="AV28" s="1235"/>
      <c r="AW28" s="1235"/>
      <c r="AX28" s="1234"/>
      <c r="AY28" s="1235"/>
      <c r="AZ28" s="1235"/>
      <c r="BA28" s="1235"/>
      <c r="BB28" s="1235"/>
      <c r="BC28" s="1235"/>
      <c r="BD28" s="1235"/>
      <c r="BE28" s="1235"/>
      <c r="BF28" s="1235"/>
      <c r="BG28" s="1235"/>
      <c r="BH28" s="1234"/>
      <c r="BI28" s="1234"/>
      <c r="BJ28" s="1235"/>
    </row>
    <row r="29" spans="1:62" ht="14.1" customHeight="1">
      <c r="A29" s="1233" t="s">
        <v>1067</v>
      </c>
      <c r="B29" s="1233" t="s">
        <v>1068</v>
      </c>
      <c r="C29" s="1233" t="s">
        <v>1069</v>
      </c>
      <c r="D29" s="1315">
        <v>40940</v>
      </c>
      <c r="E29" s="1330" t="s">
        <v>357</v>
      </c>
      <c r="F29" s="1322" t="s">
        <v>358</v>
      </c>
      <c r="G29" s="1280">
        <v>43581</v>
      </c>
      <c r="H29" s="1287"/>
      <c r="I29" s="1287"/>
      <c r="J29" s="1287"/>
      <c r="K29" s="1287"/>
      <c r="L29" s="1287"/>
      <c r="M29" s="1280"/>
      <c r="N29" s="1287"/>
      <c r="O29" s="1287"/>
      <c r="P29" s="1280"/>
      <c r="Q29" s="1280"/>
      <c r="R29" s="1287"/>
      <c r="S29" s="1287"/>
      <c r="T29" s="1287"/>
      <c r="U29" s="1280">
        <v>102</v>
      </c>
      <c r="V29" s="1280">
        <v>28</v>
      </c>
      <c r="W29" s="1280">
        <v>39</v>
      </c>
      <c r="X29" s="1287"/>
      <c r="Y29" s="1280">
        <v>12</v>
      </c>
      <c r="Z29" s="1280">
        <v>44</v>
      </c>
      <c r="AA29" s="1280"/>
      <c r="AB29" s="1280"/>
      <c r="AC29" s="1280"/>
      <c r="AD29" s="1280">
        <f t="shared" si="0"/>
        <v>43806</v>
      </c>
      <c r="AE29" s="1235"/>
      <c r="AF29" s="1235"/>
      <c r="AG29" s="1237">
        <v>1</v>
      </c>
      <c r="AH29" s="1234">
        <v>2</v>
      </c>
      <c r="AI29" s="1235"/>
      <c r="AJ29" s="1235"/>
      <c r="AK29" s="1234">
        <v>2</v>
      </c>
      <c r="AL29" s="1234">
        <v>4</v>
      </c>
      <c r="AM29" s="1235"/>
      <c r="AN29" s="1235"/>
      <c r="AO29" s="1235"/>
      <c r="AP29" s="1235"/>
      <c r="AQ29" s="1235"/>
      <c r="AR29" s="1234">
        <v>8</v>
      </c>
      <c r="AS29" s="1234">
        <v>2</v>
      </c>
      <c r="AT29" s="1234">
        <v>1</v>
      </c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4">
        <v>7</v>
      </c>
      <c r="BI29" s="1234">
        <v>11</v>
      </c>
      <c r="BJ29" s="1234">
        <v>3</v>
      </c>
    </row>
    <row r="30" spans="1:62" ht="14.1" customHeight="1">
      <c r="A30" s="1233" t="s">
        <v>1067</v>
      </c>
      <c r="B30" s="1233" t="s">
        <v>1068</v>
      </c>
      <c r="C30" s="1233" t="s">
        <v>1069</v>
      </c>
      <c r="D30" s="1315">
        <v>40940</v>
      </c>
      <c r="E30" s="1330" t="s">
        <v>359</v>
      </c>
      <c r="F30" s="1322" t="s">
        <v>360</v>
      </c>
      <c r="G30" s="1280">
        <v>5597</v>
      </c>
      <c r="H30" s="1287"/>
      <c r="I30" s="1287"/>
      <c r="J30" s="1287"/>
      <c r="K30" s="1287"/>
      <c r="L30" s="1287"/>
      <c r="M30" s="1287"/>
      <c r="N30" s="1287"/>
      <c r="O30" s="1287"/>
      <c r="P30" s="1287"/>
      <c r="Q30" s="1287"/>
      <c r="R30" s="1287"/>
      <c r="S30" s="1287"/>
      <c r="T30" s="1287"/>
      <c r="U30" s="1280">
        <v>8</v>
      </c>
      <c r="V30" s="1287"/>
      <c r="W30" s="1280">
        <v>3</v>
      </c>
      <c r="X30" s="1280">
        <v>4</v>
      </c>
      <c r="Y30" s="1287"/>
      <c r="Z30" s="1287"/>
      <c r="AA30" s="1287"/>
      <c r="AB30" s="1282"/>
      <c r="AC30" s="1287"/>
      <c r="AD30" s="1287">
        <f t="shared" si="0"/>
        <v>5612</v>
      </c>
      <c r="AE30" s="1235"/>
      <c r="AF30" s="1235"/>
      <c r="AG30" s="1235"/>
      <c r="AH30" s="1235"/>
      <c r="AI30" s="1235"/>
      <c r="AJ30" s="1235"/>
      <c r="AK30" s="1235"/>
      <c r="AL30" s="1235"/>
      <c r="AM30" s="1235"/>
      <c r="AN30" s="1235"/>
      <c r="AO30" s="1235"/>
      <c r="AP30" s="1235"/>
      <c r="AQ30" s="1235"/>
      <c r="AR30" s="1235"/>
      <c r="AS30" s="1234">
        <v>1</v>
      </c>
      <c r="AT30" s="1235"/>
      <c r="AU30" s="1235"/>
      <c r="AV30" s="1235"/>
      <c r="AW30" s="1235"/>
      <c r="AX30" s="1235"/>
      <c r="AY30" s="1235"/>
      <c r="AZ30" s="1235"/>
      <c r="BA30" s="1235"/>
      <c r="BB30" s="1235"/>
      <c r="BC30" s="1235"/>
      <c r="BD30" s="1235"/>
      <c r="BE30" s="1235"/>
      <c r="BF30" s="1235"/>
      <c r="BG30" s="1235"/>
      <c r="BH30" s="1235"/>
      <c r="BI30" s="1235"/>
      <c r="BJ30" s="1235"/>
    </row>
    <row r="31" spans="1:62" ht="14.1" customHeight="1">
      <c r="A31" s="1233" t="s">
        <v>1067</v>
      </c>
      <c r="B31" s="1233" t="s">
        <v>1068</v>
      </c>
      <c r="C31" s="1233" t="s">
        <v>1069</v>
      </c>
      <c r="D31" s="1315">
        <v>40940</v>
      </c>
      <c r="E31" s="1330" t="s">
        <v>361</v>
      </c>
      <c r="F31" s="1322" t="s">
        <v>362</v>
      </c>
      <c r="G31" s="1280">
        <v>29564</v>
      </c>
      <c r="H31" s="1287"/>
      <c r="I31" s="1287"/>
      <c r="J31" s="1287"/>
      <c r="K31" s="1287"/>
      <c r="L31" s="1280"/>
      <c r="M31" s="1287"/>
      <c r="N31" s="1287"/>
      <c r="O31" s="1287"/>
      <c r="P31" s="1287"/>
      <c r="Q31" s="1287"/>
      <c r="R31" s="1287"/>
      <c r="S31" s="1287"/>
      <c r="T31" s="1287"/>
      <c r="U31" s="1280">
        <v>53</v>
      </c>
      <c r="V31" s="1287"/>
      <c r="W31" s="1280">
        <v>23</v>
      </c>
      <c r="X31" s="1287"/>
      <c r="Y31" s="1287"/>
      <c r="Z31" s="1287"/>
      <c r="AA31" s="1287"/>
      <c r="AB31" s="1282"/>
      <c r="AC31" s="1287"/>
      <c r="AD31" s="1287">
        <f t="shared" si="0"/>
        <v>29640</v>
      </c>
      <c r="AE31" s="1235"/>
      <c r="AF31" s="1235"/>
      <c r="AG31" s="1235"/>
      <c r="AH31" s="1235"/>
      <c r="AI31" s="1235"/>
      <c r="AJ31" s="1235"/>
      <c r="AK31" s="1234">
        <v>1</v>
      </c>
      <c r="AL31" s="1235"/>
      <c r="AM31" s="1235"/>
      <c r="AN31" s="1235"/>
      <c r="AO31" s="1234">
        <v>2</v>
      </c>
      <c r="AP31" s="1235"/>
      <c r="AQ31" s="1235"/>
      <c r="AR31" s="1235"/>
      <c r="AS31" s="1234">
        <v>1</v>
      </c>
      <c r="AT31" s="1235"/>
      <c r="AU31" s="1235"/>
      <c r="AV31" s="1235"/>
      <c r="AW31" s="1235"/>
      <c r="AX31" s="1235"/>
      <c r="AY31" s="1235"/>
      <c r="AZ31" s="1235"/>
      <c r="BA31" s="1235"/>
      <c r="BB31" s="1235"/>
      <c r="BC31" s="1235"/>
      <c r="BD31" s="1235"/>
      <c r="BE31" s="1235"/>
      <c r="BF31" s="1235"/>
      <c r="BG31" s="1235"/>
      <c r="BH31" s="1234">
        <v>2</v>
      </c>
      <c r="BI31" s="1234">
        <v>2</v>
      </c>
      <c r="BJ31" s="1235"/>
    </row>
    <row r="32" spans="1:62" ht="14.1" customHeight="1">
      <c r="A32" s="1233" t="s">
        <v>1067</v>
      </c>
      <c r="B32" s="1233" t="s">
        <v>1068</v>
      </c>
      <c r="C32" s="1233" t="s">
        <v>1069</v>
      </c>
      <c r="D32" s="1315">
        <v>40940</v>
      </c>
      <c r="E32" s="1330" t="s">
        <v>363</v>
      </c>
      <c r="F32" s="1322" t="s">
        <v>364</v>
      </c>
      <c r="G32" s="1280">
        <v>13508</v>
      </c>
      <c r="H32" s="1287"/>
      <c r="I32" s="1287"/>
      <c r="J32" s="1287"/>
      <c r="K32" s="1287"/>
      <c r="L32" s="1287"/>
      <c r="M32" s="1287"/>
      <c r="N32" s="1287"/>
      <c r="O32" s="1287"/>
      <c r="P32" s="1287"/>
      <c r="Q32" s="1287"/>
      <c r="R32" s="1280"/>
      <c r="S32" s="1287"/>
      <c r="T32" s="1287"/>
      <c r="U32" s="1280">
        <v>18</v>
      </c>
      <c r="V32" s="1287"/>
      <c r="W32" s="1280">
        <v>5</v>
      </c>
      <c r="X32" s="1287"/>
      <c r="Y32" s="1287"/>
      <c r="Z32" s="1287"/>
      <c r="AA32" s="1287"/>
      <c r="AB32" s="1282"/>
      <c r="AC32" s="1287"/>
      <c r="AD32" s="1287">
        <f t="shared" si="0"/>
        <v>13531</v>
      </c>
      <c r="AE32" s="1235"/>
      <c r="AF32" s="1235"/>
      <c r="AG32" s="1235"/>
      <c r="AH32" s="1234">
        <v>2</v>
      </c>
      <c r="AI32" s="1235"/>
      <c r="AJ32" s="1235"/>
      <c r="AK32" s="1235"/>
      <c r="AL32" s="1235"/>
      <c r="AM32" s="1235"/>
      <c r="AN32" s="1235"/>
      <c r="AO32" s="1235"/>
      <c r="AP32" s="1235"/>
      <c r="AQ32" s="1235"/>
      <c r="AR32" s="1234">
        <v>2</v>
      </c>
      <c r="AS32" s="1234">
        <v>4</v>
      </c>
      <c r="AT32" s="1235"/>
      <c r="AU32" s="1235"/>
      <c r="AV32" s="1235"/>
      <c r="AW32" s="1235"/>
      <c r="AX32" s="1235"/>
      <c r="AY32" s="1235"/>
      <c r="AZ32" s="1235"/>
      <c r="BA32" s="1235"/>
      <c r="BB32" s="1235"/>
      <c r="BC32" s="1235"/>
      <c r="BD32" s="1235"/>
      <c r="BE32" s="1235"/>
      <c r="BF32" s="1235"/>
      <c r="BG32" s="1235"/>
      <c r="BH32" s="1235"/>
      <c r="BI32" s="1234">
        <v>9</v>
      </c>
      <c r="BJ32" s="1234">
        <v>3</v>
      </c>
    </row>
    <row r="33" spans="1:62" ht="14.1" customHeight="1">
      <c r="A33" s="1291" t="s">
        <v>1067</v>
      </c>
      <c r="B33" s="1291" t="s">
        <v>1068</v>
      </c>
      <c r="C33" s="1291" t="s">
        <v>1069</v>
      </c>
      <c r="D33" s="1316">
        <v>40940</v>
      </c>
      <c r="E33" s="1331" t="s">
        <v>365</v>
      </c>
      <c r="F33" s="1323" t="s">
        <v>366</v>
      </c>
      <c r="G33" s="1292">
        <v>2431</v>
      </c>
      <c r="H33" s="1293"/>
      <c r="I33" s="1293"/>
      <c r="J33" s="1293"/>
      <c r="K33" s="1293"/>
      <c r="L33" s="1293"/>
      <c r="M33" s="1293"/>
      <c r="N33" s="1292"/>
      <c r="O33" s="1293"/>
      <c r="P33" s="1293"/>
      <c r="Q33" s="1293"/>
      <c r="R33" s="1293"/>
      <c r="S33" s="1293"/>
      <c r="T33" s="1293"/>
      <c r="U33" s="1292">
        <v>1</v>
      </c>
      <c r="V33" s="1293"/>
      <c r="W33" s="1292">
        <v>3</v>
      </c>
      <c r="X33" s="1293"/>
      <c r="Y33" s="1293"/>
      <c r="Z33" s="1293"/>
      <c r="AA33" s="1293"/>
      <c r="AB33" s="1294"/>
      <c r="AC33" s="1293"/>
      <c r="AD33" s="1293">
        <f t="shared" si="0"/>
        <v>2435</v>
      </c>
      <c r="AE33" s="1235"/>
      <c r="AF33" s="1235"/>
      <c r="AG33" s="1235"/>
      <c r="AH33" s="1235"/>
      <c r="AI33" s="1235"/>
      <c r="AJ33" s="1235"/>
      <c r="AK33" s="1235"/>
      <c r="AL33" s="1235"/>
      <c r="AM33" s="1235"/>
      <c r="AN33" s="1235"/>
      <c r="AO33" s="1235"/>
      <c r="AP33" s="1235"/>
      <c r="AQ33" s="1235"/>
      <c r="AR33" s="1235"/>
      <c r="AS33" s="1235"/>
      <c r="AT33" s="1235"/>
      <c r="AU33" s="1235"/>
      <c r="AV33" s="1235"/>
      <c r="AW33" s="1235"/>
      <c r="AX33" s="1234"/>
      <c r="AY33" s="1235"/>
      <c r="AZ33" s="1235"/>
      <c r="BA33" s="1235"/>
      <c r="BB33" s="1235"/>
      <c r="BC33" s="1235"/>
      <c r="BD33" s="1235"/>
      <c r="BE33" s="1235"/>
      <c r="BF33" s="1235"/>
      <c r="BG33" s="1235"/>
      <c r="BH33" s="1234"/>
      <c r="BI33" s="1234"/>
      <c r="BJ33" s="1235"/>
    </row>
    <row r="34" spans="1:62" ht="14.1" customHeight="1">
      <c r="A34" s="1233" t="s">
        <v>1067</v>
      </c>
      <c r="B34" s="1233" t="s">
        <v>1068</v>
      </c>
      <c r="C34" s="1233" t="s">
        <v>1069</v>
      </c>
      <c r="D34" s="1315">
        <v>40940</v>
      </c>
      <c r="E34" s="1330" t="s">
        <v>367</v>
      </c>
      <c r="F34" s="1322" t="s">
        <v>368</v>
      </c>
      <c r="G34" s="1280">
        <v>6451</v>
      </c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0">
        <v>2</v>
      </c>
      <c r="T34" s="1287"/>
      <c r="U34" s="1280">
        <v>2</v>
      </c>
      <c r="V34" s="1287"/>
      <c r="W34" s="1280">
        <v>1</v>
      </c>
      <c r="X34" s="1287"/>
      <c r="Y34" s="1287"/>
      <c r="Z34" s="1287"/>
      <c r="AA34" s="1287"/>
      <c r="AB34" s="1282"/>
      <c r="AC34" s="1287"/>
      <c r="AD34" s="1287">
        <f t="shared" si="0"/>
        <v>6456</v>
      </c>
      <c r="AE34" s="1235"/>
      <c r="AF34" s="1235"/>
      <c r="AG34" s="1235"/>
      <c r="AH34" s="1235"/>
      <c r="AI34" s="1235"/>
      <c r="AJ34" s="1235"/>
      <c r="AK34" s="1235"/>
      <c r="AL34" s="1234">
        <v>1</v>
      </c>
      <c r="AM34" s="1235"/>
      <c r="AN34" s="1235"/>
      <c r="AO34" s="1235"/>
      <c r="AP34" s="1235"/>
      <c r="AQ34" s="1235"/>
      <c r="AR34" s="1235"/>
      <c r="AS34" s="1234">
        <v>1</v>
      </c>
      <c r="AT34" s="1235"/>
      <c r="AU34" s="1235"/>
      <c r="AV34" s="1235"/>
      <c r="AW34" s="1235"/>
      <c r="AX34" s="1235"/>
      <c r="AY34" s="1235"/>
      <c r="AZ34" s="1235"/>
      <c r="BA34" s="1235"/>
      <c r="BB34" s="1235"/>
      <c r="BC34" s="1235"/>
      <c r="BD34" s="1235"/>
      <c r="BE34" s="1235"/>
      <c r="BF34" s="1235"/>
      <c r="BG34" s="1235"/>
      <c r="BH34" s="1235"/>
      <c r="BI34" s="1235"/>
      <c r="BJ34" s="1235"/>
    </row>
    <row r="35" spans="1:62" ht="14.1" customHeight="1">
      <c r="A35" s="1233" t="s">
        <v>1067</v>
      </c>
      <c r="B35" s="1233" t="s">
        <v>1068</v>
      </c>
      <c r="C35" s="1233" t="s">
        <v>1069</v>
      </c>
      <c r="D35" s="1315">
        <v>40940</v>
      </c>
      <c r="E35" s="1330" t="s">
        <v>369</v>
      </c>
      <c r="F35" s="1322" t="s">
        <v>370</v>
      </c>
      <c r="G35" s="1280">
        <v>24352</v>
      </c>
      <c r="H35" s="1287"/>
      <c r="I35" s="1287"/>
      <c r="J35" s="1287"/>
      <c r="K35" s="1287"/>
      <c r="L35" s="1287"/>
      <c r="M35" s="1287"/>
      <c r="N35" s="1287"/>
      <c r="O35" s="1287"/>
      <c r="P35" s="1287"/>
      <c r="Q35" s="1287"/>
      <c r="R35" s="1287"/>
      <c r="S35" s="1287"/>
      <c r="T35" s="1280">
        <v>1</v>
      </c>
      <c r="U35" s="1280">
        <v>35</v>
      </c>
      <c r="V35" s="1287"/>
      <c r="W35" s="1280">
        <v>36</v>
      </c>
      <c r="X35" s="1287"/>
      <c r="Y35" s="1287"/>
      <c r="Z35" s="1287"/>
      <c r="AA35" s="1287"/>
      <c r="AB35" s="1282"/>
      <c r="AC35" s="1287"/>
      <c r="AD35" s="1287">
        <f t="shared" si="0"/>
        <v>24424</v>
      </c>
      <c r="AE35" s="1235"/>
      <c r="AF35" s="1235"/>
      <c r="AG35" s="1235"/>
      <c r="AH35" s="1234">
        <v>3</v>
      </c>
      <c r="AI35" s="1234">
        <v>1</v>
      </c>
      <c r="AJ35" s="1235"/>
      <c r="AK35" s="1234">
        <v>1</v>
      </c>
      <c r="AL35" s="1234">
        <v>2</v>
      </c>
      <c r="AM35" s="1235"/>
      <c r="AN35" s="1235"/>
      <c r="AO35" s="1235"/>
      <c r="AP35" s="1235"/>
      <c r="AQ35" s="1235"/>
      <c r="AR35" s="1235"/>
      <c r="AS35" s="1234">
        <v>1</v>
      </c>
      <c r="AT35" s="1235"/>
      <c r="AU35" s="1235"/>
      <c r="AV35" s="1235"/>
      <c r="AW35" s="1235"/>
      <c r="AX35" s="1235"/>
      <c r="AY35" s="1235"/>
      <c r="AZ35" s="1235"/>
      <c r="BA35" s="1235"/>
      <c r="BB35" s="1235"/>
      <c r="BC35" s="1235"/>
      <c r="BD35" s="1235"/>
      <c r="BE35" s="1235"/>
      <c r="BF35" s="1235"/>
      <c r="BG35" s="1235"/>
      <c r="BH35" s="1234">
        <v>1</v>
      </c>
      <c r="BI35" s="1235"/>
      <c r="BJ35" s="1234">
        <v>1</v>
      </c>
    </row>
    <row r="36" spans="1:62" ht="14.1" customHeight="1">
      <c r="A36" s="1233" t="s">
        <v>1067</v>
      </c>
      <c r="B36" s="1233" t="s">
        <v>1068</v>
      </c>
      <c r="C36" s="1233" t="s">
        <v>1069</v>
      </c>
      <c r="D36" s="1315">
        <v>40940</v>
      </c>
      <c r="E36" s="1330" t="s">
        <v>371</v>
      </c>
      <c r="F36" s="1322" t="s">
        <v>372</v>
      </c>
      <c r="G36" s="1280">
        <v>1861</v>
      </c>
      <c r="H36" s="1287"/>
      <c r="I36" s="1287"/>
      <c r="J36" s="1287"/>
      <c r="K36" s="1287"/>
      <c r="L36" s="1287"/>
      <c r="M36" s="1287"/>
      <c r="N36" s="1287"/>
      <c r="O36" s="1280"/>
      <c r="P36" s="1287"/>
      <c r="Q36" s="1287"/>
      <c r="R36" s="1287"/>
      <c r="S36" s="1287"/>
      <c r="T36" s="1287"/>
      <c r="U36" s="1280">
        <v>3</v>
      </c>
      <c r="V36" s="1287"/>
      <c r="W36" s="1280">
        <v>2</v>
      </c>
      <c r="X36" s="1287"/>
      <c r="Y36" s="1287"/>
      <c r="Z36" s="1287"/>
      <c r="AA36" s="1287"/>
      <c r="AB36" s="1282"/>
      <c r="AC36" s="1287"/>
      <c r="AD36" s="1287">
        <f t="shared" si="0"/>
        <v>1866</v>
      </c>
      <c r="AE36" s="1235"/>
      <c r="AF36" s="1235"/>
      <c r="AG36" s="1235"/>
      <c r="AH36" s="1235"/>
      <c r="AI36" s="1235"/>
      <c r="AJ36" s="1235"/>
      <c r="AK36" s="1235"/>
      <c r="AL36" s="1235"/>
      <c r="AM36" s="1235"/>
      <c r="AN36" s="1235"/>
      <c r="AO36" s="1235"/>
      <c r="AP36" s="1235"/>
      <c r="AQ36" s="1235"/>
      <c r="AR36" s="1235"/>
      <c r="AS36" s="1234">
        <v>5</v>
      </c>
      <c r="AT36" s="1235"/>
      <c r="AU36" s="1235"/>
      <c r="AV36" s="1235"/>
      <c r="AW36" s="1235"/>
      <c r="AX36" s="1235"/>
      <c r="AY36" s="1235"/>
      <c r="AZ36" s="1235"/>
      <c r="BA36" s="1235"/>
      <c r="BB36" s="1235"/>
      <c r="BC36" s="1235"/>
      <c r="BD36" s="1235"/>
      <c r="BE36" s="1235"/>
      <c r="BF36" s="1235"/>
      <c r="BG36" s="1235"/>
      <c r="BH36" s="1235"/>
      <c r="BI36" s="1235"/>
      <c r="BJ36" s="1234">
        <v>2</v>
      </c>
    </row>
    <row r="37" spans="1:62" ht="14.1" customHeight="1">
      <c r="A37" s="1233" t="s">
        <v>1067</v>
      </c>
      <c r="B37" s="1233" t="s">
        <v>1068</v>
      </c>
      <c r="C37" s="1233" t="s">
        <v>1069</v>
      </c>
      <c r="D37" s="1315">
        <v>40940</v>
      </c>
      <c r="E37" s="1330" t="s">
        <v>373</v>
      </c>
      <c r="F37" s="1322" t="s">
        <v>374</v>
      </c>
      <c r="G37" s="1280">
        <v>4312</v>
      </c>
      <c r="H37" s="1287"/>
      <c r="I37" s="1287"/>
      <c r="J37" s="1287"/>
      <c r="K37" s="1280"/>
      <c r="L37" s="1287"/>
      <c r="M37" s="1287"/>
      <c r="N37" s="1287"/>
      <c r="O37" s="1287"/>
      <c r="P37" s="1287"/>
      <c r="Q37" s="1287"/>
      <c r="R37" s="1287"/>
      <c r="S37" s="1287"/>
      <c r="T37" s="1287"/>
      <c r="U37" s="1280">
        <v>12</v>
      </c>
      <c r="V37" s="1287"/>
      <c r="W37" s="1280">
        <v>2</v>
      </c>
      <c r="X37" s="1287"/>
      <c r="Y37" s="1287"/>
      <c r="Z37" s="1287"/>
      <c r="AA37" s="1287"/>
      <c r="AB37" s="1282"/>
      <c r="AC37" s="1287"/>
      <c r="AD37" s="1287">
        <f t="shared" si="0"/>
        <v>4326</v>
      </c>
      <c r="AE37" s="1235"/>
      <c r="AF37" s="1235"/>
      <c r="AG37" s="1235"/>
      <c r="AH37" s="1235"/>
      <c r="AI37" s="1235"/>
      <c r="AJ37" s="1235"/>
      <c r="AK37" s="1235"/>
      <c r="AL37" s="1235"/>
      <c r="AM37" s="1235"/>
      <c r="AN37" s="1235"/>
      <c r="AO37" s="1235"/>
      <c r="AP37" s="1235"/>
      <c r="AQ37" s="1235"/>
      <c r="AR37" s="1235"/>
      <c r="AS37" s="1234">
        <v>1</v>
      </c>
      <c r="AT37" s="1235"/>
      <c r="AU37" s="1235"/>
      <c r="AV37" s="1235"/>
      <c r="AW37" s="1235"/>
      <c r="AX37" s="1235"/>
      <c r="AY37" s="1235"/>
      <c r="AZ37" s="1235"/>
      <c r="BA37" s="1235"/>
      <c r="BB37" s="1235"/>
      <c r="BC37" s="1235"/>
      <c r="BD37" s="1235"/>
      <c r="BE37" s="1235"/>
      <c r="BF37" s="1235"/>
      <c r="BG37" s="1235"/>
      <c r="BH37" s="1235"/>
      <c r="BI37" s="1235"/>
      <c r="BJ37" s="1234">
        <v>2</v>
      </c>
    </row>
    <row r="38" spans="1:62" ht="14.1" customHeight="1">
      <c r="A38" s="1291" t="s">
        <v>1067</v>
      </c>
      <c r="B38" s="1291" t="s">
        <v>1068</v>
      </c>
      <c r="C38" s="1291" t="s">
        <v>1069</v>
      </c>
      <c r="D38" s="1316">
        <v>40940</v>
      </c>
      <c r="E38" s="1331" t="s">
        <v>375</v>
      </c>
      <c r="F38" s="1323" t="s">
        <v>376</v>
      </c>
      <c r="G38" s="1292">
        <v>6437</v>
      </c>
      <c r="H38" s="1293"/>
      <c r="I38" s="1293"/>
      <c r="J38" s="1293"/>
      <c r="K38" s="1293"/>
      <c r="L38" s="1293"/>
      <c r="M38" s="1293"/>
      <c r="N38" s="1292"/>
      <c r="O38" s="1293"/>
      <c r="P38" s="1293"/>
      <c r="Q38" s="1293"/>
      <c r="R38" s="1293"/>
      <c r="S38" s="1293"/>
      <c r="T38" s="1293"/>
      <c r="U38" s="1292">
        <v>11</v>
      </c>
      <c r="V38" s="1293"/>
      <c r="W38" s="1292">
        <v>10</v>
      </c>
      <c r="X38" s="1293"/>
      <c r="Y38" s="1293"/>
      <c r="Z38" s="1293"/>
      <c r="AA38" s="1293"/>
      <c r="AB38" s="1294"/>
      <c r="AC38" s="1293"/>
      <c r="AD38" s="1293">
        <f t="shared" si="0"/>
        <v>6458</v>
      </c>
      <c r="AE38" s="1235"/>
      <c r="AF38" s="1235"/>
      <c r="AG38" s="1235"/>
      <c r="AH38" s="1235"/>
      <c r="AI38" s="1235"/>
      <c r="AJ38" s="1235"/>
      <c r="AK38" s="1235"/>
      <c r="AL38" s="1235"/>
      <c r="AM38" s="1235"/>
      <c r="AN38" s="1235"/>
      <c r="AO38" s="1235"/>
      <c r="AP38" s="1235"/>
      <c r="AQ38" s="1235"/>
      <c r="AR38" s="1235"/>
      <c r="AS38" s="1235">
        <v>2</v>
      </c>
      <c r="AT38" s="1235"/>
      <c r="AU38" s="1235"/>
      <c r="AV38" s="1235"/>
      <c r="AW38" s="1235"/>
      <c r="AX38" s="1234"/>
      <c r="AY38" s="1235"/>
      <c r="AZ38" s="1235"/>
      <c r="BA38" s="1235"/>
      <c r="BB38" s="1235"/>
      <c r="BC38" s="1235">
        <v>295</v>
      </c>
      <c r="BD38" s="1235"/>
      <c r="BE38" s="1235"/>
      <c r="BF38" s="1235"/>
      <c r="BG38" s="1235"/>
      <c r="BH38" s="1234"/>
      <c r="BI38" s="1234"/>
      <c r="BJ38" s="1235"/>
    </row>
    <row r="39" spans="1:62" ht="14.1" customHeight="1">
      <c r="A39" s="1233" t="s">
        <v>1067</v>
      </c>
      <c r="B39" s="1233" t="s">
        <v>1068</v>
      </c>
      <c r="C39" s="1233" t="s">
        <v>1069</v>
      </c>
      <c r="D39" s="1315">
        <v>40940</v>
      </c>
      <c r="E39" s="1330" t="s">
        <v>377</v>
      </c>
      <c r="F39" s="1322" t="s">
        <v>378</v>
      </c>
      <c r="G39" s="1280">
        <v>10644</v>
      </c>
      <c r="H39" s="1287"/>
      <c r="I39" s="1280">
        <v>22270</v>
      </c>
      <c r="J39" s="1280">
        <v>6114</v>
      </c>
      <c r="K39" s="1287"/>
      <c r="L39" s="1287"/>
      <c r="M39" s="1280"/>
      <c r="N39" s="1287"/>
      <c r="O39" s="1287"/>
      <c r="P39" s="1280"/>
      <c r="Q39" s="1280"/>
      <c r="R39" s="1287"/>
      <c r="S39" s="1287"/>
      <c r="T39" s="1287"/>
      <c r="U39" s="1280">
        <v>76</v>
      </c>
      <c r="V39" s="1280">
        <v>275</v>
      </c>
      <c r="W39" s="1280">
        <v>14</v>
      </c>
      <c r="X39" s="1287"/>
      <c r="Y39" s="1280">
        <v>43</v>
      </c>
      <c r="Z39" s="1280">
        <v>52</v>
      </c>
      <c r="AA39" s="1280"/>
      <c r="AB39" s="1280"/>
      <c r="AC39" s="1280">
        <v>2250</v>
      </c>
      <c r="AD39" s="1280">
        <f t="shared" si="0"/>
        <v>41738</v>
      </c>
      <c r="AE39" s="1235"/>
      <c r="AF39" s="1235"/>
      <c r="AG39" s="1237">
        <v>2</v>
      </c>
      <c r="AH39" s="1235"/>
      <c r="AI39" s="1235"/>
      <c r="AJ39" s="1235"/>
      <c r="AK39" s="1234">
        <v>1</v>
      </c>
      <c r="AL39" s="1234">
        <v>3</v>
      </c>
      <c r="AM39" s="1234">
        <v>1</v>
      </c>
      <c r="AN39" s="1235"/>
      <c r="AO39" s="1234">
        <v>2</v>
      </c>
      <c r="AP39" s="1235"/>
      <c r="AQ39" s="1235"/>
      <c r="AR39" s="1234">
        <v>6</v>
      </c>
      <c r="AS39" s="1234">
        <v>3</v>
      </c>
      <c r="AT39" s="1234">
        <v>1</v>
      </c>
      <c r="AU39" s="1235"/>
      <c r="AV39" s="1235"/>
      <c r="AW39" s="1235"/>
      <c r="AX39" s="1235"/>
      <c r="AY39" s="1235"/>
      <c r="AZ39" s="1235"/>
      <c r="BA39" s="1234">
        <v>1</v>
      </c>
      <c r="BB39" s="1235"/>
      <c r="BC39" s="1235"/>
      <c r="BD39" s="1235"/>
      <c r="BE39" s="1235"/>
      <c r="BF39" s="1235"/>
      <c r="BG39" s="1234">
        <v>51</v>
      </c>
      <c r="BH39" s="1234">
        <v>7</v>
      </c>
      <c r="BI39" s="1234">
        <v>15</v>
      </c>
      <c r="BJ39" s="1234">
        <v>2</v>
      </c>
    </row>
    <row r="40" spans="1:62" ht="14.1" customHeight="1">
      <c r="A40" s="1233" t="s">
        <v>1067</v>
      </c>
      <c r="B40" s="1233" t="s">
        <v>1068</v>
      </c>
      <c r="C40" s="1233" t="s">
        <v>1069</v>
      </c>
      <c r="D40" s="1315">
        <v>40940</v>
      </c>
      <c r="E40" s="1330" t="s">
        <v>379</v>
      </c>
      <c r="F40" s="1322" t="s">
        <v>380</v>
      </c>
      <c r="G40" s="1280">
        <v>19222</v>
      </c>
      <c r="H40" s="1287"/>
      <c r="I40" s="1287"/>
      <c r="J40" s="1287"/>
      <c r="K40" s="1280"/>
      <c r="L40" s="1287"/>
      <c r="M40" s="1287"/>
      <c r="N40" s="1287"/>
      <c r="O40" s="1287"/>
      <c r="P40" s="1287"/>
      <c r="Q40" s="1287"/>
      <c r="R40" s="1287"/>
      <c r="S40" s="1280">
        <v>6</v>
      </c>
      <c r="T40" s="1287"/>
      <c r="U40" s="1280">
        <v>23</v>
      </c>
      <c r="V40" s="1287"/>
      <c r="W40" s="1280">
        <v>10</v>
      </c>
      <c r="X40" s="1287"/>
      <c r="Y40" s="1287"/>
      <c r="Z40" s="1287"/>
      <c r="AA40" s="1287"/>
      <c r="AB40" s="1282"/>
      <c r="AC40" s="1287"/>
      <c r="AD40" s="1287">
        <f t="shared" si="0"/>
        <v>19261</v>
      </c>
      <c r="AE40" s="1235"/>
      <c r="AF40" s="1235"/>
      <c r="AG40" s="1237">
        <v>1</v>
      </c>
      <c r="AH40" s="1235"/>
      <c r="AI40" s="1235"/>
      <c r="AJ40" s="1235"/>
      <c r="AK40" s="1235"/>
      <c r="AL40" s="1234">
        <v>1</v>
      </c>
      <c r="AM40" s="1235"/>
      <c r="AN40" s="1235"/>
      <c r="AO40" s="1235"/>
      <c r="AP40" s="1235"/>
      <c r="AQ40" s="1235"/>
      <c r="AR40" s="1235"/>
      <c r="AS40" s="1235"/>
      <c r="AT40" s="1235"/>
      <c r="AU40" s="1235"/>
      <c r="AV40" s="1235"/>
      <c r="AW40" s="1235"/>
      <c r="AX40" s="1235"/>
      <c r="AY40" s="1235"/>
      <c r="AZ40" s="1235"/>
      <c r="BA40" s="1235"/>
      <c r="BB40" s="1235"/>
      <c r="BC40" s="1235"/>
      <c r="BD40" s="1235"/>
      <c r="BE40" s="1235"/>
      <c r="BF40" s="1235"/>
      <c r="BG40" s="1235"/>
      <c r="BH40" s="1235"/>
      <c r="BI40" s="1235"/>
      <c r="BJ40" s="1234">
        <v>3</v>
      </c>
    </row>
    <row r="41" spans="1:62" ht="14.1" customHeight="1">
      <c r="A41" s="1233" t="s">
        <v>1067</v>
      </c>
      <c r="B41" s="1233" t="s">
        <v>1068</v>
      </c>
      <c r="C41" s="1233" t="s">
        <v>1069</v>
      </c>
      <c r="D41" s="1315">
        <v>40940</v>
      </c>
      <c r="E41" s="1330" t="s">
        <v>381</v>
      </c>
      <c r="F41" s="1322" t="s">
        <v>382</v>
      </c>
      <c r="G41" s="1280">
        <v>3750</v>
      </c>
      <c r="H41" s="1287"/>
      <c r="I41" s="1287"/>
      <c r="J41" s="1287"/>
      <c r="K41" s="1287"/>
      <c r="L41" s="1287"/>
      <c r="M41" s="1280"/>
      <c r="N41" s="1287"/>
      <c r="O41" s="1287"/>
      <c r="P41" s="1280"/>
      <c r="Q41" s="1287"/>
      <c r="R41" s="1287"/>
      <c r="S41" s="1287"/>
      <c r="T41" s="1287"/>
      <c r="U41" s="1280">
        <v>4</v>
      </c>
      <c r="V41" s="1287"/>
      <c r="W41" s="1287"/>
      <c r="X41" s="1287"/>
      <c r="Y41" s="1287"/>
      <c r="Z41" s="1280">
        <v>5</v>
      </c>
      <c r="AA41" s="1280"/>
      <c r="AB41" s="1282"/>
      <c r="AC41" s="1280"/>
      <c r="AD41" s="1280">
        <f t="shared" si="0"/>
        <v>3759</v>
      </c>
      <c r="AE41" s="1235"/>
      <c r="AF41" s="1235"/>
      <c r="AG41" s="1235"/>
      <c r="AH41" s="1235"/>
      <c r="AI41" s="1235"/>
      <c r="AJ41" s="1235"/>
      <c r="AK41" s="1235"/>
      <c r="AL41" s="1235"/>
      <c r="AM41" s="1235"/>
      <c r="AN41" s="1235"/>
      <c r="AO41" s="1235"/>
      <c r="AP41" s="1235"/>
      <c r="AQ41" s="1235"/>
      <c r="AR41" s="1235"/>
      <c r="AS41" s="1235"/>
      <c r="AT41" s="1235"/>
      <c r="AU41" s="1235"/>
      <c r="AV41" s="1235"/>
      <c r="AW41" s="1235"/>
      <c r="AX41" s="1235"/>
      <c r="AY41" s="1235"/>
      <c r="AZ41" s="1235"/>
      <c r="BA41" s="1235"/>
      <c r="BB41" s="1235"/>
      <c r="BC41" s="1235"/>
      <c r="BD41" s="1235"/>
      <c r="BE41" s="1235"/>
      <c r="BF41" s="1235"/>
      <c r="BG41" s="1235"/>
      <c r="BH41" s="1235"/>
      <c r="BI41" s="1235"/>
      <c r="BJ41" s="1235"/>
    </row>
    <row r="42" spans="1:62" ht="14.1" customHeight="1">
      <c r="A42" s="1233" t="s">
        <v>1067</v>
      </c>
      <c r="B42" s="1233" t="s">
        <v>1068</v>
      </c>
      <c r="C42" s="1233" t="s">
        <v>1069</v>
      </c>
      <c r="D42" s="1315">
        <v>40940</v>
      </c>
      <c r="E42" s="1330" t="s">
        <v>383</v>
      </c>
      <c r="F42" s="1322" t="s">
        <v>384</v>
      </c>
      <c r="G42" s="1280">
        <v>2582</v>
      </c>
      <c r="H42" s="1280">
        <v>277</v>
      </c>
      <c r="I42" s="1287"/>
      <c r="J42" s="1287"/>
      <c r="K42" s="1287"/>
      <c r="L42" s="1287"/>
      <c r="M42" s="1287"/>
      <c r="N42" s="1280"/>
      <c r="O42" s="1287"/>
      <c r="P42" s="1287"/>
      <c r="Q42" s="1287"/>
      <c r="R42" s="1287"/>
      <c r="S42" s="1287"/>
      <c r="T42" s="1287"/>
      <c r="U42" s="1280">
        <v>7</v>
      </c>
      <c r="V42" s="1287"/>
      <c r="W42" s="1280">
        <v>6</v>
      </c>
      <c r="X42" s="1287"/>
      <c r="Y42" s="1287"/>
      <c r="Z42" s="1287"/>
      <c r="AA42" s="1287"/>
      <c r="AB42" s="1282"/>
      <c r="AC42" s="1287"/>
      <c r="AD42" s="1287">
        <f t="shared" si="0"/>
        <v>2872</v>
      </c>
      <c r="AE42" s="1235"/>
      <c r="AF42" s="1235"/>
      <c r="AG42" s="1235"/>
      <c r="AH42" s="1235"/>
      <c r="AI42" s="1235"/>
      <c r="AJ42" s="1235"/>
      <c r="AK42" s="1235"/>
      <c r="AL42" s="1235"/>
      <c r="AM42" s="1235"/>
      <c r="AN42" s="1235"/>
      <c r="AO42" s="1234">
        <v>1</v>
      </c>
      <c r="AP42" s="1235"/>
      <c r="AQ42" s="1235"/>
      <c r="AR42" s="1235"/>
      <c r="AS42" s="1235"/>
      <c r="AT42" s="1235"/>
      <c r="AU42" s="1235"/>
      <c r="AV42" s="1235"/>
      <c r="AW42" s="1235"/>
      <c r="AX42" s="1235"/>
      <c r="AY42" s="1235"/>
      <c r="AZ42" s="1235"/>
      <c r="BA42" s="1235"/>
      <c r="BB42" s="1235"/>
      <c r="BC42" s="1235"/>
      <c r="BD42" s="1235"/>
      <c r="BE42" s="1235"/>
      <c r="BF42" s="1235"/>
      <c r="BG42" s="1235"/>
      <c r="BH42" s="1234">
        <v>1</v>
      </c>
      <c r="BI42" s="1235"/>
      <c r="BJ42" s="1234">
        <v>1</v>
      </c>
    </row>
    <row r="43" spans="1:62" ht="14.1" customHeight="1">
      <c r="A43" s="1291" t="s">
        <v>1067</v>
      </c>
      <c r="B43" s="1291" t="s">
        <v>1068</v>
      </c>
      <c r="C43" s="1291" t="s">
        <v>1069</v>
      </c>
      <c r="D43" s="1316">
        <v>40940</v>
      </c>
      <c r="E43" s="1331" t="s">
        <v>385</v>
      </c>
      <c r="F43" s="1323" t="s">
        <v>386</v>
      </c>
      <c r="G43" s="1292">
        <v>22934</v>
      </c>
      <c r="H43" s="1293"/>
      <c r="I43" s="1293"/>
      <c r="J43" s="1293"/>
      <c r="K43" s="1293"/>
      <c r="L43" s="1293"/>
      <c r="M43" s="1293"/>
      <c r="N43" s="1292"/>
      <c r="O43" s="1293"/>
      <c r="P43" s="1293"/>
      <c r="Q43" s="1293"/>
      <c r="R43" s="1293"/>
      <c r="S43" s="1293"/>
      <c r="T43" s="1293"/>
      <c r="U43" s="1292">
        <v>31</v>
      </c>
      <c r="V43" s="1293"/>
      <c r="W43" s="1292">
        <v>24</v>
      </c>
      <c r="X43" s="1293"/>
      <c r="Y43" s="1293"/>
      <c r="Z43" s="1293"/>
      <c r="AA43" s="1293"/>
      <c r="AB43" s="1294"/>
      <c r="AC43" s="1293"/>
      <c r="AD43" s="1293">
        <f t="shared" si="0"/>
        <v>22989</v>
      </c>
      <c r="AE43" s="1235"/>
      <c r="AF43" s="1235"/>
      <c r="AG43" s="1235"/>
      <c r="AH43" s="1235"/>
      <c r="AI43" s="1235"/>
      <c r="AJ43" s="1235"/>
      <c r="AK43" s="1235">
        <v>36</v>
      </c>
      <c r="AL43" s="1235">
        <v>1</v>
      </c>
      <c r="AM43" s="1235"/>
      <c r="AN43" s="1235"/>
      <c r="AO43" s="1235"/>
      <c r="AP43" s="1235"/>
      <c r="AQ43" s="1235"/>
      <c r="AR43" s="1235"/>
      <c r="AS43" s="1235">
        <v>1</v>
      </c>
      <c r="AT43" s="1235"/>
      <c r="AU43" s="1235"/>
      <c r="AV43" s="1235"/>
      <c r="AW43" s="1235"/>
      <c r="AX43" s="1234"/>
      <c r="AY43" s="1235">
        <v>5</v>
      </c>
      <c r="AZ43" s="1235">
        <v>35</v>
      </c>
      <c r="BA43" s="1235"/>
      <c r="BB43" s="1235"/>
      <c r="BC43" s="1235"/>
      <c r="BD43" s="1235"/>
      <c r="BE43" s="1235"/>
      <c r="BF43" s="1235">
        <v>36</v>
      </c>
      <c r="BG43" s="1235"/>
      <c r="BH43" s="1234"/>
      <c r="BI43" s="1234"/>
      <c r="BJ43" s="1235">
        <v>2</v>
      </c>
    </row>
    <row r="44" spans="1:62" ht="14.1" customHeight="1">
      <c r="A44" s="1233" t="s">
        <v>1067</v>
      </c>
      <c r="B44" s="1233" t="s">
        <v>1068</v>
      </c>
      <c r="C44" s="1233" t="s">
        <v>1069</v>
      </c>
      <c r="D44" s="1315">
        <v>40940</v>
      </c>
      <c r="E44" s="1330" t="s">
        <v>387</v>
      </c>
      <c r="F44" s="1322" t="s">
        <v>388</v>
      </c>
      <c r="G44" s="1280">
        <v>1401</v>
      </c>
      <c r="H44" s="1287"/>
      <c r="I44" s="1287"/>
      <c r="J44" s="1287"/>
      <c r="K44" s="1287"/>
      <c r="L44" s="1287"/>
      <c r="M44" s="1287"/>
      <c r="N44" s="1287"/>
      <c r="O44" s="1287"/>
      <c r="P44" s="1287"/>
      <c r="Q44" s="1287"/>
      <c r="R44" s="1287"/>
      <c r="S44" s="1287"/>
      <c r="T44" s="1287"/>
      <c r="U44" s="1280">
        <v>2</v>
      </c>
      <c r="V44" s="1287"/>
      <c r="W44" s="1280">
        <v>1</v>
      </c>
      <c r="X44" s="1287"/>
      <c r="Y44" s="1287"/>
      <c r="Z44" s="1287"/>
      <c r="AA44" s="1287"/>
      <c r="AB44" s="1282"/>
      <c r="AC44" s="1287"/>
      <c r="AD44" s="1287">
        <f t="shared" si="0"/>
        <v>1404</v>
      </c>
      <c r="AE44" s="1235"/>
      <c r="AF44" s="1235"/>
      <c r="AG44" s="1235"/>
      <c r="AH44" s="1235"/>
      <c r="AI44" s="1235"/>
      <c r="AJ44" s="1234">
        <v>1</v>
      </c>
      <c r="AK44" s="1235"/>
      <c r="AL44" s="1235"/>
      <c r="AM44" s="1235"/>
      <c r="AN44" s="1235"/>
      <c r="AO44" s="1235"/>
      <c r="AP44" s="1235"/>
      <c r="AQ44" s="1235"/>
      <c r="AR44" s="1235"/>
      <c r="AS44" s="1235"/>
      <c r="AT44" s="1235"/>
      <c r="AU44" s="1235"/>
      <c r="AV44" s="1235"/>
      <c r="AW44" s="1235"/>
      <c r="AX44" s="1235"/>
      <c r="AY44" s="1235"/>
      <c r="AZ44" s="1235"/>
      <c r="BA44" s="1235"/>
      <c r="BB44" s="1235"/>
      <c r="BC44" s="1235"/>
      <c r="BD44" s="1235"/>
      <c r="BE44" s="1235"/>
      <c r="BF44" s="1235"/>
      <c r="BG44" s="1235"/>
      <c r="BH44" s="1235"/>
      <c r="BI44" s="1235"/>
      <c r="BJ44" s="1235"/>
    </row>
    <row r="45" spans="1:62" ht="14.1" customHeight="1">
      <c r="A45" s="1233" t="s">
        <v>1067</v>
      </c>
      <c r="B45" s="1233" t="s">
        <v>1068</v>
      </c>
      <c r="C45" s="1233" t="s">
        <v>1069</v>
      </c>
      <c r="D45" s="1315">
        <v>40940</v>
      </c>
      <c r="E45" s="1330" t="s">
        <v>389</v>
      </c>
      <c r="F45" s="1322" t="s">
        <v>390</v>
      </c>
      <c r="G45" s="1280">
        <v>3424</v>
      </c>
      <c r="H45" s="1287"/>
      <c r="I45" s="1287"/>
      <c r="J45" s="1287"/>
      <c r="K45" s="1280"/>
      <c r="L45" s="1287"/>
      <c r="M45" s="1287"/>
      <c r="N45" s="1287"/>
      <c r="O45" s="1280"/>
      <c r="P45" s="1287"/>
      <c r="Q45" s="1287"/>
      <c r="R45" s="1287"/>
      <c r="S45" s="1287"/>
      <c r="T45" s="1287"/>
      <c r="U45" s="1280">
        <v>11</v>
      </c>
      <c r="V45" s="1287"/>
      <c r="W45" s="1287"/>
      <c r="X45" s="1287"/>
      <c r="Y45" s="1287"/>
      <c r="Z45" s="1287"/>
      <c r="AA45" s="1287"/>
      <c r="AB45" s="1282"/>
      <c r="AC45" s="1287"/>
      <c r="AD45" s="1287">
        <f t="shared" si="0"/>
        <v>3435</v>
      </c>
      <c r="AE45" s="1235"/>
      <c r="AF45" s="1235"/>
      <c r="AG45" s="1235"/>
      <c r="AH45" s="1235"/>
      <c r="AI45" s="1235"/>
      <c r="AJ45" s="1235"/>
      <c r="AK45" s="1235"/>
      <c r="AL45" s="1235"/>
      <c r="AM45" s="1235"/>
      <c r="AN45" s="1235"/>
      <c r="AO45" s="1235"/>
      <c r="AP45" s="1235"/>
      <c r="AQ45" s="1235"/>
      <c r="AR45" s="1235"/>
      <c r="AS45" s="1235"/>
      <c r="AT45" s="1235"/>
      <c r="AU45" s="1235"/>
      <c r="AV45" s="1235"/>
      <c r="AW45" s="1235"/>
      <c r="AX45" s="1235"/>
      <c r="AY45" s="1235"/>
      <c r="AZ45" s="1235"/>
      <c r="BA45" s="1235"/>
      <c r="BB45" s="1235"/>
      <c r="BC45" s="1235"/>
      <c r="BD45" s="1235"/>
      <c r="BE45" s="1235"/>
      <c r="BF45" s="1235"/>
      <c r="BG45" s="1235"/>
      <c r="BH45" s="1235"/>
      <c r="BI45" s="1235"/>
      <c r="BJ45" s="1234">
        <v>4</v>
      </c>
    </row>
    <row r="46" spans="1:62" ht="14.1" customHeight="1">
      <c r="A46" s="1233" t="s">
        <v>1067</v>
      </c>
      <c r="B46" s="1233" t="s">
        <v>1068</v>
      </c>
      <c r="C46" s="1233" t="s">
        <v>1069</v>
      </c>
      <c r="D46" s="1315">
        <v>40940</v>
      </c>
      <c r="E46" s="1330" t="s">
        <v>391</v>
      </c>
      <c r="F46" s="1322" t="s">
        <v>392</v>
      </c>
      <c r="G46" s="1280">
        <v>3965</v>
      </c>
      <c r="H46" s="1287"/>
      <c r="I46" s="1287"/>
      <c r="J46" s="1287"/>
      <c r="K46" s="1287"/>
      <c r="L46" s="1287"/>
      <c r="M46" s="1287"/>
      <c r="N46" s="1287"/>
      <c r="O46" s="1287"/>
      <c r="P46" s="1287"/>
      <c r="Q46" s="1287"/>
      <c r="R46" s="1287"/>
      <c r="S46" s="1287"/>
      <c r="T46" s="1287"/>
      <c r="U46" s="1280">
        <v>15</v>
      </c>
      <c r="V46" s="1287"/>
      <c r="W46" s="1280">
        <v>6</v>
      </c>
      <c r="X46" s="1287"/>
      <c r="Y46" s="1287"/>
      <c r="Z46" s="1287"/>
      <c r="AA46" s="1287"/>
      <c r="AB46" s="1282"/>
      <c r="AC46" s="1287"/>
      <c r="AD46" s="1287">
        <f t="shared" si="0"/>
        <v>3986</v>
      </c>
      <c r="AE46" s="1235"/>
      <c r="AF46" s="1235"/>
      <c r="AG46" s="1235"/>
      <c r="AH46" s="1235"/>
      <c r="AI46" s="1235"/>
      <c r="AJ46" s="1235"/>
      <c r="AK46" s="1235"/>
      <c r="AL46" s="1235"/>
      <c r="AM46" s="1235"/>
      <c r="AN46" s="1235"/>
      <c r="AO46" s="1235"/>
      <c r="AP46" s="1235"/>
      <c r="AQ46" s="1235"/>
      <c r="AR46" s="1235"/>
      <c r="AS46" s="1235"/>
      <c r="AT46" s="1235"/>
      <c r="AU46" s="1235"/>
      <c r="AV46" s="1235"/>
      <c r="AW46" s="1235"/>
      <c r="AX46" s="1235"/>
      <c r="AY46" s="1235"/>
      <c r="AZ46" s="1235"/>
      <c r="BA46" s="1235"/>
      <c r="BB46" s="1235"/>
      <c r="BC46" s="1235"/>
      <c r="BD46" s="1235"/>
      <c r="BE46" s="1235"/>
      <c r="BF46" s="1235"/>
      <c r="BG46" s="1235"/>
      <c r="BH46" s="1235"/>
      <c r="BI46" s="1235"/>
      <c r="BJ46" s="1235"/>
    </row>
    <row r="47" spans="1:62" ht="14.1" customHeight="1">
      <c r="A47" s="1233" t="s">
        <v>1067</v>
      </c>
      <c r="B47" s="1233" t="s">
        <v>1068</v>
      </c>
      <c r="C47" s="1233" t="s">
        <v>1069</v>
      </c>
      <c r="D47" s="1315">
        <v>40940</v>
      </c>
      <c r="E47" s="1330" t="s">
        <v>393</v>
      </c>
      <c r="F47" s="1322" t="s">
        <v>394</v>
      </c>
      <c r="G47" s="1280">
        <v>5846</v>
      </c>
      <c r="H47" s="1287"/>
      <c r="I47" s="1287"/>
      <c r="J47" s="1287"/>
      <c r="K47" s="1287"/>
      <c r="L47" s="1287"/>
      <c r="M47" s="1280"/>
      <c r="N47" s="1287"/>
      <c r="O47" s="1287"/>
      <c r="P47" s="1287"/>
      <c r="Q47" s="1280"/>
      <c r="R47" s="1287"/>
      <c r="S47" s="1287"/>
      <c r="T47" s="1287"/>
      <c r="U47" s="1280">
        <v>5</v>
      </c>
      <c r="V47" s="1280">
        <v>1</v>
      </c>
      <c r="W47" s="1280">
        <v>4</v>
      </c>
      <c r="X47" s="1287"/>
      <c r="Y47" s="1287"/>
      <c r="Z47" s="1287"/>
      <c r="AA47" s="1287"/>
      <c r="AB47" s="1282"/>
      <c r="AC47" s="1287"/>
      <c r="AD47" s="1287">
        <f t="shared" si="0"/>
        <v>5856</v>
      </c>
      <c r="AE47" s="1235"/>
      <c r="AF47" s="1235"/>
      <c r="AG47" s="1235"/>
      <c r="AH47" s="1235"/>
      <c r="AI47" s="1235"/>
      <c r="AJ47" s="1235"/>
      <c r="AK47" s="1234">
        <v>1</v>
      </c>
      <c r="AL47" s="1234">
        <v>1</v>
      </c>
      <c r="AM47" s="1235"/>
      <c r="AN47" s="1235"/>
      <c r="AO47" s="1235"/>
      <c r="AP47" s="1235"/>
      <c r="AQ47" s="1235"/>
      <c r="AR47" s="1235"/>
      <c r="AS47" s="1235"/>
      <c r="AT47" s="1235"/>
      <c r="AU47" s="1235"/>
      <c r="AV47" s="1235"/>
      <c r="AW47" s="1235"/>
      <c r="AX47" s="1235"/>
      <c r="AY47" s="1235"/>
      <c r="AZ47" s="1235"/>
      <c r="BA47" s="1235"/>
      <c r="BB47" s="1235"/>
      <c r="BC47" s="1235"/>
      <c r="BD47" s="1235"/>
      <c r="BE47" s="1235"/>
      <c r="BF47" s="1235"/>
      <c r="BG47" s="1235"/>
      <c r="BH47" s="1235"/>
      <c r="BI47" s="1235"/>
      <c r="BJ47" s="1235"/>
    </row>
    <row r="48" spans="1:62" ht="14.1" customHeight="1">
      <c r="A48" s="1291" t="s">
        <v>1067</v>
      </c>
      <c r="B48" s="1291" t="s">
        <v>1068</v>
      </c>
      <c r="C48" s="1291" t="s">
        <v>1069</v>
      </c>
      <c r="D48" s="1316">
        <v>40940</v>
      </c>
      <c r="E48" s="1331" t="s">
        <v>395</v>
      </c>
      <c r="F48" s="1323" t="s">
        <v>396</v>
      </c>
      <c r="G48" s="1292">
        <v>9402</v>
      </c>
      <c r="H48" s="1293"/>
      <c r="I48" s="1293"/>
      <c r="J48" s="1293"/>
      <c r="K48" s="1293"/>
      <c r="L48" s="1293"/>
      <c r="M48" s="1293"/>
      <c r="N48" s="1292"/>
      <c r="O48" s="1293"/>
      <c r="P48" s="1293"/>
      <c r="Q48" s="1293"/>
      <c r="R48" s="1293"/>
      <c r="S48" s="1293"/>
      <c r="T48" s="1293"/>
      <c r="U48" s="1292">
        <v>2</v>
      </c>
      <c r="V48" s="1293">
        <v>2</v>
      </c>
      <c r="W48" s="1292">
        <v>6</v>
      </c>
      <c r="X48" s="1293"/>
      <c r="Y48" s="1293"/>
      <c r="Z48" s="1293">
        <v>1</v>
      </c>
      <c r="AA48" s="1293"/>
      <c r="AB48" s="1294"/>
      <c r="AC48" s="1293"/>
      <c r="AD48" s="1293">
        <f t="shared" si="0"/>
        <v>9413</v>
      </c>
      <c r="AE48" s="1235"/>
      <c r="AF48" s="1235"/>
      <c r="AG48" s="1235"/>
      <c r="AH48" s="1235">
        <v>1</v>
      </c>
      <c r="AI48" s="1235"/>
      <c r="AJ48" s="1235"/>
      <c r="AK48" s="1235"/>
      <c r="AL48" s="1235"/>
      <c r="AM48" s="1235"/>
      <c r="AN48" s="1235"/>
      <c r="AO48" s="1235"/>
      <c r="AP48" s="1235"/>
      <c r="AQ48" s="1235"/>
      <c r="AR48" s="1235"/>
      <c r="AS48" s="1235">
        <v>1</v>
      </c>
      <c r="AT48" s="1235"/>
      <c r="AU48" s="1235"/>
      <c r="AV48" s="1235"/>
      <c r="AW48" s="1235"/>
      <c r="AX48" s="1234"/>
      <c r="AY48" s="1235"/>
      <c r="AZ48" s="1235"/>
      <c r="BA48" s="1235"/>
      <c r="BB48" s="1235"/>
      <c r="BC48" s="1235"/>
      <c r="BD48" s="1235"/>
      <c r="BE48" s="1235"/>
      <c r="BF48" s="1235"/>
      <c r="BG48" s="1235"/>
      <c r="BH48" s="1234"/>
      <c r="BI48" s="1234">
        <v>1</v>
      </c>
      <c r="BJ48" s="1235"/>
    </row>
    <row r="49" spans="1:62" ht="14.1" customHeight="1">
      <c r="A49" s="1233" t="s">
        <v>1067</v>
      </c>
      <c r="B49" s="1233" t="s">
        <v>1068</v>
      </c>
      <c r="C49" s="1233" t="s">
        <v>1069</v>
      </c>
      <c r="D49" s="1315">
        <v>40940</v>
      </c>
      <c r="E49" s="1330" t="s">
        <v>397</v>
      </c>
      <c r="F49" s="1322" t="s">
        <v>398</v>
      </c>
      <c r="G49" s="1280">
        <v>760</v>
      </c>
      <c r="H49" s="1287"/>
      <c r="I49" s="1287"/>
      <c r="J49" s="1280">
        <v>336</v>
      </c>
      <c r="K49" s="1287"/>
      <c r="L49" s="1287"/>
      <c r="M49" s="1287"/>
      <c r="N49" s="1287"/>
      <c r="O49" s="1287"/>
      <c r="P49" s="1287"/>
      <c r="Q49" s="1287"/>
      <c r="R49" s="1287"/>
      <c r="S49" s="1287"/>
      <c r="T49" s="1287"/>
      <c r="U49" s="1280">
        <v>7</v>
      </c>
      <c r="V49" s="1287"/>
      <c r="W49" s="1287"/>
      <c r="X49" s="1287"/>
      <c r="Y49" s="1287"/>
      <c r="Z49" s="1287"/>
      <c r="AA49" s="1287"/>
      <c r="AB49" s="1282"/>
      <c r="AC49" s="1287"/>
      <c r="AD49" s="1287">
        <f t="shared" si="0"/>
        <v>1103</v>
      </c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235"/>
    </row>
    <row r="50" spans="1:62" ht="14.1" customHeight="1">
      <c r="A50" s="1233" t="s">
        <v>1067</v>
      </c>
      <c r="B50" s="1233" t="s">
        <v>1068</v>
      </c>
      <c r="C50" s="1233" t="s">
        <v>1069</v>
      </c>
      <c r="D50" s="1315">
        <v>40940</v>
      </c>
      <c r="E50" s="1330" t="s">
        <v>399</v>
      </c>
      <c r="F50" s="1322" t="s">
        <v>400</v>
      </c>
      <c r="G50" s="1280">
        <v>3636</v>
      </c>
      <c r="H50" s="1287"/>
      <c r="I50" s="1287"/>
      <c r="J50" s="1287"/>
      <c r="K50" s="1287"/>
      <c r="L50" s="1287"/>
      <c r="M50" s="1287"/>
      <c r="N50" s="1287"/>
      <c r="O50" s="1287"/>
      <c r="P50" s="1287"/>
      <c r="Q50" s="1287"/>
      <c r="R50" s="1280"/>
      <c r="S50" s="1287"/>
      <c r="T50" s="1287"/>
      <c r="U50" s="1280">
        <v>3</v>
      </c>
      <c r="V50" s="1287"/>
      <c r="W50" s="1287"/>
      <c r="X50" s="1287"/>
      <c r="Y50" s="1287"/>
      <c r="Z50" s="1287"/>
      <c r="AA50" s="1287"/>
      <c r="AB50" s="1282"/>
      <c r="AC50" s="1287"/>
      <c r="AD50" s="1287">
        <f t="shared" si="0"/>
        <v>3639</v>
      </c>
      <c r="AE50" s="1235"/>
      <c r="AF50" s="1235"/>
      <c r="AG50" s="1235"/>
      <c r="AH50" s="1235"/>
      <c r="AI50" s="1235"/>
      <c r="AJ50" s="1235"/>
      <c r="AK50" s="1235"/>
      <c r="AL50" s="1235"/>
      <c r="AM50" s="1235"/>
      <c r="AN50" s="1235"/>
      <c r="AO50" s="1235"/>
      <c r="AP50" s="1235"/>
      <c r="AQ50" s="1235"/>
      <c r="AR50" s="1235"/>
      <c r="AS50" s="1235"/>
      <c r="AT50" s="1235"/>
      <c r="AU50" s="1235"/>
      <c r="AV50" s="1235"/>
      <c r="AW50" s="1235"/>
      <c r="AX50" s="1235"/>
      <c r="AY50" s="1235"/>
      <c r="AZ50" s="1235"/>
      <c r="BA50" s="1235"/>
      <c r="BB50" s="1235"/>
      <c r="BC50" s="1235"/>
      <c r="BD50" s="1235"/>
      <c r="BE50" s="1235"/>
      <c r="BF50" s="1235"/>
      <c r="BG50" s="1235"/>
      <c r="BH50" s="1235"/>
      <c r="BI50" s="1235"/>
      <c r="BJ50" s="1235"/>
    </row>
    <row r="51" spans="1:62" ht="14.1" customHeight="1">
      <c r="A51" s="1233" t="s">
        <v>1067</v>
      </c>
      <c r="B51" s="1233" t="s">
        <v>1068</v>
      </c>
      <c r="C51" s="1233" t="s">
        <v>1069</v>
      </c>
      <c r="D51" s="1315">
        <v>40940</v>
      </c>
      <c r="E51" s="1330" t="s">
        <v>401</v>
      </c>
      <c r="F51" s="1322" t="s">
        <v>402</v>
      </c>
      <c r="G51" s="1280">
        <v>6202</v>
      </c>
      <c r="H51" s="1287"/>
      <c r="I51" s="1287"/>
      <c r="J51" s="1287"/>
      <c r="K51" s="1287"/>
      <c r="L51" s="1287"/>
      <c r="M51" s="1280"/>
      <c r="N51" s="1287"/>
      <c r="O51" s="1287"/>
      <c r="P51" s="1287"/>
      <c r="Q51" s="1280"/>
      <c r="R51" s="1280"/>
      <c r="S51" s="1287"/>
      <c r="T51" s="1287"/>
      <c r="U51" s="1280">
        <v>13</v>
      </c>
      <c r="V51" s="1280">
        <v>2</v>
      </c>
      <c r="W51" s="1280">
        <v>3</v>
      </c>
      <c r="X51" s="1287"/>
      <c r="Y51" s="1287"/>
      <c r="Z51" s="1287"/>
      <c r="AA51" s="1287"/>
      <c r="AB51" s="1282"/>
      <c r="AC51" s="1287"/>
      <c r="AD51" s="1287">
        <f t="shared" si="0"/>
        <v>6220</v>
      </c>
      <c r="AE51" s="1235"/>
      <c r="AF51" s="1235"/>
      <c r="AG51" s="1235"/>
      <c r="AH51" s="1235"/>
      <c r="AI51" s="1235"/>
      <c r="AJ51" s="1235"/>
      <c r="AK51" s="1235"/>
      <c r="AL51" s="1235"/>
      <c r="AM51" s="1235"/>
      <c r="AN51" s="1235"/>
      <c r="AO51" s="1235"/>
      <c r="AP51" s="1235"/>
      <c r="AQ51" s="1235"/>
      <c r="AR51" s="1235"/>
      <c r="AS51" s="1235"/>
      <c r="AT51" s="1235"/>
      <c r="AU51" s="1235"/>
      <c r="AV51" s="1235"/>
      <c r="AW51" s="1235"/>
      <c r="AX51" s="1235"/>
      <c r="AY51" s="1235"/>
      <c r="AZ51" s="1235"/>
      <c r="BA51" s="1235"/>
      <c r="BB51" s="1235"/>
      <c r="BC51" s="1235"/>
      <c r="BD51" s="1235"/>
      <c r="BE51" s="1235"/>
      <c r="BF51" s="1235"/>
      <c r="BG51" s="1235"/>
      <c r="BH51" s="1235"/>
      <c r="BI51" s="1235"/>
      <c r="BJ51" s="1235"/>
    </row>
    <row r="52" spans="1:62" ht="14.1" customHeight="1">
      <c r="A52" s="1233" t="s">
        <v>1067</v>
      </c>
      <c r="B52" s="1233" t="s">
        <v>1068</v>
      </c>
      <c r="C52" s="1233" t="s">
        <v>1069</v>
      </c>
      <c r="D52" s="1315">
        <v>40940</v>
      </c>
      <c r="E52" s="1330" t="s">
        <v>403</v>
      </c>
      <c r="F52" s="1322" t="s">
        <v>404</v>
      </c>
      <c r="G52" s="1280">
        <v>14392</v>
      </c>
      <c r="H52" s="1287"/>
      <c r="I52" s="1287"/>
      <c r="J52" s="1287"/>
      <c r="K52" s="1287"/>
      <c r="L52" s="1287"/>
      <c r="M52" s="1287"/>
      <c r="N52" s="1280"/>
      <c r="O52" s="1287"/>
      <c r="P52" s="1287"/>
      <c r="Q52" s="1287"/>
      <c r="R52" s="1287"/>
      <c r="S52" s="1287"/>
      <c r="T52" s="1287"/>
      <c r="U52" s="1280">
        <v>50</v>
      </c>
      <c r="V52" s="1287"/>
      <c r="W52" s="1280">
        <v>10</v>
      </c>
      <c r="X52" s="1287"/>
      <c r="Y52" s="1287"/>
      <c r="Z52" s="1287"/>
      <c r="AA52" s="1287"/>
      <c r="AB52" s="1282"/>
      <c r="AC52" s="1287"/>
      <c r="AD52" s="1287">
        <f t="shared" si="0"/>
        <v>14452</v>
      </c>
      <c r="AE52" s="1235"/>
      <c r="AF52" s="1235"/>
      <c r="AG52" s="1235"/>
      <c r="AH52" s="1235"/>
      <c r="AI52" s="1235"/>
      <c r="AJ52" s="1235"/>
      <c r="AK52" s="1235"/>
      <c r="AL52" s="1234">
        <v>1</v>
      </c>
      <c r="AM52" s="1235"/>
      <c r="AN52" s="1235"/>
      <c r="AO52" s="1235"/>
      <c r="AP52" s="1235"/>
      <c r="AQ52" s="1235"/>
      <c r="AR52" s="1234">
        <v>1</v>
      </c>
      <c r="AS52" s="1234">
        <v>2</v>
      </c>
      <c r="AT52" s="1235"/>
      <c r="AU52" s="1235"/>
      <c r="AV52" s="1235"/>
      <c r="AW52" s="1235"/>
      <c r="AX52" s="1235"/>
      <c r="AY52" s="1235"/>
      <c r="AZ52" s="1235"/>
      <c r="BA52" s="1235"/>
      <c r="BB52" s="1235"/>
      <c r="BC52" s="1235"/>
      <c r="BD52" s="1235"/>
      <c r="BE52" s="1235"/>
      <c r="BF52" s="1235"/>
      <c r="BG52" s="1235"/>
      <c r="BH52" s="1235"/>
      <c r="BI52" s="1234">
        <v>5</v>
      </c>
      <c r="BJ52" s="1235"/>
    </row>
    <row r="53" spans="1:62" ht="14.1" customHeight="1">
      <c r="A53" s="1291" t="s">
        <v>1067</v>
      </c>
      <c r="B53" s="1291" t="s">
        <v>1068</v>
      </c>
      <c r="C53" s="1291" t="s">
        <v>1069</v>
      </c>
      <c r="D53" s="1316">
        <v>40940</v>
      </c>
      <c r="E53" s="1331" t="s">
        <v>405</v>
      </c>
      <c r="F53" s="1323" t="s">
        <v>406</v>
      </c>
      <c r="G53" s="1292">
        <v>7962</v>
      </c>
      <c r="H53" s="1293"/>
      <c r="I53" s="1293"/>
      <c r="J53" s="1293"/>
      <c r="K53" s="1293"/>
      <c r="L53" s="1293"/>
      <c r="M53" s="1293"/>
      <c r="N53" s="1292"/>
      <c r="O53" s="1293"/>
      <c r="P53" s="1293"/>
      <c r="Q53" s="1293"/>
      <c r="R53" s="1293"/>
      <c r="S53" s="1293"/>
      <c r="T53" s="1293"/>
      <c r="U53" s="1292">
        <v>7</v>
      </c>
      <c r="V53" s="1293"/>
      <c r="W53" s="1292">
        <v>15</v>
      </c>
      <c r="X53" s="1293"/>
      <c r="Y53" s="1293"/>
      <c r="Z53" s="1293"/>
      <c r="AA53" s="1293"/>
      <c r="AB53" s="1294"/>
      <c r="AC53" s="1293"/>
      <c r="AD53" s="1293">
        <f t="shared" si="0"/>
        <v>7984</v>
      </c>
      <c r="AE53" s="1235"/>
      <c r="AF53" s="1235"/>
      <c r="AG53" s="1235"/>
      <c r="AH53" s="1235"/>
      <c r="AI53" s="1235"/>
      <c r="AJ53" s="1235"/>
      <c r="AK53" s="1235"/>
      <c r="AL53" s="1235"/>
      <c r="AM53" s="1235"/>
      <c r="AN53" s="1235"/>
      <c r="AO53" s="1235">
        <v>1</v>
      </c>
      <c r="AP53" s="1235"/>
      <c r="AQ53" s="1235"/>
      <c r="AR53" s="1235">
        <v>2</v>
      </c>
      <c r="AS53" s="1235"/>
      <c r="AT53" s="1235"/>
      <c r="AU53" s="1235"/>
      <c r="AV53" s="1235"/>
      <c r="AW53" s="1235"/>
      <c r="AX53" s="1234"/>
      <c r="AY53" s="1235"/>
      <c r="AZ53" s="1235"/>
      <c r="BA53" s="1235"/>
      <c r="BB53" s="1235"/>
      <c r="BC53" s="1235"/>
      <c r="BD53" s="1235"/>
      <c r="BE53" s="1235"/>
      <c r="BF53" s="1235"/>
      <c r="BG53" s="1235"/>
      <c r="BH53" s="1234">
        <v>1</v>
      </c>
      <c r="BI53" s="1234">
        <v>2</v>
      </c>
      <c r="BJ53" s="1235"/>
    </row>
    <row r="54" spans="1:62" ht="14.1" customHeight="1">
      <c r="A54" s="1233" t="s">
        <v>1067</v>
      </c>
      <c r="B54" s="1233" t="s">
        <v>1068</v>
      </c>
      <c r="C54" s="1233" t="s">
        <v>1069</v>
      </c>
      <c r="D54" s="1315">
        <v>40940</v>
      </c>
      <c r="E54" s="1330" t="s">
        <v>407</v>
      </c>
      <c r="F54" s="1322" t="s">
        <v>408</v>
      </c>
      <c r="G54" s="1280">
        <v>9038</v>
      </c>
      <c r="H54" s="1287"/>
      <c r="I54" s="1287"/>
      <c r="J54" s="1287"/>
      <c r="K54" s="1287"/>
      <c r="L54" s="1280"/>
      <c r="M54" s="1287"/>
      <c r="N54" s="1287"/>
      <c r="O54" s="1287"/>
      <c r="P54" s="1287"/>
      <c r="Q54" s="1287"/>
      <c r="R54" s="1280"/>
      <c r="S54" s="1287"/>
      <c r="T54" s="1287"/>
      <c r="U54" s="1280">
        <v>7</v>
      </c>
      <c r="V54" s="1287"/>
      <c r="W54" s="1280">
        <v>5</v>
      </c>
      <c r="X54" s="1287"/>
      <c r="Y54" s="1287"/>
      <c r="Z54" s="1287"/>
      <c r="AA54" s="1287"/>
      <c r="AB54" s="1282"/>
      <c r="AC54" s="1287"/>
      <c r="AD54" s="1287">
        <f t="shared" si="0"/>
        <v>9050</v>
      </c>
      <c r="AE54" s="1235"/>
      <c r="AF54" s="1235"/>
      <c r="AG54" s="1235"/>
      <c r="AH54" s="1234">
        <v>1</v>
      </c>
      <c r="AI54" s="1235"/>
      <c r="AJ54" s="1235"/>
      <c r="AK54" s="1235"/>
      <c r="AL54" s="1234">
        <v>3</v>
      </c>
      <c r="AM54" s="1235"/>
      <c r="AN54" s="1235"/>
      <c r="AO54" s="1234">
        <v>1</v>
      </c>
      <c r="AP54" s="1235"/>
      <c r="AQ54" s="1235"/>
      <c r="AR54" s="1235"/>
      <c r="AS54" s="1234">
        <v>1</v>
      </c>
      <c r="AT54" s="1235"/>
      <c r="AU54" s="1235"/>
      <c r="AV54" s="1235"/>
      <c r="AW54" s="1235"/>
      <c r="AX54" s="1235"/>
      <c r="AY54" s="1235"/>
      <c r="AZ54" s="1235"/>
      <c r="BA54" s="1235"/>
      <c r="BB54" s="1235"/>
      <c r="BC54" s="1235"/>
      <c r="BD54" s="1235"/>
      <c r="BE54" s="1235"/>
      <c r="BF54" s="1235"/>
      <c r="BG54" s="1235"/>
      <c r="BH54" s="1234">
        <v>1</v>
      </c>
      <c r="BI54" s="1235"/>
      <c r="BJ54" s="1235"/>
    </row>
    <row r="55" spans="1:62" ht="14.1" customHeight="1">
      <c r="A55" s="1233" t="s">
        <v>1067</v>
      </c>
      <c r="B55" s="1233" t="s">
        <v>1068</v>
      </c>
      <c r="C55" s="1233" t="s">
        <v>1069</v>
      </c>
      <c r="D55" s="1315">
        <v>40940</v>
      </c>
      <c r="E55" s="1330" t="s">
        <v>409</v>
      </c>
      <c r="F55" s="1322" t="s">
        <v>410</v>
      </c>
      <c r="G55" s="1280">
        <v>36392</v>
      </c>
      <c r="H55" s="1287"/>
      <c r="I55" s="1287"/>
      <c r="J55" s="1287"/>
      <c r="K55" s="1287"/>
      <c r="L55" s="1287"/>
      <c r="M55" s="1280"/>
      <c r="N55" s="1287"/>
      <c r="O55" s="1287"/>
      <c r="P55" s="1280"/>
      <c r="Q55" s="1287"/>
      <c r="R55" s="1287"/>
      <c r="S55" s="1287"/>
      <c r="T55" s="1287"/>
      <c r="U55" s="1280">
        <v>70</v>
      </c>
      <c r="V55" s="1280">
        <v>1</v>
      </c>
      <c r="W55" s="1280">
        <v>51</v>
      </c>
      <c r="X55" s="1287"/>
      <c r="Y55" s="1287"/>
      <c r="Z55" s="1280">
        <v>1</v>
      </c>
      <c r="AA55" s="1280"/>
      <c r="AB55" s="1280"/>
      <c r="AC55" s="1280"/>
      <c r="AD55" s="1280">
        <f t="shared" si="0"/>
        <v>36515</v>
      </c>
      <c r="AE55" s="1235"/>
      <c r="AF55" s="1235"/>
      <c r="AG55" s="1235"/>
      <c r="AH55" s="1234">
        <v>4</v>
      </c>
      <c r="AI55" s="1234">
        <v>1</v>
      </c>
      <c r="AJ55" s="1235"/>
      <c r="AK55" s="1234">
        <v>1</v>
      </c>
      <c r="AL55" s="1234">
        <v>7</v>
      </c>
      <c r="AM55" s="1235"/>
      <c r="AN55" s="1235"/>
      <c r="AO55" s="1234">
        <v>1</v>
      </c>
      <c r="AP55" s="1235"/>
      <c r="AQ55" s="1235"/>
      <c r="AR55" s="1234">
        <v>4</v>
      </c>
      <c r="AS55" s="1234">
        <v>2</v>
      </c>
      <c r="AT55" s="1235"/>
      <c r="AU55" s="1235"/>
      <c r="AV55" s="1235"/>
      <c r="AW55" s="1235"/>
      <c r="AX55" s="1235"/>
      <c r="AY55" s="1235"/>
      <c r="AZ55" s="1235"/>
      <c r="BA55" s="1235"/>
      <c r="BB55" s="1235"/>
      <c r="BC55" s="1235"/>
      <c r="BD55" s="1235"/>
      <c r="BE55" s="1235"/>
      <c r="BF55" s="1235"/>
      <c r="BG55" s="1235"/>
      <c r="BH55" s="1234">
        <v>1</v>
      </c>
      <c r="BI55" s="1234">
        <v>4</v>
      </c>
      <c r="BJ55" s="1234">
        <v>1</v>
      </c>
    </row>
    <row r="56" spans="1:62" ht="14.1" customHeight="1">
      <c r="A56" s="1233" t="s">
        <v>1067</v>
      </c>
      <c r="B56" s="1233" t="s">
        <v>1068</v>
      </c>
      <c r="C56" s="1233" t="s">
        <v>1069</v>
      </c>
      <c r="D56" s="1315">
        <v>40940</v>
      </c>
      <c r="E56" s="1330" t="s">
        <v>411</v>
      </c>
      <c r="F56" s="1322" t="s">
        <v>412</v>
      </c>
      <c r="G56" s="1280">
        <v>18933</v>
      </c>
      <c r="H56" s="1287"/>
      <c r="I56" s="1287"/>
      <c r="J56" s="1287"/>
      <c r="K56" s="1287"/>
      <c r="L56" s="1287"/>
      <c r="M56" s="1287"/>
      <c r="N56" s="1287"/>
      <c r="O56" s="1287"/>
      <c r="P56" s="1280"/>
      <c r="Q56" s="1287"/>
      <c r="R56" s="1287"/>
      <c r="S56" s="1287"/>
      <c r="T56" s="1287"/>
      <c r="U56" s="1280">
        <v>53</v>
      </c>
      <c r="V56" s="1287"/>
      <c r="W56" s="1280">
        <v>22</v>
      </c>
      <c r="X56" s="1287"/>
      <c r="Y56" s="1287"/>
      <c r="Z56" s="1287"/>
      <c r="AA56" s="1287"/>
      <c r="AB56" s="1282"/>
      <c r="AC56" s="1287"/>
      <c r="AD56" s="1287">
        <f t="shared" si="0"/>
        <v>19008</v>
      </c>
      <c r="AE56" s="1235"/>
      <c r="AF56" s="1235"/>
      <c r="AG56" s="1235"/>
      <c r="AH56" s="1235"/>
      <c r="AI56" s="1234">
        <v>7</v>
      </c>
      <c r="AJ56" s="1235"/>
      <c r="AK56" s="1234">
        <v>1</v>
      </c>
      <c r="AL56" s="1234">
        <v>1</v>
      </c>
      <c r="AM56" s="1234">
        <v>1</v>
      </c>
      <c r="AN56" s="1235"/>
      <c r="AO56" s="1235"/>
      <c r="AP56" s="1235"/>
      <c r="AQ56" s="1235"/>
      <c r="AR56" s="1234">
        <v>2</v>
      </c>
      <c r="AS56" s="1234">
        <v>1</v>
      </c>
      <c r="AT56" s="1235"/>
      <c r="AU56" s="1235"/>
      <c r="AV56" s="1235"/>
      <c r="AW56" s="1235"/>
      <c r="AX56" s="1235"/>
      <c r="AY56" s="1235"/>
      <c r="AZ56" s="1235"/>
      <c r="BA56" s="1235"/>
      <c r="BB56" s="1235"/>
      <c r="BC56" s="1235"/>
      <c r="BD56" s="1235"/>
      <c r="BE56" s="1235"/>
      <c r="BF56" s="1235"/>
      <c r="BG56" s="1235"/>
      <c r="BH56" s="1234">
        <v>4</v>
      </c>
      <c r="BI56" s="1235"/>
      <c r="BJ56" s="1234">
        <v>1</v>
      </c>
    </row>
    <row r="57" spans="1:62" ht="14.1" customHeight="1">
      <c r="A57" s="1233" t="s">
        <v>1067</v>
      </c>
      <c r="B57" s="1233" t="s">
        <v>1068</v>
      </c>
      <c r="C57" s="1233" t="s">
        <v>1069</v>
      </c>
      <c r="D57" s="1315">
        <v>40940</v>
      </c>
      <c r="E57" s="1330" t="s">
        <v>413</v>
      </c>
      <c r="F57" s="1322" t="s">
        <v>414</v>
      </c>
      <c r="G57" s="1280">
        <v>697</v>
      </c>
      <c r="H57" s="1287"/>
      <c r="I57" s="1287"/>
      <c r="J57" s="1287"/>
      <c r="K57" s="1287"/>
      <c r="L57" s="1287"/>
      <c r="M57" s="1287"/>
      <c r="N57" s="1287"/>
      <c r="O57" s="1280"/>
      <c r="P57" s="1287"/>
      <c r="Q57" s="1287"/>
      <c r="R57" s="1287"/>
      <c r="S57" s="1287"/>
      <c r="T57" s="1287"/>
      <c r="U57" s="1287"/>
      <c r="V57" s="1287"/>
      <c r="W57" s="1280">
        <v>2</v>
      </c>
      <c r="X57" s="1287"/>
      <c r="Y57" s="1287"/>
      <c r="Z57" s="1287"/>
      <c r="AA57" s="1287"/>
      <c r="AB57" s="1282"/>
      <c r="AC57" s="1287"/>
      <c r="AD57" s="1287">
        <f t="shared" si="0"/>
        <v>699</v>
      </c>
      <c r="AE57" s="1235"/>
      <c r="AF57" s="1235"/>
      <c r="AG57" s="1235"/>
      <c r="AH57" s="1235"/>
      <c r="AI57" s="1235"/>
      <c r="AJ57" s="1235"/>
      <c r="AK57" s="1235"/>
      <c r="AL57" s="1235"/>
      <c r="AM57" s="1235"/>
      <c r="AN57" s="1235"/>
      <c r="AO57" s="1235"/>
      <c r="AP57" s="1235"/>
      <c r="AQ57" s="1235"/>
      <c r="AR57" s="1235"/>
      <c r="AS57" s="1234">
        <v>1</v>
      </c>
      <c r="AT57" s="1235"/>
      <c r="AU57" s="1235"/>
      <c r="AV57" s="1235"/>
      <c r="AW57" s="1235"/>
      <c r="AX57" s="1235"/>
      <c r="AY57" s="1235"/>
      <c r="AZ57" s="1235"/>
      <c r="BA57" s="1235"/>
      <c r="BB57" s="1235"/>
      <c r="BC57" s="1235"/>
      <c r="BD57" s="1235"/>
      <c r="BE57" s="1235"/>
      <c r="BF57" s="1235"/>
      <c r="BG57" s="1235"/>
      <c r="BH57" s="1235"/>
      <c r="BI57" s="1235"/>
      <c r="BJ57" s="1234">
        <v>1</v>
      </c>
    </row>
    <row r="58" spans="1:62" ht="14.1" customHeight="1">
      <c r="A58" s="1291" t="s">
        <v>1067</v>
      </c>
      <c r="B58" s="1291" t="s">
        <v>1068</v>
      </c>
      <c r="C58" s="1291" t="s">
        <v>1069</v>
      </c>
      <c r="D58" s="1316">
        <v>40940</v>
      </c>
      <c r="E58" s="1331" t="s">
        <v>415</v>
      </c>
      <c r="F58" s="1323" t="s">
        <v>416</v>
      </c>
      <c r="G58" s="1292">
        <v>17649</v>
      </c>
      <c r="H58" s="1293"/>
      <c r="I58" s="1293"/>
      <c r="J58" s="1293"/>
      <c r="K58" s="1293"/>
      <c r="L58" s="1293"/>
      <c r="M58" s="1293"/>
      <c r="N58" s="1292"/>
      <c r="O58" s="1293"/>
      <c r="P58" s="1293"/>
      <c r="Q58" s="1293"/>
      <c r="R58" s="1293"/>
      <c r="S58" s="1293"/>
      <c r="T58" s="1293"/>
      <c r="U58" s="1292">
        <v>25</v>
      </c>
      <c r="V58" s="1293"/>
      <c r="W58" s="1292">
        <v>13</v>
      </c>
      <c r="X58" s="1293"/>
      <c r="Y58" s="1293"/>
      <c r="Z58" s="1293"/>
      <c r="AA58" s="1293"/>
      <c r="AB58" s="1294"/>
      <c r="AC58" s="1293"/>
      <c r="AD58" s="1293">
        <f t="shared" si="0"/>
        <v>17687</v>
      </c>
      <c r="AE58" s="1235"/>
      <c r="AF58" s="1235"/>
      <c r="AG58" s="1235"/>
      <c r="AH58" s="1235"/>
      <c r="AI58" s="1235">
        <v>1</v>
      </c>
      <c r="AJ58" s="1235"/>
      <c r="AK58" s="1235"/>
      <c r="AL58" s="1235"/>
      <c r="AM58" s="1235"/>
      <c r="AN58" s="1235"/>
      <c r="AO58" s="1235">
        <v>1</v>
      </c>
      <c r="AP58" s="1235"/>
      <c r="AQ58" s="1235"/>
      <c r="AR58" s="1235">
        <v>5</v>
      </c>
      <c r="AS58" s="1235">
        <v>2</v>
      </c>
      <c r="AT58" s="1235"/>
      <c r="AU58" s="1235"/>
      <c r="AV58" s="1235"/>
      <c r="AW58" s="1235"/>
      <c r="AX58" s="1234"/>
      <c r="AY58" s="1235"/>
      <c r="AZ58" s="1235"/>
      <c r="BA58" s="1235"/>
      <c r="BB58" s="1235"/>
      <c r="BC58" s="1235"/>
      <c r="BD58" s="1235"/>
      <c r="BE58" s="1235"/>
      <c r="BF58" s="1235"/>
      <c r="BG58" s="1235"/>
      <c r="BH58" s="1234"/>
      <c r="BI58" s="1234">
        <v>4</v>
      </c>
      <c r="BJ58" s="1235">
        <v>2</v>
      </c>
    </row>
    <row r="59" spans="1:62" ht="14.1" customHeight="1">
      <c r="A59" s="1233" t="s">
        <v>1067</v>
      </c>
      <c r="B59" s="1233" t="s">
        <v>1068</v>
      </c>
      <c r="C59" s="1233" t="s">
        <v>1069</v>
      </c>
      <c r="D59" s="1315">
        <v>40940</v>
      </c>
      <c r="E59" s="1330" t="s">
        <v>417</v>
      </c>
      <c r="F59" s="1322" t="s">
        <v>418</v>
      </c>
      <c r="G59" s="1280">
        <v>2473</v>
      </c>
      <c r="H59" s="1287"/>
      <c r="I59" s="1287"/>
      <c r="J59" s="1287"/>
      <c r="K59" s="1287"/>
      <c r="L59" s="1287"/>
      <c r="M59" s="1287"/>
      <c r="N59" s="1287"/>
      <c r="O59" s="1287"/>
      <c r="P59" s="1287"/>
      <c r="Q59" s="1287"/>
      <c r="R59" s="1287"/>
      <c r="S59" s="1280">
        <v>352</v>
      </c>
      <c r="T59" s="1287"/>
      <c r="U59" s="1280">
        <v>4</v>
      </c>
      <c r="V59" s="1287"/>
      <c r="W59" s="1280">
        <v>3</v>
      </c>
      <c r="X59" s="1287"/>
      <c r="Y59" s="1287"/>
      <c r="Z59" s="1287"/>
      <c r="AA59" s="1287"/>
      <c r="AB59" s="1282"/>
      <c r="AC59" s="1287"/>
      <c r="AD59" s="1287">
        <f t="shared" si="0"/>
        <v>2832</v>
      </c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235"/>
    </row>
    <row r="60" spans="1:62" ht="14.1" customHeight="1">
      <c r="A60" s="1233" t="s">
        <v>1067</v>
      </c>
      <c r="B60" s="1233" t="s">
        <v>1068</v>
      </c>
      <c r="C60" s="1233" t="s">
        <v>1069</v>
      </c>
      <c r="D60" s="1315">
        <v>40940</v>
      </c>
      <c r="E60" s="1330" t="s">
        <v>419</v>
      </c>
      <c r="F60" s="1322" t="s">
        <v>420</v>
      </c>
      <c r="G60" s="1280">
        <v>8853</v>
      </c>
      <c r="H60" s="1287"/>
      <c r="I60" s="1287"/>
      <c r="J60" s="1287"/>
      <c r="K60" s="1287"/>
      <c r="L60" s="1280"/>
      <c r="M60" s="1287"/>
      <c r="N60" s="1287"/>
      <c r="O60" s="1287"/>
      <c r="P60" s="1287"/>
      <c r="Q60" s="1287"/>
      <c r="R60" s="1287"/>
      <c r="S60" s="1287"/>
      <c r="T60" s="1287"/>
      <c r="U60" s="1280">
        <v>9</v>
      </c>
      <c r="V60" s="1287"/>
      <c r="W60" s="1280">
        <v>7</v>
      </c>
      <c r="X60" s="1287"/>
      <c r="Y60" s="1287"/>
      <c r="Z60" s="1287"/>
      <c r="AA60" s="1287"/>
      <c r="AB60" s="1282"/>
      <c r="AC60" s="1287"/>
      <c r="AD60" s="1287">
        <f t="shared" si="0"/>
        <v>8869</v>
      </c>
      <c r="AE60" s="1235"/>
      <c r="AF60" s="1235"/>
      <c r="AG60" s="1235"/>
      <c r="AH60" s="1235"/>
      <c r="AI60" s="1235"/>
      <c r="AJ60" s="1235"/>
      <c r="AK60" s="1235"/>
      <c r="AL60" s="1234">
        <v>1</v>
      </c>
      <c r="AM60" s="1235"/>
      <c r="AN60" s="1235"/>
      <c r="AO60" s="1235"/>
      <c r="AP60" s="1235"/>
      <c r="AQ60" s="1235"/>
      <c r="AR60" s="1235"/>
      <c r="AS60" s="1234">
        <v>1</v>
      </c>
      <c r="AT60" s="1235"/>
      <c r="AU60" s="1235"/>
      <c r="AV60" s="1235"/>
      <c r="AW60" s="1235"/>
      <c r="AX60" s="1235"/>
      <c r="AY60" s="1235"/>
      <c r="AZ60" s="1235"/>
      <c r="BA60" s="1235"/>
      <c r="BB60" s="1235"/>
      <c r="BC60" s="1235"/>
      <c r="BD60" s="1235"/>
      <c r="BE60" s="1235"/>
      <c r="BF60" s="1235"/>
      <c r="BG60" s="1235"/>
      <c r="BH60" s="1235"/>
      <c r="BI60" s="1234">
        <v>1</v>
      </c>
      <c r="BJ60" s="1234">
        <v>1</v>
      </c>
    </row>
    <row r="61" spans="1:62" ht="14.1" customHeight="1">
      <c r="A61" s="1233" t="s">
        <v>1067</v>
      </c>
      <c r="B61" s="1233" t="s">
        <v>1068</v>
      </c>
      <c r="C61" s="1233" t="s">
        <v>1069</v>
      </c>
      <c r="D61" s="1315">
        <v>40940</v>
      </c>
      <c r="E61" s="1330" t="s">
        <v>421</v>
      </c>
      <c r="F61" s="1322" t="s">
        <v>422</v>
      </c>
      <c r="G61" s="1280">
        <v>9438</v>
      </c>
      <c r="H61" s="1287"/>
      <c r="I61" s="1287"/>
      <c r="J61" s="1287"/>
      <c r="K61" s="1287"/>
      <c r="L61" s="1287"/>
      <c r="M61" s="1287"/>
      <c r="N61" s="1287"/>
      <c r="O61" s="1287"/>
      <c r="P61" s="1287"/>
      <c r="Q61" s="1287"/>
      <c r="R61" s="1287"/>
      <c r="S61" s="1287"/>
      <c r="T61" s="1287"/>
      <c r="U61" s="1280">
        <v>43</v>
      </c>
      <c r="V61" s="1287"/>
      <c r="W61" s="1280">
        <v>12</v>
      </c>
      <c r="X61" s="1287"/>
      <c r="Y61" s="1287"/>
      <c r="Z61" s="1287"/>
      <c r="AA61" s="1287"/>
      <c r="AB61" s="1282"/>
      <c r="AC61" s="1287"/>
      <c r="AD61" s="1287">
        <f t="shared" si="0"/>
        <v>9493</v>
      </c>
      <c r="AE61" s="1235"/>
      <c r="AF61" s="1235"/>
      <c r="AG61" s="1237">
        <v>1</v>
      </c>
      <c r="AH61" s="1235"/>
      <c r="AI61" s="1235"/>
      <c r="AJ61" s="1235"/>
      <c r="AK61" s="1234">
        <v>1</v>
      </c>
      <c r="AL61" s="1235"/>
      <c r="AM61" s="1235"/>
      <c r="AN61" s="1235"/>
      <c r="AO61" s="1235"/>
      <c r="AP61" s="1235"/>
      <c r="AQ61" s="1235"/>
      <c r="AR61" s="1235"/>
      <c r="AS61" s="1235"/>
      <c r="AT61" s="1235"/>
      <c r="AU61" s="1235"/>
      <c r="AV61" s="1235"/>
      <c r="AW61" s="1235"/>
      <c r="AX61" s="1235"/>
      <c r="AY61" s="1235"/>
      <c r="AZ61" s="1235"/>
      <c r="BA61" s="1235"/>
      <c r="BB61" s="1235"/>
      <c r="BC61" s="1235"/>
      <c r="BD61" s="1235"/>
      <c r="BE61" s="1235"/>
      <c r="BF61" s="1235"/>
      <c r="BG61" s="1235"/>
      <c r="BH61" s="1234">
        <v>1</v>
      </c>
      <c r="BI61" s="1235"/>
      <c r="BJ61" s="1235"/>
    </row>
    <row r="62" spans="1:62" ht="14.1" customHeight="1">
      <c r="A62" s="1233" t="s">
        <v>1067</v>
      </c>
      <c r="B62" s="1233" t="s">
        <v>1068</v>
      </c>
      <c r="C62" s="1233" t="s">
        <v>1069</v>
      </c>
      <c r="D62" s="1315">
        <v>40940</v>
      </c>
      <c r="E62" s="1330" t="s">
        <v>423</v>
      </c>
      <c r="F62" s="1322" t="s">
        <v>424</v>
      </c>
      <c r="G62" s="1280">
        <v>5160</v>
      </c>
      <c r="H62" s="1287"/>
      <c r="I62" s="1287"/>
      <c r="J62" s="1287"/>
      <c r="K62" s="1287"/>
      <c r="L62" s="1287"/>
      <c r="M62" s="1287"/>
      <c r="N62" s="1287"/>
      <c r="O62" s="1287"/>
      <c r="P62" s="1287"/>
      <c r="Q62" s="1287"/>
      <c r="R62" s="1287"/>
      <c r="S62" s="1287"/>
      <c r="T62" s="1287"/>
      <c r="U62" s="1280">
        <v>9</v>
      </c>
      <c r="V62" s="1287"/>
      <c r="W62" s="1280">
        <v>8</v>
      </c>
      <c r="X62" s="1287"/>
      <c r="Y62" s="1287"/>
      <c r="Z62" s="1287"/>
      <c r="AA62" s="1287"/>
      <c r="AB62" s="1282"/>
      <c r="AC62" s="1287"/>
      <c r="AD62" s="1287">
        <f t="shared" si="0"/>
        <v>5177</v>
      </c>
      <c r="AE62" s="1235"/>
      <c r="AF62" s="1235"/>
      <c r="AG62" s="1235"/>
      <c r="AH62" s="1234">
        <v>1</v>
      </c>
      <c r="AI62" s="1235"/>
      <c r="AJ62" s="1235"/>
      <c r="AK62" s="1235"/>
      <c r="AL62" s="1235"/>
      <c r="AM62" s="1235"/>
      <c r="AN62" s="1235"/>
      <c r="AO62" s="1235"/>
      <c r="AP62" s="1235"/>
      <c r="AQ62" s="1235"/>
      <c r="AR62" s="1234">
        <v>1</v>
      </c>
      <c r="AS62" s="1235"/>
      <c r="AT62" s="1235"/>
      <c r="AU62" s="1235"/>
      <c r="AV62" s="1235"/>
      <c r="AW62" s="1234">
        <v>5</v>
      </c>
      <c r="AX62" s="1235"/>
      <c r="AY62" s="1235"/>
      <c r="AZ62" s="1235"/>
      <c r="BA62" s="1235"/>
      <c r="BB62" s="1235"/>
      <c r="BC62" s="1235"/>
      <c r="BD62" s="1235"/>
      <c r="BE62" s="1235"/>
      <c r="BF62" s="1235"/>
      <c r="BG62" s="1235"/>
      <c r="BH62" s="1235"/>
      <c r="BI62" s="1234">
        <v>1</v>
      </c>
      <c r="BJ62" s="1235"/>
    </row>
    <row r="63" spans="1:62" ht="14.1" customHeight="1">
      <c r="A63" s="1291" t="s">
        <v>1067</v>
      </c>
      <c r="B63" s="1291" t="s">
        <v>1068</v>
      </c>
      <c r="C63" s="1291" t="s">
        <v>1069</v>
      </c>
      <c r="D63" s="1316">
        <v>40940</v>
      </c>
      <c r="E63" s="1331" t="s">
        <v>425</v>
      </c>
      <c r="F63" s="1323" t="s">
        <v>426</v>
      </c>
      <c r="G63" s="1292">
        <v>6435</v>
      </c>
      <c r="H63" s="1293"/>
      <c r="I63" s="1293"/>
      <c r="J63" s="1293"/>
      <c r="K63" s="1293"/>
      <c r="L63" s="1293"/>
      <c r="M63" s="1293"/>
      <c r="N63" s="1292"/>
      <c r="O63" s="1293"/>
      <c r="P63" s="1293"/>
      <c r="Q63" s="1293"/>
      <c r="R63" s="1293"/>
      <c r="S63" s="1293"/>
      <c r="T63" s="1293"/>
      <c r="U63" s="1292">
        <v>17</v>
      </c>
      <c r="V63" s="1293"/>
      <c r="W63" s="1292">
        <v>16</v>
      </c>
      <c r="X63" s="1293"/>
      <c r="Y63" s="1293"/>
      <c r="Z63" s="1293"/>
      <c r="AA63" s="1293"/>
      <c r="AB63" s="1294"/>
      <c r="AC63" s="1293"/>
      <c r="AD63" s="1293">
        <f t="shared" si="0"/>
        <v>6468</v>
      </c>
      <c r="AE63" s="1235"/>
      <c r="AF63" s="1235"/>
      <c r="AG63" s="1235"/>
      <c r="AH63" s="1235"/>
      <c r="AI63" s="1235"/>
      <c r="AJ63" s="1235"/>
      <c r="AK63" s="1235">
        <v>2</v>
      </c>
      <c r="AL63" s="1235">
        <v>1</v>
      </c>
      <c r="AM63" s="1235"/>
      <c r="AN63" s="1235"/>
      <c r="AO63" s="1235"/>
      <c r="AP63" s="1235"/>
      <c r="AQ63" s="1235"/>
      <c r="AR63" s="1235">
        <v>1</v>
      </c>
      <c r="AS63" s="1235"/>
      <c r="AT63" s="1235"/>
      <c r="AU63" s="1235"/>
      <c r="AV63" s="1235"/>
      <c r="AW63" s="1235"/>
      <c r="AX63" s="1234"/>
      <c r="AY63" s="1235"/>
      <c r="AZ63" s="1235"/>
      <c r="BA63" s="1235"/>
      <c r="BB63" s="1235"/>
      <c r="BC63" s="1235"/>
      <c r="BD63" s="1235"/>
      <c r="BE63" s="1235"/>
      <c r="BF63" s="1235"/>
      <c r="BG63" s="1235"/>
      <c r="BH63" s="1234"/>
      <c r="BI63" s="1234"/>
      <c r="BJ63" s="1235">
        <v>5</v>
      </c>
    </row>
    <row r="64" spans="1:62" ht="14.1" customHeight="1">
      <c r="A64" s="1233" t="s">
        <v>1067</v>
      </c>
      <c r="B64" s="1233" t="s">
        <v>1068</v>
      </c>
      <c r="C64" s="1233" t="s">
        <v>1069</v>
      </c>
      <c r="D64" s="1315">
        <v>40940</v>
      </c>
      <c r="E64" s="1330" t="s">
        <v>427</v>
      </c>
      <c r="F64" s="1322" t="s">
        <v>428</v>
      </c>
      <c r="G64" s="1280">
        <v>3521</v>
      </c>
      <c r="H64" s="1287"/>
      <c r="I64" s="1287"/>
      <c r="J64" s="1287"/>
      <c r="K64" s="1287"/>
      <c r="L64" s="1287"/>
      <c r="M64" s="1287"/>
      <c r="N64" s="1287"/>
      <c r="O64" s="1287"/>
      <c r="P64" s="1287"/>
      <c r="Q64" s="1287"/>
      <c r="R64" s="1287"/>
      <c r="S64" s="1287"/>
      <c r="T64" s="1287"/>
      <c r="U64" s="1280">
        <v>16</v>
      </c>
      <c r="V64" s="1287"/>
      <c r="W64" s="1287"/>
      <c r="X64" s="1287"/>
      <c r="Y64" s="1287"/>
      <c r="Z64" s="1287"/>
      <c r="AA64" s="1287"/>
      <c r="AB64" s="1282"/>
      <c r="AC64" s="1287"/>
      <c r="AD64" s="1287">
        <f t="shared" si="0"/>
        <v>3537</v>
      </c>
      <c r="AE64" s="1235"/>
      <c r="AF64" s="1235"/>
      <c r="AG64" s="1237">
        <v>1</v>
      </c>
      <c r="AH64" s="1235"/>
      <c r="AI64" s="1235"/>
      <c r="AJ64" s="1235"/>
      <c r="AK64" s="1235"/>
      <c r="AL64" s="1235"/>
      <c r="AM64" s="1235"/>
      <c r="AN64" s="1235"/>
      <c r="AO64" s="1235"/>
      <c r="AP64" s="1235"/>
      <c r="AQ64" s="1235"/>
      <c r="AR64" s="1235"/>
      <c r="AS64" s="1234">
        <v>1</v>
      </c>
      <c r="AT64" s="1235"/>
      <c r="AU64" s="1235"/>
      <c r="AV64" s="1235"/>
      <c r="AW64" s="1235"/>
      <c r="AX64" s="1235"/>
      <c r="AY64" s="1235"/>
      <c r="AZ64" s="1235"/>
      <c r="BA64" s="1235"/>
      <c r="BB64" s="1235"/>
      <c r="BC64" s="1235"/>
      <c r="BD64" s="1235"/>
      <c r="BE64" s="1235"/>
      <c r="BF64" s="1235"/>
      <c r="BG64" s="1235"/>
      <c r="BH64" s="1234">
        <v>1</v>
      </c>
      <c r="BI64" s="1234">
        <v>1</v>
      </c>
      <c r="BJ64" s="1235"/>
    </row>
    <row r="65" spans="1:62" ht="14.1" customHeight="1">
      <c r="A65" s="1233" t="s">
        <v>1067</v>
      </c>
      <c r="B65" s="1233" t="s">
        <v>1068</v>
      </c>
      <c r="C65" s="1233" t="s">
        <v>1069</v>
      </c>
      <c r="D65" s="1315">
        <v>40940</v>
      </c>
      <c r="E65" s="1330" t="s">
        <v>429</v>
      </c>
      <c r="F65" s="1322" t="s">
        <v>430</v>
      </c>
      <c r="G65" s="1280">
        <v>2097</v>
      </c>
      <c r="H65" s="1287"/>
      <c r="I65" s="1287"/>
      <c r="J65" s="1287"/>
      <c r="K65" s="1287"/>
      <c r="L65" s="1287"/>
      <c r="M65" s="1287"/>
      <c r="N65" s="1287"/>
      <c r="O65" s="1280"/>
      <c r="P65" s="1287"/>
      <c r="Q65" s="1287"/>
      <c r="R65" s="1287"/>
      <c r="S65" s="1287"/>
      <c r="T65" s="1287"/>
      <c r="U65" s="1280">
        <v>1</v>
      </c>
      <c r="V65" s="1287"/>
      <c r="W65" s="1280">
        <v>2</v>
      </c>
      <c r="X65" s="1287"/>
      <c r="Y65" s="1287"/>
      <c r="Z65" s="1287"/>
      <c r="AA65" s="1287"/>
      <c r="AB65" s="1282"/>
      <c r="AC65" s="1287"/>
      <c r="AD65" s="1287">
        <f t="shared" si="0"/>
        <v>2100</v>
      </c>
      <c r="AE65" s="1235"/>
      <c r="AF65" s="1235"/>
      <c r="AG65" s="1235"/>
      <c r="AH65" s="1235"/>
      <c r="AI65" s="1235"/>
      <c r="AJ65" s="1235"/>
      <c r="AK65" s="1235"/>
      <c r="AL65" s="1234">
        <v>1</v>
      </c>
      <c r="AM65" s="1235"/>
      <c r="AN65" s="1235"/>
      <c r="AO65" s="1235"/>
      <c r="AP65" s="1235"/>
      <c r="AQ65" s="1235"/>
      <c r="AR65" s="1235"/>
      <c r="AS65" s="1235"/>
      <c r="AT65" s="1235"/>
      <c r="AU65" s="1235"/>
      <c r="AV65" s="1235"/>
      <c r="AW65" s="1235"/>
      <c r="AX65" s="1235"/>
      <c r="AY65" s="1235"/>
      <c r="AZ65" s="1235"/>
      <c r="BA65" s="1235"/>
      <c r="BB65" s="1235"/>
      <c r="BC65" s="1235"/>
      <c r="BD65" s="1235"/>
      <c r="BE65" s="1235"/>
      <c r="BF65" s="1235"/>
      <c r="BG65" s="1235"/>
      <c r="BH65" s="1235"/>
      <c r="BI65" s="1235"/>
      <c r="BJ65" s="1234">
        <v>1</v>
      </c>
    </row>
    <row r="66" spans="1:62" ht="14.1" customHeight="1">
      <c r="A66" s="1233" t="s">
        <v>1067</v>
      </c>
      <c r="B66" s="1233" t="s">
        <v>1068</v>
      </c>
      <c r="C66" s="1233" t="s">
        <v>1069</v>
      </c>
      <c r="D66" s="1315">
        <v>40940</v>
      </c>
      <c r="E66" s="1330" t="s">
        <v>431</v>
      </c>
      <c r="F66" s="1322" t="s">
        <v>432</v>
      </c>
      <c r="G66" s="1280">
        <v>2028</v>
      </c>
      <c r="H66" s="1287"/>
      <c r="I66" s="1287"/>
      <c r="J66" s="1287"/>
      <c r="K66" s="1287"/>
      <c r="L66" s="1287"/>
      <c r="M66" s="1287"/>
      <c r="N66" s="1287"/>
      <c r="O66" s="1287"/>
      <c r="P66" s="1287"/>
      <c r="Q66" s="1287"/>
      <c r="R66" s="1287"/>
      <c r="S66" s="1287"/>
      <c r="T66" s="1287"/>
      <c r="U66" s="1287"/>
      <c r="V66" s="1287"/>
      <c r="W66" s="1280">
        <v>6</v>
      </c>
      <c r="X66" s="1287"/>
      <c r="Y66" s="1287"/>
      <c r="Z66" s="1287"/>
      <c r="AA66" s="1287"/>
      <c r="AB66" s="1282"/>
      <c r="AC66" s="1287"/>
      <c r="AD66" s="1287">
        <f t="shared" si="0"/>
        <v>2034</v>
      </c>
      <c r="AE66" s="1235"/>
      <c r="AF66" s="1235"/>
      <c r="AG66" s="1235"/>
      <c r="AH66" s="1235"/>
      <c r="AI66" s="1235"/>
      <c r="AJ66" s="1235"/>
      <c r="AK66" s="1235"/>
      <c r="AL66" s="1235"/>
      <c r="AM66" s="1235"/>
      <c r="AN66" s="1235"/>
      <c r="AO66" s="1234">
        <v>1</v>
      </c>
      <c r="AP66" s="1235"/>
      <c r="AQ66" s="1235"/>
      <c r="AR66" s="1235"/>
      <c r="AS66" s="1235"/>
      <c r="AT66" s="1234">
        <v>9</v>
      </c>
      <c r="AU66" s="1235"/>
      <c r="AV66" s="1235"/>
      <c r="AW66" s="1235"/>
      <c r="AX66" s="1235"/>
      <c r="AY66" s="1235"/>
      <c r="AZ66" s="1235"/>
      <c r="BA66" s="1235"/>
      <c r="BB66" s="1235"/>
      <c r="BC66" s="1235"/>
      <c r="BD66" s="1235"/>
      <c r="BE66" s="1235"/>
      <c r="BF66" s="1235"/>
      <c r="BG66" s="1235"/>
      <c r="BH66" s="1235"/>
      <c r="BI66" s="1235"/>
      <c r="BJ66" s="1235"/>
    </row>
    <row r="67" spans="1:62" ht="14.1" customHeight="1">
      <c r="A67" s="1233" t="s">
        <v>1067</v>
      </c>
      <c r="B67" s="1233" t="s">
        <v>1068</v>
      </c>
      <c r="C67" s="1233" t="s">
        <v>1069</v>
      </c>
      <c r="D67" s="1315">
        <v>40940</v>
      </c>
      <c r="E67" s="1330" t="s">
        <v>433</v>
      </c>
      <c r="F67" s="1322" t="s">
        <v>434</v>
      </c>
      <c r="G67" s="1280">
        <v>2417</v>
      </c>
      <c r="H67" s="1287"/>
      <c r="I67" s="1287"/>
      <c r="J67" s="1287"/>
      <c r="K67" s="1287"/>
      <c r="L67" s="1287"/>
      <c r="M67" s="1287"/>
      <c r="N67" s="1287"/>
      <c r="O67" s="1287"/>
      <c r="P67" s="1287"/>
      <c r="Q67" s="1287"/>
      <c r="R67" s="1287"/>
      <c r="S67" s="1287"/>
      <c r="T67" s="1287"/>
      <c r="U67" s="1280">
        <v>2</v>
      </c>
      <c r="V67" s="1287"/>
      <c r="W67" s="1280">
        <v>1</v>
      </c>
      <c r="X67" s="1287"/>
      <c r="Y67" s="1287"/>
      <c r="Z67" s="1287"/>
      <c r="AA67" s="1287"/>
      <c r="AB67" s="1282"/>
      <c r="AC67" s="1287"/>
      <c r="AD67" s="1287">
        <f t="shared" si="0"/>
        <v>2420</v>
      </c>
      <c r="AE67" s="1235"/>
      <c r="AF67" s="1235"/>
      <c r="AG67" s="1235"/>
      <c r="AH67" s="1235"/>
      <c r="AI67" s="1235"/>
      <c r="AJ67" s="1235"/>
      <c r="AK67" s="1235"/>
      <c r="AL67" s="1235"/>
      <c r="AM67" s="1235"/>
      <c r="AN67" s="1235"/>
      <c r="AO67" s="1235"/>
      <c r="AP67" s="1235"/>
      <c r="AQ67" s="1235"/>
      <c r="AR67" s="1235"/>
      <c r="AS67" s="1235"/>
      <c r="AT67" s="1235"/>
      <c r="AU67" s="1235"/>
      <c r="AV67" s="1235"/>
      <c r="AW67" s="1235"/>
      <c r="AX67" s="1235"/>
      <c r="AY67" s="1235"/>
      <c r="AZ67" s="1235"/>
      <c r="BA67" s="1235"/>
      <c r="BB67" s="1234">
        <v>6</v>
      </c>
      <c r="BC67" s="1235"/>
      <c r="BD67" s="1235"/>
      <c r="BE67" s="1235"/>
      <c r="BF67" s="1235"/>
      <c r="BG67" s="1235"/>
      <c r="BH67" s="1235"/>
      <c r="BI67" s="1235"/>
      <c r="BJ67" s="1235"/>
    </row>
    <row r="68" spans="1:62" ht="14.1" customHeight="1">
      <c r="A68" s="1291" t="s">
        <v>1067</v>
      </c>
      <c r="B68" s="1291" t="s">
        <v>1068</v>
      </c>
      <c r="C68" s="1291" t="s">
        <v>1069</v>
      </c>
      <c r="D68" s="1316">
        <v>40940</v>
      </c>
      <c r="E68" s="1331" t="s">
        <v>435</v>
      </c>
      <c r="F68" s="1323" t="s">
        <v>792</v>
      </c>
      <c r="G68" s="1292">
        <v>8398</v>
      </c>
      <c r="H68" s="1293"/>
      <c r="I68" s="1293"/>
      <c r="J68" s="1293"/>
      <c r="K68" s="1293"/>
      <c r="L68" s="1293"/>
      <c r="M68" s="1293"/>
      <c r="N68" s="1292"/>
      <c r="O68" s="1293"/>
      <c r="P68" s="1293"/>
      <c r="Q68" s="1293"/>
      <c r="R68" s="1293"/>
      <c r="S68" s="1293"/>
      <c r="T68" s="1293"/>
      <c r="U68" s="1292">
        <v>5</v>
      </c>
      <c r="V68" s="1293"/>
      <c r="W68" s="1292">
        <v>2</v>
      </c>
      <c r="X68" s="1293"/>
      <c r="Y68" s="1293"/>
      <c r="Z68" s="1293"/>
      <c r="AA68" s="1293"/>
      <c r="AB68" s="1294"/>
      <c r="AC68" s="1293"/>
      <c r="AD68" s="1293">
        <f t="shared" si="0"/>
        <v>8405</v>
      </c>
      <c r="AE68" s="1235"/>
      <c r="AF68" s="1235"/>
      <c r="AG68" s="1235"/>
      <c r="AH68" s="1235"/>
      <c r="AI68" s="1235"/>
      <c r="AJ68" s="1235"/>
      <c r="AK68" s="1235"/>
      <c r="AL68" s="1235"/>
      <c r="AM68" s="1235"/>
      <c r="AN68" s="1235"/>
      <c r="AO68" s="1235"/>
      <c r="AP68" s="1235"/>
      <c r="AQ68" s="1235"/>
      <c r="AR68" s="1235"/>
      <c r="AS68" s="1235"/>
      <c r="AT68" s="1235"/>
      <c r="AU68" s="1235"/>
      <c r="AV68" s="1235"/>
      <c r="AW68" s="1235"/>
      <c r="AX68" s="1234"/>
      <c r="AY68" s="1235"/>
      <c r="AZ68" s="1235"/>
      <c r="BA68" s="1235"/>
      <c r="BB68" s="1235"/>
      <c r="BC68" s="1235"/>
      <c r="BD68" s="1235"/>
      <c r="BE68" s="1235"/>
      <c r="BF68" s="1235"/>
      <c r="BG68" s="1235"/>
      <c r="BH68" s="1234"/>
      <c r="BI68" s="1234"/>
      <c r="BJ68" s="1235">
        <v>1</v>
      </c>
    </row>
    <row r="69" spans="1:62" ht="14.1" customHeight="1">
      <c r="A69" s="1299" t="s">
        <v>1067</v>
      </c>
      <c r="B69" s="1299" t="s">
        <v>1068</v>
      </c>
      <c r="C69" s="1299" t="s">
        <v>1069</v>
      </c>
      <c r="D69" s="1318">
        <v>40940</v>
      </c>
      <c r="E69" s="1333" t="s">
        <v>436</v>
      </c>
      <c r="F69" s="1325" t="s">
        <v>793</v>
      </c>
      <c r="G69" s="1300">
        <v>2052</v>
      </c>
      <c r="H69" s="1301"/>
      <c r="I69" s="1301"/>
      <c r="J69" s="1301"/>
      <c r="K69" s="1301"/>
      <c r="L69" s="1301"/>
      <c r="M69" s="1301"/>
      <c r="N69" s="1301"/>
      <c r="O69" s="1301"/>
      <c r="P69" s="1301"/>
      <c r="Q69" s="1301"/>
      <c r="R69" s="1301"/>
      <c r="S69" s="1301"/>
      <c r="T69" s="1301"/>
      <c r="U69" s="1300">
        <v>4</v>
      </c>
      <c r="V69" s="1301"/>
      <c r="W69" s="1300">
        <v>1</v>
      </c>
      <c r="X69" s="1301"/>
      <c r="Y69" s="1301"/>
      <c r="Z69" s="1301"/>
      <c r="AA69" s="1301"/>
      <c r="AB69" s="1299"/>
      <c r="AC69" s="1301"/>
      <c r="AD69" s="1301">
        <f t="shared" ref="AD69:AD73" si="1">SUM(G69:AC69)</f>
        <v>2057</v>
      </c>
      <c r="AE69" s="1235"/>
      <c r="AF69" s="1235"/>
      <c r="AG69" s="1235"/>
      <c r="AH69" s="1234">
        <v>1</v>
      </c>
      <c r="AI69" s="1235"/>
      <c r="AJ69" s="1235"/>
      <c r="AK69" s="1235"/>
      <c r="AL69" s="1234">
        <v>1</v>
      </c>
      <c r="AM69" s="1235"/>
      <c r="AN69" s="1235"/>
      <c r="AO69" s="1235"/>
      <c r="AP69" s="1235"/>
      <c r="AQ69" s="1235"/>
      <c r="AR69" s="1235"/>
      <c r="AS69" s="1235"/>
      <c r="AT69" s="1235"/>
      <c r="AU69" s="1235"/>
      <c r="AV69" s="1235"/>
      <c r="AW69" s="1235"/>
      <c r="AX69" s="1235"/>
      <c r="AY69" s="1235"/>
      <c r="AZ69" s="1235"/>
      <c r="BA69" s="1235"/>
      <c r="BB69" s="1235"/>
      <c r="BC69" s="1235"/>
      <c r="BD69" s="1235"/>
      <c r="BE69" s="1235"/>
      <c r="BF69" s="1235"/>
      <c r="BG69" s="1235"/>
      <c r="BH69" s="1234">
        <v>2</v>
      </c>
      <c r="BI69" s="1235"/>
      <c r="BJ69" s="1235"/>
    </row>
    <row r="70" spans="1:62" ht="14.1" customHeight="1">
      <c r="A70" s="1302" t="s">
        <v>1067</v>
      </c>
      <c r="B70" s="1302" t="s">
        <v>1068</v>
      </c>
      <c r="C70" s="1302" t="s">
        <v>1069</v>
      </c>
      <c r="D70" s="1319">
        <v>40940</v>
      </c>
      <c r="E70" s="1330" t="s">
        <v>437</v>
      </c>
      <c r="F70" s="1326" t="s">
        <v>797</v>
      </c>
      <c r="G70" s="1303">
        <v>5057</v>
      </c>
      <c r="H70" s="1304"/>
      <c r="I70" s="1304"/>
      <c r="J70" s="1304"/>
      <c r="K70" s="1304"/>
      <c r="L70" s="1304"/>
      <c r="M70" s="1304"/>
      <c r="N70" s="1304"/>
      <c r="O70" s="1304"/>
      <c r="P70" s="1304"/>
      <c r="Q70" s="1304"/>
      <c r="R70" s="1304"/>
      <c r="S70" s="1304"/>
      <c r="T70" s="1303">
        <v>2</v>
      </c>
      <c r="U70" s="1303">
        <v>2</v>
      </c>
      <c r="V70" s="1304"/>
      <c r="W70" s="1303">
        <v>4</v>
      </c>
      <c r="X70" s="1304"/>
      <c r="Y70" s="1304"/>
      <c r="Z70" s="1304"/>
      <c r="AA70" s="1304"/>
      <c r="AB70" s="1304"/>
      <c r="AC70" s="1304"/>
      <c r="AD70" s="1304">
        <f t="shared" si="1"/>
        <v>5065</v>
      </c>
      <c r="AE70" s="1235"/>
      <c r="AF70" s="1235"/>
      <c r="AG70" s="1235"/>
      <c r="AH70" s="1235"/>
      <c r="AI70" s="1235"/>
      <c r="AJ70" s="1235"/>
      <c r="AK70" s="1235"/>
      <c r="AL70" s="1234">
        <v>2</v>
      </c>
      <c r="AM70" s="1235"/>
      <c r="AN70" s="1235"/>
      <c r="AO70" s="1235"/>
      <c r="AP70" s="1235"/>
      <c r="AQ70" s="1235"/>
      <c r="AR70" s="1235"/>
      <c r="AS70" s="1235"/>
      <c r="AT70" s="1235"/>
      <c r="AU70" s="1235"/>
      <c r="AV70" s="1235"/>
      <c r="AW70" s="1235"/>
      <c r="AX70" s="1235"/>
      <c r="AY70" s="1235"/>
      <c r="AZ70" s="1235"/>
      <c r="BA70" s="1235"/>
      <c r="BB70" s="1235"/>
      <c r="BC70" s="1235"/>
      <c r="BD70" s="1235"/>
      <c r="BE70" s="1235"/>
      <c r="BF70" s="1235"/>
      <c r="BG70" s="1235"/>
      <c r="BH70" s="1235"/>
      <c r="BI70" s="1235"/>
      <c r="BJ70" s="1235"/>
    </row>
    <row r="71" spans="1:62" ht="14.1" customHeight="1">
      <c r="A71" s="1302" t="s">
        <v>1067</v>
      </c>
      <c r="B71" s="1302" t="s">
        <v>1068</v>
      </c>
      <c r="C71" s="1302" t="s">
        <v>1069</v>
      </c>
      <c r="D71" s="1319">
        <v>40940</v>
      </c>
      <c r="E71" s="1330" t="s">
        <v>438</v>
      </c>
      <c r="F71" s="1326" t="s">
        <v>794</v>
      </c>
      <c r="G71" s="1303">
        <v>1758</v>
      </c>
      <c r="H71" s="1304"/>
      <c r="I71" s="1304"/>
      <c r="J71" s="1304"/>
      <c r="K71" s="1304"/>
      <c r="L71" s="1304"/>
      <c r="M71" s="1304"/>
      <c r="N71" s="1304"/>
      <c r="O71" s="1304"/>
      <c r="P71" s="1304"/>
      <c r="Q71" s="1304"/>
      <c r="R71" s="1304"/>
      <c r="S71" s="1304"/>
      <c r="T71" s="1303">
        <v>4</v>
      </c>
      <c r="U71" s="1303">
        <v>4</v>
      </c>
      <c r="V71" s="1304"/>
      <c r="W71" s="1303">
        <v>1</v>
      </c>
      <c r="X71" s="1304"/>
      <c r="Y71" s="1304"/>
      <c r="Z71" s="1304"/>
      <c r="AA71" s="1304"/>
      <c r="AB71" s="1302"/>
      <c r="AC71" s="1304"/>
      <c r="AD71" s="1304">
        <f t="shared" si="1"/>
        <v>1767</v>
      </c>
      <c r="AE71" s="1235"/>
      <c r="AF71" s="1235"/>
      <c r="AG71" s="1235"/>
      <c r="AH71" s="1235"/>
      <c r="AI71" s="1235"/>
      <c r="AJ71" s="1235"/>
      <c r="AK71" s="1235"/>
      <c r="AL71" s="1235"/>
      <c r="AM71" s="1235"/>
      <c r="AN71" s="1235"/>
      <c r="AO71" s="1235"/>
      <c r="AP71" s="1235"/>
      <c r="AQ71" s="1235"/>
      <c r="AR71" s="1235"/>
      <c r="AS71" s="1235"/>
      <c r="AT71" s="1235"/>
      <c r="AU71" s="1235"/>
      <c r="AV71" s="1235"/>
      <c r="AW71" s="1235"/>
      <c r="AX71" s="1235"/>
      <c r="AY71" s="1235"/>
      <c r="AZ71" s="1235"/>
      <c r="BA71" s="1235"/>
      <c r="BB71" s="1235"/>
      <c r="BC71" s="1235"/>
      <c r="BD71" s="1235"/>
      <c r="BE71" s="1235"/>
      <c r="BF71" s="1235"/>
      <c r="BG71" s="1235"/>
      <c r="BH71" s="1234">
        <v>2</v>
      </c>
      <c r="BI71" s="1235"/>
      <c r="BJ71" s="1235"/>
    </row>
    <row r="72" spans="1:62" ht="14.1" customHeight="1">
      <c r="A72" s="1302" t="s">
        <v>1067</v>
      </c>
      <c r="B72" s="1302" t="s">
        <v>1068</v>
      </c>
      <c r="C72" s="1302" t="s">
        <v>1069</v>
      </c>
      <c r="D72" s="1319">
        <v>40940</v>
      </c>
      <c r="E72" s="1330" t="s">
        <v>439</v>
      </c>
      <c r="F72" s="1326" t="s">
        <v>795</v>
      </c>
      <c r="G72" s="1303">
        <v>3927</v>
      </c>
      <c r="H72" s="1304"/>
      <c r="I72" s="1304"/>
      <c r="J72" s="1304"/>
      <c r="K72" s="1304"/>
      <c r="L72" s="1304"/>
      <c r="M72" s="1304"/>
      <c r="N72" s="1304"/>
      <c r="O72" s="1304"/>
      <c r="P72" s="1304"/>
      <c r="Q72" s="1304"/>
      <c r="R72" s="1304"/>
      <c r="S72" s="1304"/>
      <c r="T72" s="1303">
        <v>2</v>
      </c>
      <c r="U72" s="1303">
        <v>10</v>
      </c>
      <c r="V72" s="1304"/>
      <c r="W72" s="1303">
        <v>1</v>
      </c>
      <c r="X72" s="1304"/>
      <c r="Y72" s="1304"/>
      <c r="Z72" s="1304"/>
      <c r="AA72" s="1304"/>
      <c r="AB72" s="1304"/>
      <c r="AC72" s="1304"/>
      <c r="AD72" s="1304">
        <f t="shared" si="1"/>
        <v>3940</v>
      </c>
      <c r="AE72" s="1235"/>
      <c r="AF72" s="1235"/>
      <c r="AG72" s="1235"/>
      <c r="AH72" s="1234">
        <v>1</v>
      </c>
      <c r="AI72" s="1235"/>
      <c r="AJ72" s="1235"/>
      <c r="AK72" s="1235"/>
      <c r="AL72" s="1235"/>
      <c r="AM72" s="1235"/>
      <c r="AN72" s="1235"/>
      <c r="AO72" s="1235"/>
      <c r="AP72" s="1235"/>
      <c r="AQ72" s="1235"/>
      <c r="AR72" s="1235"/>
      <c r="AS72" s="1235"/>
      <c r="AT72" s="1235"/>
      <c r="AU72" s="1235"/>
      <c r="AV72" s="1235"/>
      <c r="AW72" s="1235"/>
      <c r="AX72" s="1235"/>
      <c r="AY72" s="1235"/>
      <c r="AZ72" s="1235"/>
      <c r="BA72" s="1235"/>
      <c r="BB72" s="1235"/>
      <c r="BC72" s="1235"/>
      <c r="BD72" s="1235"/>
      <c r="BE72" s="1235"/>
      <c r="BF72" s="1235"/>
      <c r="BG72" s="1235"/>
      <c r="BH72" s="1235"/>
      <c r="BI72" s="1235"/>
      <c r="BJ72" s="1235"/>
    </row>
    <row r="73" spans="1:62" ht="13.5" thickBot="1">
      <c r="A73" s="1305"/>
      <c r="B73" s="1305"/>
      <c r="C73" s="1305"/>
      <c r="D73" s="1297"/>
      <c r="E73" s="1331"/>
      <c r="F73" s="1327" t="s">
        <v>796</v>
      </c>
      <c r="G73" s="1306"/>
      <c r="H73" s="1306"/>
      <c r="I73" s="1306"/>
      <c r="J73" s="1306"/>
      <c r="K73" s="1306"/>
      <c r="L73" s="1306"/>
      <c r="M73" s="1306"/>
      <c r="N73" s="1306"/>
      <c r="O73" s="1306"/>
      <c r="P73" s="1306"/>
      <c r="Q73" s="1306"/>
      <c r="R73" s="1306"/>
      <c r="S73" s="1307">
        <v>1</v>
      </c>
      <c r="T73" s="1306"/>
      <c r="U73" s="1306"/>
      <c r="V73" s="1306"/>
      <c r="W73" s="1306"/>
      <c r="X73" s="1306"/>
      <c r="Y73" s="1306"/>
      <c r="Z73" s="1306"/>
      <c r="AA73" s="1306"/>
      <c r="AB73" s="1308"/>
      <c r="AC73" s="1306"/>
      <c r="AD73" s="1306">
        <f t="shared" si="1"/>
        <v>1</v>
      </c>
      <c r="AE73" s="1238"/>
      <c r="AF73" s="1238"/>
      <c r="AG73" s="1238"/>
      <c r="AH73" s="1238"/>
      <c r="AI73" s="1238"/>
      <c r="AJ73" s="1238"/>
      <c r="AK73" s="1238"/>
      <c r="AL73" s="1238"/>
      <c r="AM73" s="1238"/>
      <c r="AN73" s="1238"/>
      <c r="AO73" s="1238"/>
      <c r="AP73" s="1238"/>
      <c r="AQ73" s="1238"/>
      <c r="AR73" s="1238"/>
      <c r="AS73" s="1238"/>
      <c r="AT73" s="1238"/>
      <c r="AU73" s="1238"/>
      <c r="AV73" s="1238"/>
      <c r="AW73" s="1238"/>
      <c r="AX73" s="1238"/>
      <c r="AY73" s="1238"/>
      <c r="AZ73" s="1238"/>
      <c r="BA73" s="1238"/>
      <c r="BB73" s="1238"/>
      <c r="BC73" s="1238"/>
      <c r="BD73" s="1238"/>
      <c r="BE73" s="1238"/>
      <c r="BF73" s="1238"/>
      <c r="BG73" s="1238"/>
      <c r="BH73" s="1238"/>
      <c r="BI73" s="1238"/>
      <c r="BJ73" s="1238"/>
    </row>
    <row r="74" spans="1:62" s="1295" customFormat="1" ht="23.25" customHeight="1" thickTop="1" thickBot="1">
      <c r="A74" s="1309"/>
      <c r="B74" s="1309"/>
      <c r="C74" s="1309"/>
      <c r="D74" s="1298"/>
      <c r="E74" s="1334"/>
      <c r="F74" s="1328" t="s">
        <v>1070</v>
      </c>
      <c r="G74" s="1310">
        <f>SUM(G4:G73)</f>
        <v>634484</v>
      </c>
      <c r="H74" s="1310">
        <f t="shared" ref="H74:BJ74" si="2">SUM(H4:H73)</f>
        <v>2872</v>
      </c>
      <c r="I74" s="1310">
        <f t="shared" si="2"/>
        <v>22270</v>
      </c>
      <c r="J74" s="1310">
        <f t="shared" si="2"/>
        <v>6869</v>
      </c>
      <c r="K74" s="1310">
        <f t="shared" si="2"/>
        <v>0</v>
      </c>
      <c r="L74" s="1310">
        <f t="shared" si="2"/>
        <v>0</v>
      </c>
      <c r="M74" s="1310">
        <f t="shared" si="2"/>
        <v>0</v>
      </c>
      <c r="N74" s="1310">
        <f t="shared" si="2"/>
        <v>0</v>
      </c>
      <c r="O74" s="1310">
        <f t="shared" si="2"/>
        <v>0</v>
      </c>
      <c r="P74" s="1310">
        <f t="shared" si="2"/>
        <v>0</v>
      </c>
      <c r="Q74" s="1310">
        <f t="shared" si="2"/>
        <v>0</v>
      </c>
      <c r="R74" s="1310">
        <f t="shared" si="2"/>
        <v>0</v>
      </c>
      <c r="S74" s="1310">
        <f t="shared" si="2"/>
        <v>364</v>
      </c>
      <c r="T74" s="1310">
        <f t="shared" si="2"/>
        <v>198</v>
      </c>
      <c r="U74" s="1310">
        <f t="shared" si="2"/>
        <v>1242</v>
      </c>
      <c r="V74" s="1310">
        <f t="shared" si="2"/>
        <v>309</v>
      </c>
      <c r="W74" s="1310">
        <f t="shared" si="2"/>
        <v>594</v>
      </c>
      <c r="X74" s="1310">
        <f t="shared" si="2"/>
        <v>640</v>
      </c>
      <c r="Y74" s="1310">
        <f t="shared" si="2"/>
        <v>55</v>
      </c>
      <c r="Z74" s="1310">
        <f t="shared" si="2"/>
        <v>103</v>
      </c>
      <c r="AA74" s="1310">
        <f t="shared" si="2"/>
        <v>0</v>
      </c>
      <c r="AB74" s="1310">
        <f t="shared" si="2"/>
        <v>0</v>
      </c>
      <c r="AC74" s="1310">
        <f t="shared" si="2"/>
        <v>2250</v>
      </c>
      <c r="AD74" s="1310">
        <f t="shared" si="2"/>
        <v>672250</v>
      </c>
      <c r="AE74" s="1296">
        <f>SUM(AE4:AE73)</f>
        <v>1359</v>
      </c>
      <c r="AF74" s="1296">
        <f>SUM(AF4:AF73)</f>
        <v>266</v>
      </c>
      <c r="AG74" s="1296">
        <f t="shared" si="2"/>
        <v>13</v>
      </c>
      <c r="AH74" s="1296">
        <f t="shared" si="2"/>
        <v>20</v>
      </c>
      <c r="AI74" s="1296">
        <f t="shared" si="2"/>
        <v>10</v>
      </c>
      <c r="AJ74" s="1296">
        <f t="shared" si="2"/>
        <v>3</v>
      </c>
      <c r="AK74" s="1296">
        <f t="shared" si="2"/>
        <v>51</v>
      </c>
      <c r="AL74" s="1296">
        <f t="shared" si="2"/>
        <v>39</v>
      </c>
      <c r="AM74" s="1296">
        <f t="shared" si="2"/>
        <v>22</v>
      </c>
      <c r="AN74" s="1296">
        <f t="shared" si="2"/>
        <v>3</v>
      </c>
      <c r="AO74" s="1296">
        <f t="shared" si="2"/>
        <v>24</v>
      </c>
      <c r="AP74" s="1296">
        <f t="shared" si="2"/>
        <v>19</v>
      </c>
      <c r="AQ74" s="1296">
        <f t="shared" si="2"/>
        <v>6</v>
      </c>
      <c r="AR74" s="1296">
        <f t="shared" si="2"/>
        <v>41</v>
      </c>
      <c r="AS74" s="1296">
        <f t="shared" si="2"/>
        <v>58</v>
      </c>
      <c r="AT74" s="1296">
        <f t="shared" si="2"/>
        <v>11</v>
      </c>
      <c r="AU74" s="1296">
        <f t="shared" si="2"/>
        <v>6</v>
      </c>
      <c r="AV74" s="1296">
        <f t="shared" si="2"/>
        <v>13</v>
      </c>
      <c r="AW74" s="1296">
        <f t="shared" si="2"/>
        <v>5</v>
      </c>
      <c r="AX74" s="1296">
        <f t="shared" si="2"/>
        <v>6</v>
      </c>
      <c r="AY74" s="1296">
        <f t="shared" si="2"/>
        <v>5</v>
      </c>
      <c r="AZ74" s="1296">
        <f t="shared" si="2"/>
        <v>35</v>
      </c>
      <c r="BA74" s="1296">
        <f t="shared" si="2"/>
        <v>13</v>
      </c>
      <c r="BB74" s="1296">
        <f t="shared" si="2"/>
        <v>6</v>
      </c>
      <c r="BC74" s="1296">
        <f t="shared" si="2"/>
        <v>295</v>
      </c>
      <c r="BD74" s="1296">
        <f t="shared" si="2"/>
        <v>158</v>
      </c>
      <c r="BE74" s="1296">
        <f t="shared" si="2"/>
        <v>63</v>
      </c>
      <c r="BF74" s="1296">
        <f t="shared" si="2"/>
        <v>36</v>
      </c>
      <c r="BG74" s="1296">
        <f t="shared" si="2"/>
        <v>51</v>
      </c>
      <c r="BH74" s="1296">
        <f t="shared" si="2"/>
        <v>50</v>
      </c>
      <c r="BI74" s="1296">
        <f t="shared" si="2"/>
        <v>71</v>
      </c>
      <c r="BJ74" s="1296">
        <f t="shared" si="2"/>
        <v>69</v>
      </c>
    </row>
    <row r="75" spans="1:62" ht="13.5" thickTop="1"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62">
      <c r="F76" s="8"/>
      <c r="G76" s="115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784" t="s">
        <v>1389</v>
      </c>
      <c r="Y76" s="1784"/>
      <c r="Z76" s="1784"/>
      <c r="AA76" s="1784"/>
      <c r="AB76" s="1784"/>
      <c r="AC76" s="1784"/>
      <c r="AD76" s="1784"/>
    </row>
    <row r="77" spans="1:62" ht="42" customHeight="1">
      <c r="K77" s="1311"/>
      <c r="X77" s="1784"/>
      <c r="Y77" s="1784"/>
      <c r="Z77" s="1784"/>
      <c r="AA77" s="1784"/>
      <c r="AB77" s="1784"/>
      <c r="AC77" s="1784"/>
      <c r="AD77" s="1784"/>
      <c r="AF77" s="62" t="s">
        <v>1071</v>
      </c>
    </row>
    <row r="78" spans="1:62">
      <c r="X78" s="1784"/>
      <c r="Y78" s="1784"/>
      <c r="Z78" s="1784"/>
      <c r="AA78" s="1784"/>
      <c r="AB78" s="1784"/>
      <c r="AC78" s="1784"/>
      <c r="AD78" s="1784"/>
      <c r="AE78" s="164"/>
    </row>
  </sheetData>
  <mergeCells count="1">
    <mergeCell ref="X76:AD78"/>
  </mergeCells>
  <printOptions horizontalCentered="1"/>
  <pageMargins left="0.25" right="0.28000000000000003" top="1.02" bottom="0.17" header="0.41" footer="0.5"/>
  <pageSetup paperSize="5" scale="80" firstPageNumber="104" orientation="portrait" useFirstPageNumber="1" r:id="rId1"/>
  <headerFooter alignWithMargins="0">
    <oddHeader>&amp;L&amp;"Arial,Bold"&amp;14Table 8:  FY2012-13 MFP  Budget Letter&amp;"Arial,Regular"&amp;10
&amp;"Arial,Bold"&amp;12February 1, 2012 MFP Funded Student Membership</oddHead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view="pageBreakPreview" zoomScale="80" zoomScaleNormal="100" zoomScaleSheetLayoutView="80" workbookViewId="0">
      <selection activeCell="A10" sqref="A10"/>
    </sheetView>
  </sheetViews>
  <sheetFormatPr defaultRowHeight="12.75"/>
  <cols>
    <col min="1" max="1" width="11.140625" style="1157" customWidth="1"/>
    <col min="2" max="2" width="13.140625" style="1157" customWidth="1"/>
    <col min="3" max="3" width="23" style="1157" customWidth="1"/>
    <col min="4" max="4" width="9.140625" style="1157"/>
    <col min="5" max="5" width="9.85546875" style="1157" customWidth="1"/>
    <col min="6" max="6" width="43.28515625" style="1157" bestFit="1" customWidth="1"/>
    <col min="7" max="7" width="12.140625" style="1157" customWidth="1"/>
    <col min="8" max="16384" width="9.140625" style="1157"/>
  </cols>
  <sheetData>
    <row r="1" spans="1:8">
      <c r="A1" s="1156" t="s">
        <v>771</v>
      </c>
    </row>
    <row r="2" spans="1:8">
      <c r="A2" s="1158" t="s">
        <v>772</v>
      </c>
    </row>
    <row r="3" spans="1:8">
      <c r="A3" s="1158" t="s">
        <v>773</v>
      </c>
    </row>
    <row r="4" spans="1:8">
      <c r="A4" s="1158" t="s">
        <v>774</v>
      </c>
    </row>
    <row r="5" spans="1:8">
      <c r="A5" s="1158" t="s">
        <v>775</v>
      </c>
    </row>
    <row r="6" spans="1:8">
      <c r="A6" s="1158" t="s">
        <v>776</v>
      </c>
    </row>
    <row r="8" spans="1:8">
      <c r="B8" s="1000" t="s">
        <v>808</v>
      </c>
    </row>
    <row r="9" spans="1:8" ht="18.75" customHeight="1">
      <c r="B9" s="1159" t="s">
        <v>809</v>
      </c>
    </row>
    <row r="10" spans="1:8" s="1161" customFormat="1" ht="39.75" customHeight="1">
      <c r="A10" s="1160" t="s">
        <v>810</v>
      </c>
      <c r="B10" s="1160" t="s">
        <v>811</v>
      </c>
      <c r="C10" s="1160" t="s">
        <v>812</v>
      </c>
      <c r="D10" s="1160" t="s">
        <v>203</v>
      </c>
      <c r="E10" s="1160" t="s">
        <v>813</v>
      </c>
      <c r="F10" s="1160" t="s">
        <v>814</v>
      </c>
      <c r="G10" s="1160" t="s">
        <v>815</v>
      </c>
    </row>
    <row r="11" spans="1:8" ht="21" customHeight="1">
      <c r="A11" s="1162">
        <v>40940</v>
      </c>
      <c r="F11" s="1000" t="s">
        <v>816</v>
      </c>
      <c r="G11" s="1163">
        <f>SUM(G12:G131)</f>
        <v>42416</v>
      </c>
    </row>
    <row r="12" spans="1:8" ht="15" customHeight="1">
      <c r="A12" s="1164">
        <v>40940</v>
      </c>
      <c r="B12" s="1165" t="s">
        <v>817</v>
      </c>
      <c r="C12" s="1165" t="s">
        <v>593</v>
      </c>
      <c r="D12" s="1165" t="s">
        <v>440</v>
      </c>
      <c r="E12" s="1165" t="s">
        <v>818</v>
      </c>
      <c r="F12" s="1165" t="s">
        <v>819</v>
      </c>
      <c r="G12" s="1166">
        <v>1359</v>
      </c>
    </row>
    <row r="13" spans="1:8" ht="15" customHeight="1">
      <c r="A13" s="1164">
        <v>40940</v>
      </c>
      <c r="B13" s="1165" t="s">
        <v>817</v>
      </c>
      <c r="C13" s="1165" t="s">
        <v>593</v>
      </c>
      <c r="D13" s="1165" t="s">
        <v>441</v>
      </c>
      <c r="E13" s="1165" t="s">
        <v>820</v>
      </c>
      <c r="F13" s="1165" t="s">
        <v>442</v>
      </c>
      <c r="G13" s="1166">
        <v>266</v>
      </c>
      <c r="H13" s="1167">
        <f>SUM(G12:G13)</f>
        <v>1625</v>
      </c>
    </row>
    <row r="14" spans="1:8" ht="15" customHeight="1">
      <c r="A14" s="1164"/>
      <c r="B14" s="1165"/>
      <c r="C14" s="1165"/>
      <c r="D14" s="1165"/>
      <c r="E14" s="1165"/>
      <c r="F14" s="1165"/>
      <c r="G14" s="1166"/>
    </row>
    <row r="15" spans="1:8" ht="15" customHeight="1">
      <c r="A15" s="1164">
        <v>40940</v>
      </c>
      <c r="B15" s="1165" t="s">
        <v>821</v>
      </c>
      <c r="C15" s="1165" t="s">
        <v>593</v>
      </c>
      <c r="D15" s="1165" t="s">
        <v>750</v>
      </c>
      <c r="E15" s="1165" t="s">
        <v>822</v>
      </c>
      <c r="F15" s="1165" t="s">
        <v>638</v>
      </c>
      <c r="G15" s="1166">
        <v>332</v>
      </c>
    </row>
    <row r="16" spans="1:8" ht="15" customHeight="1">
      <c r="A16" s="1164">
        <v>40940</v>
      </c>
      <c r="B16" s="1165" t="s">
        <v>821</v>
      </c>
      <c r="C16" s="1165" t="s">
        <v>593</v>
      </c>
      <c r="D16" s="1165" t="s">
        <v>751</v>
      </c>
      <c r="E16" s="1165" t="s">
        <v>823</v>
      </c>
      <c r="F16" s="1165" t="s">
        <v>824</v>
      </c>
      <c r="G16" s="1166">
        <v>368</v>
      </c>
    </row>
    <row r="17" spans="1:8" ht="15" customHeight="1">
      <c r="A17" s="1164">
        <v>40940</v>
      </c>
      <c r="B17" s="1165" t="s">
        <v>821</v>
      </c>
      <c r="C17" s="1165" t="s">
        <v>593</v>
      </c>
      <c r="D17" s="1165" t="s">
        <v>752</v>
      </c>
      <c r="E17" s="1165" t="s">
        <v>825</v>
      </c>
      <c r="F17" s="1165" t="s">
        <v>826</v>
      </c>
      <c r="G17" s="1166">
        <v>624</v>
      </c>
    </row>
    <row r="18" spans="1:8" ht="15" customHeight="1">
      <c r="A18" s="1164">
        <v>40940</v>
      </c>
      <c r="B18" s="1165" t="s">
        <v>821</v>
      </c>
      <c r="C18" s="1165" t="s">
        <v>593</v>
      </c>
      <c r="D18" s="1165" t="s">
        <v>753</v>
      </c>
      <c r="E18" s="1165" t="s">
        <v>827</v>
      </c>
      <c r="F18" s="1165" t="s">
        <v>639</v>
      </c>
      <c r="G18" s="1166">
        <v>681</v>
      </c>
    </row>
    <row r="19" spans="1:8" ht="15" customHeight="1">
      <c r="A19" s="1164">
        <v>40940</v>
      </c>
      <c r="B19" s="1165" t="s">
        <v>821</v>
      </c>
      <c r="C19" s="1165" t="s">
        <v>593</v>
      </c>
      <c r="D19" s="1165" t="s">
        <v>754</v>
      </c>
      <c r="E19" s="1165" t="s">
        <v>828</v>
      </c>
      <c r="F19" s="1165" t="s">
        <v>640</v>
      </c>
      <c r="G19" s="1166">
        <v>652</v>
      </c>
    </row>
    <row r="20" spans="1:8" ht="15" customHeight="1">
      <c r="A20" s="1164">
        <v>40940</v>
      </c>
      <c r="B20" s="1165" t="s">
        <v>821</v>
      </c>
      <c r="C20" s="1165" t="s">
        <v>593</v>
      </c>
      <c r="D20" s="1165" t="s">
        <v>755</v>
      </c>
      <c r="E20" s="1165" t="s">
        <v>829</v>
      </c>
      <c r="F20" s="1165" t="s">
        <v>830</v>
      </c>
      <c r="G20" s="1166">
        <v>915</v>
      </c>
    </row>
    <row r="21" spans="1:8" ht="15" customHeight="1">
      <c r="A21" s="1164">
        <v>40940</v>
      </c>
      <c r="B21" s="1165" t="s">
        <v>821</v>
      </c>
      <c r="C21" s="1165" t="s">
        <v>593</v>
      </c>
      <c r="D21" s="1165" t="s">
        <v>756</v>
      </c>
      <c r="E21" s="1165" t="s">
        <v>831</v>
      </c>
      <c r="F21" s="1165" t="s">
        <v>641</v>
      </c>
      <c r="G21" s="1166">
        <v>399</v>
      </c>
    </row>
    <row r="22" spans="1:8" ht="15" customHeight="1">
      <c r="A22" s="1164">
        <v>40940</v>
      </c>
      <c r="B22" s="1165" t="s">
        <v>821</v>
      </c>
      <c r="C22" s="1165" t="s">
        <v>593</v>
      </c>
      <c r="D22" s="1165" t="s">
        <v>757</v>
      </c>
      <c r="E22" s="1165" t="s">
        <v>832</v>
      </c>
      <c r="F22" s="1165" t="s">
        <v>642</v>
      </c>
      <c r="G22" s="1166">
        <v>102</v>
      </c>
    </row>
    <row r="23" spans="1:8" ht="15" customHeight="1">
      <c r="A23" s="1164">
        <v>40940</v>
      </c>
      <c r="B23" s="1165" t="s">
        <v>821</v>
      </c>
      <c r="C23" s="1165" t="s">
        <v>593</v>
      </c>
      <c r="D23" s="1165" t="s">
        <v>833</v>
      </c>
      <c r="E23" s="1165" t="s">
        <v>834</v>
      </c>
      <c r="F23" s="1165" t="s">
        <v>835</v>
      </c>
      <c r="G23" s="1166">
        <v>364</v>
      </c>
    </row>
    <row r="24" spans="1:8" ht="15" customHeight="1">
      <c r="A24" s="1164">
        <v>40940</v>
      </c>
      <c r="B24" s="1165" t="s">
        <v>821</v>
      </c>
      <c r="C24" s="1165" t="s">
        <v>593</v>
      </c>
      <c r="D24" s="1165" t="s">
        <v>836</v>
      </c>
      <c r="E24" s="1165" t="s">
        <v>837</v>
      </c>
      <c r="F24" s="1165" t="s">
        <v>838</v>
      </c>
      <c r="G24" s="1166">
        <v>198</v>
      </c>
    </row>
    <row r="25" spans="1:8" ht="15" customHeight="1">
      <c r="A25" s="1164">
        <v>40940</v>
      </c>
      <c r="B25" s="1165" t="s">
        <v>821</v>
      </c>
      <c r="C25" s="1165" t="s">
        <v>593</v>
      </c>
      <c r="D25" s="1165" t="s">
        <v>836</v>
      </c>
      <c r="E25" s="1165" t="s">
        <v>839</v>
      </c>
      <c r="F25" s="1165" t="s">
        <v>840</v>
      </c>
      <c r="G25" s="1166">
        <v>1242</v>
      </c>
    </row>
    <row r="26" spans="1:8" ht="15" customHeight="1">
      <c r="A26" s="1164">
        <v>40940</v>
      </c>
      <c r="B26" s="1165" t="s">
        <v>821</v>
      </c>
      <c r="C26" s="1165" t="s">
        <v>593</v>
      </c>
      <c r="D26" s="1165" t="s">
        <v>841</v>
      </c>
      <c r="E26" s="1165" t="s">
        <v>842</v>
      </c>
      <c r="F26" s="1165" t="s">
        <v>843</v>
      </c>
      <c r="G26" s="1166">
        <v>309</v>
      </c>
    </row>
    <row r="27" spans="1:8" ht="15" customHeight="1">
      <c r="A27" s="1164">
        <v>40940</v>
      </c>
      <c r="B27" s="1165" t="s">
        <v>821</v>
      </c>
      <c r="C27" s="1165" t="s">
        <v>593</v>
      </c>
      <c r="D27" s="1165" t="s">
        <v>844</v>
      </c>
      <c r="E27" s="1165" t="s">
        <v>845</v>
      </c>
      <c r="F27" s="1165" t="s">
        <v>846</v>
      </c>
      <c r="G27" s="1166">
        <v>594</v>
      </c>
    </row>
    <row r="28" spans="1:8" ht="15" customHeight="1">
      <c r="A28" s="1164">
        <v>40940</v>
      </c>
      <c r="B28" s="1165" t="s">
        <v>821</v>
      </c>
      <c r="C28" s="1165" t="s">
        <v>593</v>
      </c>
      <c r="D28" s="1165" t="s">
        <v>847</v>
      </c>
      <c r="E28" s="1165" t="s">
        <v>848</v>
      </c>
      <c r="F28" s="1165" t="s">
        <v>758</v>
      </c>
      <c r="G28" s="1166">
        <v>640</v>
      </c>
    </row>
    <row r="29" spans="1:8" ht="15" customHeight="1">
      <c r="A29" s="1164">
        <v>40940</v>
      </c>
      <c r="B29" s="1165" t="s">
        <v>821</v>
      </c>
      <c r="C29" s="1165" t="s">
        <v>593</v>
      </c>
      <c r="D29" s="1165" t="s">
        <v>849</v>
      </c>
      <c r="E29" s="1165" t="s">
        <v>850</v>
      </c>
      <c r="F29" s="1165" t="s">
        <v>851</v>
      </c>
      <c r="G29" s="1166">
        <v>55</v>
      </c>
    </row>
    <row r="30" spans="1:8" ht="15" customHeight="1">
      <c r="A30" s="1164">
        <v>40940</v>
      </c>
      <c r="B30" s="1165" t="s">
        <v>821</v>
      </c>
      <c r="C30" s="1165" t="s">
        <v>593</v>
      </c>
      <c r="D30" s="1165" t="s">
        <v>852</v>
      </c>
      <c r="E30" s="1165" t="s">
        <v>853</v>
      </c>
      <c r="F30" s="1165" t="s">
        <v>854</v>
      </c>
      <c r="G30" s="1166">
        <v>103</v>
      </c>
      <c r="H30" s="1167">
        <f>SUM(G15:G30)</f>
        <v>7578</v>
      </c>
    </row>
    <row r="31" spans="1:8" ht="15" customHeight="1">
      <c r="A31" s="1164"/>
      <c r="B31" s="1165"/>
      <c r="C31" s="1165"/>
      <c r="D31" s="1165"/>
      <c r="E31" s="1165"/>
      <c r="F31" s="1165"/>
      <c r="G31" s="1166"/>
    </row>
    <row r="32" spans="1:8" ht="15" customHeight="1">
      <c r="A32" s="1164">
        <v>40940</v>
      </c>
      <c r="B32" s="1165" t="s">
        <v>855</v>
      </c>
      <c r="C32" s="1165" t="s">
        <v>593</v>
      </c>
      <c r="D32" s="1165" t="s">
        <v>856</v>
      </c>
      <c r="E32" s="1165" t="s">
        <v>860</v>
      </c>
      <c r="F32" s="1165" t="s">
        <v>861</v>
      </c>
      <c r="G32" s="1166">
        <v>409</v>
      </c>
      <c r="H32" s="1167">
        <v>409</v>
      </c>
    </row>
    <row r="33" spans="1:8" ht="15" customHeight="1">
      <c r="A33" s="1164"/>
      <c r="B33" s="1165"/>
      <c r="C33" s="1165"/>
      <c r="D33" s="1165"/>
      <c r="E33" s="1165"/>
      <c r="F33" s="1165"/>
      <c r="G33" s="1166"/>
    </row>
    <row r="34" spans="1:8" ht="15" customHeight="1">
      <c r="A34" s="1164"/>
      <c r="B34" s="1165"/>
      <c r="C34" s="1165"/>
      <c r="D34" s="1165"/>
      <c r="E34" s="1165"/>
      <c r="F34" s="1165"/>
      <c r="G34" s="1166"/>
    </row>
    <row r="35" spans="1:8" ht="15" customHeight="1">
      <c r="A35" s="1164">
        <v>40940</v>
      </c>
      <c r="B35" s="1165" t="s">
        <v>862</v>
      </c>
      <c r="C35" s="1165" t="s">
        <v>593</v>
      </c>
      <c r="D35" s="1165" t="s">
        <v>863</v>
      </c>
      <c r="E35" s="1165" t="s">
        <v>864</v>
      </c>
      <c r="F35" s="1165" t="s">
        <v>865</v>
      </c>
      <c r="G35" s="1166">
        <v>295</v>
      </c>
    </row>
    <row r="36" spans="1:8" ht="15" customHeight="1">
      <c r="A36" s="1164">
        <v>40940</v>
      </c>
      <c r="B36" s="1165" t="s">
        <v>862</v>
      </c>
      <c r="C36" s="1165" t="s">
        <v>593</v>
      </c>
      <c r="D36" s="1165" t="s">
        <v>866</v>
      </c>
      <c r="E36" s="1165" t="s">
        <v>867</v>
      </c>
      <c r="F36" s="1165" t="s">
        <v>868</v>
      </c>
      <c r="G36" s="1166">
        <v>158</v>
      </c>
    </row>
    <row r="37" spans="1:8" ht="15" customHeight="1">
      <c r="A37" s="1164">
        <v>40940</v>
      </c>
      <c r="B37" s="1165" t="s">
        <v>862</v>
      </c>
      <c r="C37" s="1165" t="s">
        <v>593</v>
      </c>
      <c r="D37" s="1165" t="s">
        <v>866</v>
      </c>
      <c r="E37" s="1165" t="s">
        <v>869</v>
      </c>
      <c r="F37" s="1165" t="s">
        <v>870</v>
      </c>
      <c r="G37" s="1166">
        <v>63</v>
      </c>
    </row>
    <row r="38" spans="1:8" ht="15" customHeight="1">
      <c r="A38" s="1164">
        <v>40940</v>
      </c>
      <c r="B38" s="1165" t="s">
        <v>862</v>
      </c>
      <c r="C38" s="1165" t="s">
        <v>593</v>
      </c>
      <c r="D38" s="1165" t="s">
        <v>871</v>
      </c>
      <c r="E38" s="1165" t="s">
        <v>872</v>
      </c>
      <c r="F38" s="1165" t="s">
        <v>873</v>
      </c>
      <c r="G38" s="1166">
        <v>36</v>
      </c>
    </row>
    <row r="39" spans="1:8" ht="15" customHeight="1">
      <c r="A39" s="1164">
        <v>40940</v>
      </c>
      <c r="B39" s="1165" t="s">
        <v>862</v>
      </c>
      <c r="C39" s="1165" t="s">
        <v>593</v>
      </c>
      <c r="D39" s="1165" t="s">
        <v>874</v>
      </c>
      <c r="E39" s="1165" t="s">
        <v>875</v>
      </c>
      <c r="F39" s="1165" t="s">
        <v>876</v>
      </c>
      <c r="G39" s="1166">
        <v>51</v>
      </c>
      <c r="H39" s="1167">
        <f>SUM(G35:G39)</f>
        <v>603</v>
      </c>
    </row>
    <row r="40" spans="1:8" ht="15" customHeight="1">
      <c r="A40" s="1164"/>
      <c r="B40" s="1165"/>
      <c r="C40" s="1165"/>
      <c r="D40" s="1165"/>
      <c r="E40" s="1165"/>
      <c r="F40" s="1165"/>
      <c r="G40" s="1166"/>
    </row>
    <row r="41" spans="1:8" ht="15" customHeight="1">
      <c r="A41" s="1164">
        <v>40940</v>
      </c>
      <c r="B41" s="1165" t="s">
        <v>877</v>
      </c>
      <c r="C41" s="1165" t="s">
        <v>878</v>
      </c>
      <c r="D41" s="1165" t="s">
        <v>879</v>
      </c>
      <c r="E41" s="1165" t="s">
        <v>444</v>
      </c>
      <c r="F41" s="1165" t="s">
        <v>643</v>
      </c>
      <c r="G41" s="1166">
        <v>478</v>
      </c>
      <c r="H41" s="1167">
        <f>G41</f>
        <v>478</v>
      </c>
    </row>
    <row r="42" spans="1:8" ht="15" customHeight="1">
      <c r="A42" s="1164"/>
      <c r="B42" s="1165"/>
      <c r="C42" s="1165"/>
      <c r="D42" s="1165"/>
      <c r="E42" s="1165"/>
      <c r="F42" s="1165"/>
      <c r="G42" s="1166"/>
    </row>
    <row r="43" spans="1:8" ht="15" customHeight="1">
      <c r="A43" s="1164">
        <v>40940</v>
      </c>
      <c r="B43" s="1165" t="s">
        <v>877</v>
      </c>
      <c r="C43" s="1165" t="s">
        <v>880</v>
      </c>
      <c r="D43" s="1165" t="s">
        <v>881</v>
      </c>
      <c r="E43" s="1165" t="s">
        <v>445</v>
      </c>
      <c r="F43" s="1165" t="s">
        <v>634</v>
      </c>
      <c r="G43" s="1166">
        <v>326</v>
      </c>
    </row>
    <row r="44" spans="1:8" ht="15" customHeight="1">
      <c r="A44" s="1164">
        <v>40940</v>
      </c>
      <c r="B44" s="1165" t="s">
        <v>877</v>
      </c>
      <c r="C44" s="1165" t="s">
        <v>880</v>
      </c>
      <c r="D44" s="1165" t="s">
        <v>882</v>
      </c>
      <c r="E44" s="1165" t="s">
        <v>446</v>
      </c>
      <c r="F44" s="1165" t="s">
        <v>447</v>
      </c>
      <c r="G44" s="1166">
        <v>271</v>
      </c>
    </row>
    <row r="45" spans="1:8" ht="15" customHeight="1">
      <c r="A45" s="1164">
        <v>40940</v>
      </c>
      <c r="B45" s="1165" t="s">
        <v>877</v>
      </c>
      <c r="C45" s="1165" t="s">
        <v>880</v>
      </c>
      <c r="D45" s="1165" t="s">
        <v>882</v>
      </c>
      <c r="E45" s="1165" t="s">
        <v>448</v>
      </c>
      <c r="F45" s="1165" t="s">
        <v>449</v>
      </c>
      <c r="G45" s="1166">
        <v>252</v>
      </c>
    </row>
    <row r="46" spans="1:8" ht="15" customHeight="1">
      <c r="A46" s="1164">
        <v>40940</v>
      </c>
      <c r="B46" s="1165" t="s">
        <v>877</v>
      </c>
      <c r="C46" s="1165" t="s">
        <v>880</v>
      </c>
      <c r="D46" s="1165" t="s">
        <v>882</v>
      </c>
      <c r="E46" s="1165" t="s">
        <v>450</v>
      </c>
      <c r="F46" s="1165" t="s">
        <v>635</v>
      </c>
      <c r="G46" s="1166">
        <v>402</v>
      </c>
    </row>
    <row r="47" spans="1:8" ht="15" customHeight="1">
      <c r="A47" s="1164">
        <v>40940</v>
      </c>
      <c r="B47" s="1165" t="s">
        <v>877</v>
      </c>
      <c r="C47" s="1165" t="s">
        <v>880</v>
      </c>
      <c r="D47" s="1165" t="s">
        <v>882</v>
      </c>
      <c r="E47" s="1165" t="s">
        <v>451</v>
      </c>
      <c r="F47" s="1165" t="s">
        <v>636</v>
      </c>
      <c r="G47" s="1166">
        <v>391</v>
      </c>
    </row>
    <row r="48" spans="1:8" ht="15" customHeight="1">
      <c r="A48" s="1164">
        <v>40940</v>
      </c>
      <c r="B48" s="1165" t="s">
        <v>877</v>
      </c>
      <c r="C48" s="1165" t="s">
        <v>880</v>
      </c>
      <c r="D48" s="1165" t="s">
        <v>883</v>
      </c>
      <c r="E48" s="1165" t="s">
        <v>452</v>
      </c>
      <c r="F48" s="1165" t="s">
        <v>637</v>
      </c>
      <c r="G48" s="1166">
        <v>475</v>
      </c>
      <c r="H48" s="1167">
        <f>SUM(G43:G48)</f>
        <v>2117</v>
      </c>
    </row>
    <row r="49" spans="1:8" ht="15" customHeight="1">
      <c r="A49" s="1164"/>
      <c r="B49" s="1165"/>
      <c r="C49" s="1165"/>
      <c r="D49" s="1165"/>
      <c r="E49" s="1165"/>
      <c r="F49" s="1165"/>
      <c r="G49" s="1166"/>
    </row>
    <row r="50" spans="1:8" ht="15" customHeight="1">
      <c r="A50" s="1164">
        <v>40940</v>
      </c>
      <c r="B50" s="1165" t="s">
        <v>877</v>
      </c>
      <c r="C50" s="1165" t="s">
        <v>884</v>
      </c>
      <c r="D50" s="1165" t="s">
        <v>882</v>
      </c>
      <c r="E50" s="1165" t="s">
        <v>453</v>
      </c>
      <c r="F50" s="1165" t="s">
        <v>454</v>
      </c>
      <c r="G50" s="1166">
        <v>277</v>
      </c>
      <c r="H50" s="1167">
        <f>G50</f>
        <v>277</v>
      </c>
    </row>
    <row r="51" spans="1:8" ht="15" customHeight="1">
      <c r="A51" s="1164"/>
      <c r="B51" s="1165"/>
      <c r="C51" s="1165"/>
      <c r="D51" s="1165"/>
      <c r="E51" s="1165"/>
      <c r="F51" s="1165"/>
      <c r="G51" s="1166"/>
    </row>
    <row r="52" spans="1:8" ht="15" customHeight="1">
      <c r="A52" s="1164"/>
      <c r="B52" s="1165"/>
      <c r="C52" s="1165"/>
      <c r="D52" s="1165"/>
      <c r="E52" s="1165"/>
      <c r="F52" s="1165"/>
      <c r="G52" s="1166"/>
    </row>
    <row r="53" spans="1:8" ht="15" customHeight="1">
      <c r="A53" s="1164">
        <v>40940</v>
      </c>
      <c r="B53" s="1165" t="s">
        <v>885</v>
      </c>
      <c r="C53" s="1165" t="s">
        <v>378</v>
      </c>
      <c r="D53" s="1165" t="s">
        <v>886</v>
      </c>
      <c r="E53" s="1165" t="s">
        <v>455</v>
      </c>
      <c r="F53" s="1165" t="s">
        <v>456</v>
      </c>
      <c r="G53" s="1166">
        <v>340</v>
      </c>
    </row>
    <row r="54" spans="1:8" ht="15" customHeight="1">
      <c r="A54" s="1164">
        <v>40940</v>
      </c>
      <c r="B54" s="1165" t="s">
        <v>885</v>
      </c>
      <c r="C54" s="1165" t="s">
        <v>378</v>
      </c>
      <c r="D54" s="1165" t="s">
        <v>886</v>
      </c>
      <c r="E54" s="1165" t="s">
        <v>457</v>
      </c>
      <c r="F54" s="1165" t="s">
        <v>458</v>
      </c>
      <c r="G54" s="1166">
        <v>420</v>
      </c>
    </row>
    <row r="55" spans="1:8" ht="15" customHeight="1">
      <c r="A55" s="1164">
        <v>40940</v>
      </c>
      <c r="B55" s="1165" t="s">
        <v>885</v>
      </c>
      <c r="C55" s="1165" t="s">
        <v>378</v>
      </c>
      <c r="D55" s="1165" t="s">
        <v>886</v>
      </c>
      <c r="E55" s="1165" t="s">
        <v>459</v>
      </c>
      <c r="F55" s="1165" t="s">
        <v>887</v>
      </c>
      <c r="G55" s="1166">
        <v>601</v>
      </c>
    </row>
    <row r="56" spans="1:8" ht="15" customHeight="1">
      <c r="A56" s="1164">
        <v>40940</v>
      </c>
      <c r="B56" s="1165" t="s">
        <v>885</v>
      </c>
      <c r="C56" s="1165" t="s">
        <v>378</v>
      </c>
      <c r="D56" s="1165" t="s">
        <v>886</v>
      </c>
      <c r="E56" s="1165" t="s">
        <v>633</v>
      </c>
      <c r="F56" s="1165" t="s">
        <v>888</v>
      </c>
      <c r="G56" s="1166">
        <v>423</v>
      </c>
    </row>
    <row r="57" spans="1:8" ht="15" customHeight="1">
      <c r="A57" s="1164">
        <v>40940</v>
      </c>
      <c r="B57" s="1165" t="s">
        <v>885</v>
      </c>
      <c r="C57" s="1165" t="s">
        <v>378</v>
      </c>
      <c r="D57" s="1165" t="s">
        <v>889</v>
      </c>
      <c r="E57" s="1165" t="s">
        <v>890</v>
      </c>
      <c r="F57" s="1165" t="s">
        <v>891</v>
      </c>
      <c r="G57" s="1166">
        <v>547</v>
      </c>
    </row>
    <row r="58" spans="1:8" ht="15" customHeight="1">
      <c r="A58" s="1164">
        <v>40940</v>
      </c>
      <c r="B58" s="1165" t="s">
        <v>885</v>
      </c>
      <c r="C58" s="1165" t="s">
        <v>378</v>
      </c>
      <c r="D58" s="1165" t="s">
        <v>892</v>
      </c>
      <c r="E58" s="1165" t="s">
        <v>893</v>
      </c>
      <c r="F58" s="1165" t="s">
        <v>894</v>
      </c>
      <c r="G58" s="1166">
        <v>462</v>
      </c>
    </row>
    <row r="59" spans="1:8" ht="15" customHeight="1">
      <c r="A59" s="1164">
        <v>40940</v>
      </c>
      <c r="B59" s="1165" t="s">
        <v>885</v>
      </c>
      <c r="C59" s="1165" t="s">
        <v>378</v>
      </c>
      <c r="D59" s="1165" t="s">
        <v>895</v>
      </c>
      <c r="E59" s="1165" t="s">
        <v>632</v>
      </c>
      <c r="F59" s="1165" t="s">
        <v>896</v>
      </c>
      <c r="G59" s="1166">
        <v>103</v>
      </c>
    </row>
    <row r="60" spans="1:8" ht="15" customHeight="1">
      <c r="A60" s="1164">
        <v>40940</v>
      </c>
      <c r="B60" s="1165" t="s">
        <v>885</v>
      </c>
      <c r="C60" s="1165" t="s">
        <v>378</v>
      </c>
      <c r="D60" s="1165" t="s">
        <v>897</v>
      </c>
      <c r="E60" s="1165" t="s">
        <v>631</v>
      </c>
      <c r="F60" s="1165" t="s">
        <v>898</v>
      </c>
      <c r="G60" s="1166">
        <v>364</v>
      </c>
    </row>
    <row r="61" spans="1:8" ht="15" customHeight="1">
      <c r="A61" s="1164">
        <v>40940</v>
      </c>
      <c r="B61" s="1165" t="s">
        <v>885</v>
      </c>
      <c r="C61" s="1165" t="s">
        <v>378</v>
      </c>
      <c r="D61" s="1165" t="s">
        <v>899</v>
      </c>
      <c r="E61" s="1165" t="s">
        <v>630</v>
      </c>
      <c r="F61" s="1165" t="s">
        <v>900</v>
      </c>
      <c r="G61" s="1166">
        <v>200</v>
      </c>
    </row>
    <row r="62" spans="1:8" ht="15" customHeight="1">
      <c r="A62" s="1164">
        <v>40940</v>
      </c>
      <c r="B62" s="1165" t="s">
        <v>885</v>
      </c>
      <c r="C62" s="1165" t="s">
        <v>378</v>
      </c>
      <c r="D62" s="1165" t="s">
        <v>901</v>
      </c>
      <c r="E62" s="1165" t="s">
        <v>629</v>
      </c>
      <c r="F62" s="1165" t="s">
        <v>902</v>
      </c>
      <c r="G62" s="1166">
        <v>581</v>
      </c>
    </row>
    <row r="63" spans="1:8" ht="15" customHeight="1">
      <c r="A63" s="1164">
        <v>40940</v>
      </c>
      <c r="B63" s="1165" t="s">
        <v>885</v>
      </c>
      <c r="C63" s="1165" t="s">
        <v>378</v>
      </c>
      <c r="D63" s="1165" t="s">
        <v>901</v>
      </c>
      <c r="E63" s="1165" t="s">
        <v>628</v>
      </c>
      <c r="F63" s="1165" t="s">
        <v>903</v>
      </c>
      <c r="G63" s="1166">
        <v>608</v>
      </c>
    </row>
    <row r="64" spans="1:8" ht="15" customHeight="1">
      <c r="A64" s="1164">
        <v>40940</v>
      </c>
      <c r="B64" s="1165" t="s">
        <v>885</v>
      </c>
      <c r="C64" s="1165" t="s">
        <v>378</v>
      </c>
      <c r="D64" s="1165" t="s">
        <v>901</v>
      </c>
      <c r="E64" s="1165" t="s">
        <v>904</v>
      </c>
      <c r="F64" s="1165" t="s">
        <v>905</v>
      </c>
      <c r="G64" s="1166">
        <v>581</v>
      </c>
    </row>
    <row r="65" spans="1:7" ht="15" customHeight="1">
      <c r="A65" s="1164">
        <v>40940</v>
      </c>
      <c r="B65" s="1165" t="s">
        <v>885</v>
      </c>
      <c r="C65" s="1165" t="s">
        <v>378</v>
      </c>
      <c r="D65" s="1165" t="s">
        <v>901</v>
      </c>
      <c r="E65" s="1165" t="s">
        <v>906</v>
      </c>
      <c r="F65" s="1165" t="s">
        <v>907</v>
      </c>
      <c r="G65" s="1166">
        <v>157</v>
      </c>
    </row>
    <row r="66" spans="1:7" ht="15" customHeight="1">
      <c r="A66" s="1164">
        <v>40940</v>
      </c>
      <c r="B66" s="1165" t="s">
        <v>885</v>
      </c>
      <c r="C66" s="1165" t="s">
        <v>378</v>
      </c>
      <c r="D66" s="1165" t="s">
        <v>901</v>
      </c>
      <c r="E66" s="1165" t="s">
        <v>908</v>
      </c>
      <c r="F66" s="1165" t="s">
        <v>909</v>
      </c>
      <c r="G66" s="1166">
        <v>139</v>
      </c>
    </row>
    <row r="67" spans="1:7" ht="15" customHeight="1">
      <c r="A67" s="1164">
        <v>40940</v>
      </c>
      <c r="B67" s="1165" t="s">
        <v>885</v>
      </c>
      <c r="C67" s="1165" t="s">
        <v>378</v>
      </c>
      <c r="D67" s="1165" t="s">
        <v>910</v>
      </c>
      <c r="E67" s="1165" t="s">
        <v>460</v>
      </c>
      <c r="F67" s="1165" t="s">
        <v>627</v>
      </c>
      <c r="G67" s="1166">
        <v>310</v>
      </c>
    </row>
    <row r="68" spans="1:7" ht="15" customHeight="1">
      <c r="A68" s="1164">
        <v>40940</v>
      </c>
      <c r="B68" s="1165" t="s">
        <v>885</v>
      </c>
      <c r="C68" s="1165" t="s">
        <v>378</v>
      </c>
      <c r="D68" s="1165" t="s">
        <v>911</v>
      </c>
      <c r="E68" s="1165" t="s">
        <v>461</v>
      </c>
      <c r="F68" s="1165" t="s">
        <v>626</v>
      </c>
      <c r="G68" s="1166">
        <v>383</v>
      </c>
    </row>
    <row r="69" spans="1:7" ht="15" customHeight="1">
      <c r="A69" s="1164">
        <v>40940</v>
      </c>
      <c r="B69" s="1165" t="s">
        <v>885</v>
      </c>
      <c r="C69" s="1165" t="s">
        <v>378</v>
      </c>
      <c r="D69" s="1165" t="s">
        <v>912</v>
      </c>
      <c r="E69" s="1165" t="s">
        <v>462</v>
      </c>
      <c r="F69" s="1165" t="s">
        <v>625</v>
      </c>
      <c r="G69" s="1166">
        <v>304</v>
      </c>
    </row>
    <row r="70" spans="1:7" ht="15" customHeight="1">
      <c r="A70" s="1164">
        <v>40940</v>
      </c>
      <c r="B70" s="1165" t="s">
        <v>885</v>
      </c>
      <c r="C70" s="1165" t="s">
        <v>378</v>
      </c>
      <c r="D70" s="1165" t="s">
        <v>913</v>
      </c>
      <c r="E70" s="1165" t="s">
        <v>463</v>
      </c>
      <c r="F70" s="1165" t="s">
        <v>624</v>
      </c>
      <c r="G70" s="1166">
        <v>253</v>
      </c>
    </row>
    <row r="71" spans="1:7" ht="15" customHeight="1">
      <c r="A71" s="1164">
        <v>40940</v>
      </c>
      <c r="B71" s="1165" t="s">
        <v>885</v>
      </c>
      <c r="C71" s="1165" t="s">
        <v>378</v>
      </c>
      <c r="D71" s="1165" t="s">
        <v>914</v>
      </c>
      <c r="E71" s="1165" t="s">
        <v>464</v>
      </c>
      <c r="F71" s="1165" t="s">
        <v>465</v>
      </c>
      <c r="G71" s="1166">
        <v>210</v>
      </c>
    </row>
    <row r="72" spans="1:7" ht="15" customHeight="1">
      <c r="A72" s="1164">
        <v>40940</v>
      </c>
      <c r="B72" s="1165" t="s">
        <v>885</v>
      </c>
      <c r="C72" s="1165" t="s">
        <v>378</v>
      </c>
      <c r="D72" s="1165" t="s">
        <v>915</v>
      </c>
      <c r="E72" s="1165" t="s">
        <v>466</v>
      </c>
      <c r="F72" s="1165" t="s">
        <v>467</v>
      </c>
      <c r="G72" s="1166">
        <v>419</v>
      </c>
    </row>
    <row r="73" spans="1:7" ht="15" customHeight="1">
      <c r="A73" s="1164">
        <v>40940</v>
      </c>
      <c r="B73" s="1165" t="s">
        <v>885</v>
      </c>
      <c r="C73" s="1165" t="s">
        <v>378</v>
      </c>
      <c r="D73" s="1165" t="s">
        <v>916</v>
      </c>
      <c r="E73" s="1165" t="s">
        <v>468</v>
      </c>
      <c r="F73" s="1165" t="s">
        <v>469</v>
      </c>
      <c r="G73" s="1166">
        <v>308</v>
      </c>
    </row>
    <row r="74" spans="1:7" ht="15" customHeight="1">
      <c r="A74" s="1164">
        <v>40940</v>
      </c>
      <c r="B74" s="1165" t="s">
        <v>885</v>
      </c>
      <c r="C74" s="1165" t="s">
        <v>378</v>
      </c>
      <c r="D74" s="1165" t="s">
        <v>917</v>
      </c>
      <c r="E74" s="1165" t="s">
        <v>470</v>
      </c>
      <c r="F74" s="1165" t="s">
        <v>471</v>
      </c>
      <c r="G74" s="1166">
        <v>336</v>
      </c>
    </row>
    <row r="75" spans="1:7" ht="15" customHeight="1">
      <c r="A75" s="1164">
        <v>40940</v>
      </c>
      <c r="B75" s="1165" t="s">
        <v>885</v>
      </c>
      <c r="C75" s="1165" t="s">
        <v>378</v>
      </c>
      <c r="D75" s="1165" t="s">
        <v>918</v>
      </c>
      <c r="E75" s="1165" t="s">
        <v>472</v>
      </c>
      <c r="F75" s="1165" t="s">
        <v>473</v>
      </c>
      <c r="G75" s="1166">
        <v>239</v>
      </c>
    </row>
    <row r="76" spans="1:7" ht="15" customHeight="1">
      <c r="A76" s="1164">
        <v>40940</v>
      </c>
      <c r="B76" s="1165" t="s">
        <v>885</v>
      </c>
      <c r="C76" s="1165" t="s">
        <v>378</v>
      </c>
      <c r="D76" s="1165" t="s">
        <v>919</v>
      </c>
      <c r="E76" s="1165" t="s">
        <v>474</v>
      </c>
      <c r="F76" s="1165" t="s">
        <v>475</v>
      </c>
      <c r="G76" s="1166">
        <v>526</v>
      </c>
    </row>
    <row r="77" spans="1:7" ht="15" customHeight="1">
      <c r="A77" s="1164">
        <v>40940</v>
      </c>
      <c r="B77" s="1165" t="s">
        <v>885</v>
      </c>
      <c r="C77" s="1165" t="s">
        <v>378</v>
      </c>
      <c r="D77" s="1165" t="s">
        <v>920</v>
      </c>
      <c r="E77" s="1165" t="s">
        <v>476</v>
      </c>
      <c r="F77" s="1165" t="s">
        <v>477</v>
      </c>
      <c r="G77" s="1166">
        <v>770</v>
      </c>
    </row>
    <row r="78" spans="1:7" ht="15" customHeight="1">
      <c r="A78" s="1164">
        <v>40940</v>
      </c>
      <c r="B78" s="1165" t="s">
        <v>885</v>
      </c>
      <c r="C78" s="1165" t="s">
        <v>378</v>
      </c>
      <c r="D78" s="1165" t="s">
        <v>921</v>
      </c>
      <c r="E78" s="1165" t="s">
        <v>478</v>
      </c>
      <c r="F78" s="1165" t="s">
        <v>479</v>
      </c>
      <c r="G78" s="1166">
        <v>614</v>
      </c>
    </row>
    <row r="79" spans="1:7" ht="15" customHeight="1">
      <c r="A79" s="1164">
        <v>40940</v>
      </c>
      <c r="B79" s="1165" t="s">
        <v>885</v>
      </c>
      <c r="C79" s="1165" t="s">
        <v>378</v>
      </c>
      <c r="D79" s="1165" t="s">
        <v>922</v>
      </c>
      <c r="E79" s="1165" t="s">
        <v>480</v>
      </c>
      <c r="F79" s="1165" t="s">
        <v>481</v>
      </c>
      <c r="G79" s="1166">
        <v>548</v>
      </c>
    </row>
    <row r="80" spans="1:7" ht="15" customHeight="1">
      <c r="A80" s="1164">
        <v>40940</v>
      </c>
      <c r="B80" s="1165" t="s">
        <v>885</v>
      </c>
      <c r="C80" s="1165" t="s">
        <v>378</v>
      </c>
      <c r="D80" s="1165" t="s">
        <v>923</v>
      </c>
      <c r="E80" s="1165" t="s">
        <v>482</v>
      </c>
      <c r="F80" s="1165" t="s">
        <v>483</v>
      </c>
      <c r="G80" s="1166">
        <v>667</v>
      </c>
    </row>
    <row r="81" spans="1:7" ht="15" customHeight="1">
      <c r="A81" s="1164">
        <v>40940</v>
      </c>
      <c r="B81" s="1165" t="s">
        <v>885</v>
      </c>
      <c r="C81" s="1165" t="s">
        <v>378</v>
      </c>
      <c r="D81" s="1165" t="s">
        <v>924</v>
      </c>
      <c r="E81" s="1165" t="s">
        <v>484</v>
      </c>
      <c r="F81" s="1165" t="s">
        <v>485</v>
      </c>
      <c r="G81" s="1166">
        <v>686</v>
      </c>
    </row>
    <row r="82" spans="1:7" ht="15" customHeight="1">
      <c r="A82" s="1164">
        <v>40940</v>
      </c>
      <c r="B82" s="1165" t="s">
        <v>885</v>
      </c>
      <c r="C82" s="1165" t="s">
        <v>378</v>
      </c>
      <c r="D82" s="1165" t="s">
        <v>925</v>
      </c>
      <c r="E82" s="1165" t="s">
        <v>486</v>
      </c>
      <c r="F82" s="1165" t="s">
        <v>487</v>
      </c>
      <c r="G82" s="1166">
        <v>399</v>
      </c>
    </row>
    <row r="83" spans="1:7" ht="15" customHeight="1">
      <c r="A83" s="1164">
        <v>40940</v>
      </c>
      <c r="B83" s="1165" t="s">
        <v>885</v>
      </c>
      <c r="C83" s="1165" t="s">
        <v>378</v>
      </c>
      <c r="D83" s="1165" t="s">
        <v>926</v>
      </c>
      <c r="E83" s="1165" t="s">
        <v>488</v>
      </c>
      <c r="F83" s="1165" t="s">
        <v>489</v>
      </c>
      <c r="G83" s="1166">
        <v>785</v>
      </c>
    </row>
    <row r="84" spans="1:7" ht="15" customHeight="1">
      <c r="A84" s="1164">
        <v>40940</v>
      </c>
      <c r="B84" s="1165" t="s">
        <v>885</v>
      </c>
      <c r="C84" s="1165" t="s">
        <v>378</v>
      </c>
      <c r="D84" s="1165" t="s">
        <v>926</v>
      </c>
      <c r="E84" s="1165" t="s">
        <v>623</v>
      </c>
      <c r="F84" s="1165" t="s">
        <v>622</v>
      </c>
      <c r="G84" s="1166">
        <v>422</v>
      </c>
    </row>
    <row r="85" spans="1:7" ht="15" customHeight="1">
      <c r="A85" s="1164">
        <v>40940</v>
      </c>
      <c r="B85" s="1165" t="s">
        <v>885</v>
      </c>
      <c r="C85" s="1165" t="s">
        <v>378</v>
      </c>
      <c r="D85" s="1165" t="s">
        <v>927</v>
      </c>
      <c r="E85" s="1165" t="s">
        <v>490</v>
      </c>
      <c r="F85" s="1165" t="s">
        <v>491</v>
      </c>
      <c r="G85" s="1166">
        <v>480</v>
      </c>
    </row>
    <row r="86" spans="1:7" ht="15" customHeight="1">
      <c r="A86" s="1164">
        <v>40940</v>
      </c>
      <c r="B86" s="1165" t="s">
        <v>885</v>
      </c>
      <c r="C86" s="1165" t="s">
        <v>378</v>
      </c>
      <c r="D86" s="1165" t="s">
        <v>928</v>
      </c>
      <c r="E86" s="1165" t="s">
        <v>492</v>
      </c>
      <c r="F86" s="1165" t="s">
        <v>493</v>
      </c>
      <c r="G86" s="1166">
        <v>641</v>
      </c>
    </row>
    <row r="87" spans="1:7" ht="15" customHeight="1">
      <c r="A87" s="1164">
        <v>40940</v>
      </c>
      <c r="B87" s="1165" t="s">
        <v>885</v>
      </c>
      <c r="C87" s="1165" t="s">
        <v>378</v>
      </c>
      <c r="D87" s="1165" t="s">
        <v>928</v>
      </c>
      <c r="E87" s="1165" t="s">
        <v>494</v>
      </c>
      <c r="F87" s="1165" t="s">
        <v>495</v>
      </c>
      <c r="G87" s="1166">
        <v>592</v>
      </c>
    </row>
    <row r="88" spans="1:7" ht="15" customHeight="1">
      <c r="A88" s="1164">
        <v>40940</v>
      </c>
      <c r="B88" s="1165" t="s">
        <v>885</v>
      </c>
      <c r="C88" s="1165" t="s">
        <v>378</v>
      </c>
      <c r="D88" s="1165" t="s">
        <v>928</v>
      </c>
      <c r="E88" s="1165" t="s">
        <v>496</v>
      </c>
      <c r="F88" s="1165" t="s">
        <v>497</v>
      </c>
      <c r="G88" s="1166">
        <v>610</v>
      </c>
    </row>
    <row r="89" spans="1:7" ht="15" customHeight="1">
      <c r="A89" s="1164">
        <v>40940</v>
      </c>
      <c r="B89" s="1165" t="s">
        <v>885</v>
      </c>
      <c r="C89" s="1165" t="s">
        <v>378</v>
      </c>
      <c r="D89" s="1165" t="s">
        <v>928</v>
      </c>
      <c r="E89" s="1165" t="s">
        <v>498</v>
      </c>
      <c r="F89" s="1165" t="s">
        <v>499</v>
      </c>
      <c r="G89" s="1166">
        <v>471</v>
      </c>
    </row>
    <row r="90" spans="1:7" ht="15" customHeight="1">
      <c r="A90" s="1164">
        <v>40940</v>
      </c>
      <c r="B90" s="1165" t="s">
        <v>885</v>
      </c>
      <c r="C90" s="1165" t="s">
        <v>378</v>
      </c>
      <c r="D90" s="1165" t="s">
        <v>928</v>
      </c>
      <c r="E90" s="1165" t="s">
        <v>500</v>
      </c>
      <c r="F90" s="1165" t="s">
        <v>501</v>
      </c>
      <c r="G90" s="1166">
        <v>858</v>
      </c>
    </row>
    <row r="91" spans="1:7" ht="15" customHeight="1">
      <c r="A91" s="1164">
        <v>40940</v>
      </c>
      <c r="B91" s="1165" t="s">
        <v>885</v>
      </c>
      <c r="C91" s="1165" t="s">
        <v>378</v>
      </c>
      <c r="D91" s="1165" t="s">
        <v>928</v>
      </c>
      <c r="E91" s="1165" t="s">
        <v>502</v>
      </c>
      <c r="F91" s="1165" t="s">
        <v>503</v>
      </c>
      <c r="G91" s="1166">
        <v>278</v>
      </c>
    </row>
    <row r="92" spans="1:7" ht="15" customHeight="1">
      <c r="A92" s="1164">
        <v>40940</v>
      </c>
      <c r="B92" s="1165" t="s">
        <v>885</v>
      </c>
      <c r="C92" s="1165" t="s">
        <v>378</v>
      </c>
      <c r="D92" s="1165" t="s">
        <v>929</v>
      </c>
      <c r="E92" s="1165" t="s">
        <v>504</v>
      </c>
      <c r="F92" s="1165" t="s">
        <v>930</v>
      </c>
      <c r="G92" s="1166">
        <v>469</v>
      </c>
    </row>
    <row r="93" spans="1:7" ht="15" customHeight="1">
      <c r="A93" s="1164">
        <v>40940</v>
      </c>
      <c r="B93" s="1165" t="s">
        <v>885</v>
      </c>
      <c r="C93" s="1165" t="s">
        <v>378</v>
      </c>
      <c r="D93" s="1165" t="s">
        <v>931</v>
      </c>
      <c r="E93" s="1165" t="s">
        <v>505</v>
      </c>
      <c r="F93" s="1165" t="s">
        <v>506</v>
      </c>
      <c r="G93" s="1166">
        <v>481</v>
      </c>
    </row>
    <row r="94" spans="1:7" ht="15" customHeight="1">
      <c r="A94" s="1164">
        <v>40940</v>
      </c>
      <c r="B94" s="1165" t="s">
        <v>885</v>
      </c>
      <c r="C94" s="1165" t="s">
        <v>378</v>
      </c>
      <c r="D94" s="1165" t="s">
        <v>931</v>
      </c>
      <c r="E94" s="1165" t="s">
        <v>507</v>
      </c>
      <c r="F94" s="1165" t="s">
        <v>508</v>
      </c>
      <c r="G94" s="1166">
        <v>556</v>
      </c>
    </row>
    <row r="95" spans="1:7" ht="15" customHeight="1">
      <c r="A95" s="1164">
        <v>40940</v>
      </c>
      <c r="B95" s="1165" t="s">
        <v>885</v>
      </c>
      <c r="C95" s="1165" t="s">
        <v>378</v>
      </c>
      <c r="D95" s="1165" t="s">
        <v>931</v>
      </c>
      <c r="E95" s="1165" t="s">
        <v>509</v>
      </c>
      <c r="F95" s="1165" t="s">
        <v>510</v>
      </c>
      <c r="G95" s="1166">
        <v>387</v>
      </c>
    </row>
    <row r="96" spans="1:7" ht="15" customHeight="1">
      <c r="A96" s="1164">
        <v>40940</v>
      </c>
      <c r="B96" s="1165" t="s">
        <v>885</v>
      </c>
      <c r="C96" s="1165" t="s">
        <v>378</v>
      </c>
      <c r="D96" s="1165" t="s">
        <v>931</v>
      </c>
      <c r="E96" s="1165" t="s">
        <v>511</v>
      </c>
      <c r="F96" s="1165" t="s">
        <v>512</v>
      </c>
      <c r="G96" s="1166">
        <v>416</v>
      </c>
    </row>
    <row r="97" spans="1:8" ht="15" customHeight="1">
      <c r="A97" s="1164">
        <v>40940</v>
      </c>
      <c r="B97" s="1165" t="s">
        <v>885</v>
      </c>
      <c r="C97" s="1165" t="s">
        <v>378</v>
      </c>
      <c r="D97" s="1165" t="s">
        <v>931</v>
      </c>
      <c r="E97" s="1165" t="s">
        <v>621</v>
      </c>
      <c r="F97" s="1165" t="s">
        <v>932</v>
      </c>
      <c r="G97" s="1166">
        <v>271</v>
      </c>
    </row>
    <row r="98" spans="1:8" ht="15" customHeight="1">
      <c r="A98" s="1164">
        <v>40940</v>
      </c>
      <c r="B98" s="1165" t="s">
        <v>885</v>
      </c>
      <c r="C98" s="1165" t="s">
        <v>378</v>
      </c>
      <c r="D98" s="1165" t="s">
        <v>931</v>
      </c>
      <c r="E98" s="1165" t="s">
        <v>620</v>
      </c>
      <c r="F98" s="1165" t="s">
        <v>933</v>
      </c>
      <c r="G98" s="1166">
        <v>309</v>
      </c>
    </row>
    <row r="99" spans="1:8" ht="15" customHeight="1">
      <c r="A99" s="1164">
        <v>40940</v>
      </c>
      <c r="B99" s="1165" t="s">
        <v>885</v>
      </c>
      <c r="C99" s="1165" t="s">
        <v>378</v>
      </c>
      <c r="D99" s="1165" t="s">
        <v>934</v>
      </c>
      <c r="E99" s="1165" t="s">
        <v>513</v>
      </c>
      <c r="F99" s="1165" t="s">
        <v>514</v>
      </c>
      <c r="G99" s="1166">
        <v>515</v>
      </c>
    </row>
    <row r="100" spans="1:8" ht="15" customHeight="1">
      <c r="A100" s="1164">
        <v>40940</v>
      </c>
      <c r="B100" s="1165" t="s">
        <v>885</v>
      </c>
      <c r="C100" s="1165" t="s">
        <v>378</v>
      </c>
      <c r="D100" s="1165" t="s">
        <v>934</v>
      </c>
      <c r="E100" s="1165" t="s">
        <v>515</v>
      </c>
      <c r="F100" s="1165" t="s">
        <v>516</v>
      </c>
      <c r="G100" s="1166">
        <v>421</v>
      </c>
    </row>
    <row r="101" spans="1:8" ht="15" customHeight="1">
      <c r="A101" s="1164">
        <v>40940</v>
      </c>
      <c r="B101" s="1165" t="s">
        <v>885</v>
      </c>
      <c r="C101" s="1165" t="s">
        <v>378</v>
      </c>
      <c r="D101" s="1165" t="s">
        <v>934</v>
      </c>
      <c r="E101" s="1165" t="s">
        <v>935</v>
      </c>
      <c r="F101" s="1165" t="s">
        <v>936</v>
      </c>
      <c r="G101" s="1166">
        <v>385</v>
      </c>
    </row>
    <row r="102" spans="1:8" ht="15" customHeight="1">
      <c r="A102" s="1164">
        <v>40940</v>
      </c>
      <c r="B102" s="1165" t="s">
        <v>885</v>
      </c>
      <c r="C102" s="1165" t="s">
        <v>378</v>
      </c>
      <c r="D102" s="1165" t="s">
        <v>934</v>
      </c>
      <c r="E102" s="1165" t="s">
        <v>619</v>
      </c>
      <c r="F102" s="1165" t="s">
        <v>937</v>
      </c>
      <c r="G102" s="1166">
        <v>425</v>
      </c>
      <c r="H102" s="1167">
        <f>SUM(G53:G102)</f>
        <v>22270</v>
      </c>
    </row>
    <row r="103" spans="1:8" ht="15" customHeight="1">
      <c r="A103" s="1164"/>
      <c r="B103" s="1165"/>
      <c r="C103" s="1165"/>
      <c r="D103" s="1165"/>
      <c r="E103" s="1165"/>
      <c r="F103" s="1165"/>
      <c r="G103" s="1166"/>
    </row>
    <row r="104" spans="1:8" ht="15" customHeight="1">
      <c r="A104" s="1164"/>
      <c r="B104" s="1165"/>
      <c r="C104" s="1165"/>
      <c r="D104" s="1165"/>
      <c r="E104" s="1165"/>
      <c r="F104" s="1165"/>
      <c r="G104" s="1166"/>
    </row>
    <row r="105" spans="1:8" ht="15" customHeight="1">
      <c r="A105" s="1164">
        <v>40940</v>
      </c>
      <c r="B105" s="1165" t="s">
        <v>938</v>
      </c>
      <c r="C105" s="1165" t="s">
        <v>878</v>
      </c>
      <c r="D105" s="1165" t="s">
        <v>443</v>
      </c>
      <c r="E105" s="1165" t="s">
        <v>939</v>
      </c>
      <c r="F105" s="1165" t="s">
        <v>940</v>
      </c>
      <c r="G105" s="1166">
        <v>166</v>
      </c>
    </row>
    <row r="106" spans="1:8" ht="15" customHeight="1">
      <c r="A106" s="1164">
        <v>40940</v>
      </c>
      <c r="B106" s="1165" t="s">
        <v>938</v>
      </c>
      <c r="C106" s="1165" t="s">
        <v>880</v>
      </c>
      <c r="D106" s="1165" t="s">
        <v>443</v>
      </c>
      <c r="E106" s="1165" t="s">
        <v>941</v>
      </c>
      <c r="F106" s="1165" t="s">
        <v>942</v>
      </c>
      <c r="G106" s="1166">
        <v>253</v>
      </c>
    </row>
    <row r="107" spans="1:8" ht="15" customHeight="1">
      <c r="A107" s="1164">
        <v>40940</v>
      </c>
      <c r="B107" s="1165" t="s">
        <v>938</v>
      </c>
      <c r="C107" s="1165" t="s">
        <v>943</v>
      </c>
      <c r="D107" s="1165" t="s">
        <v>443</v>
      </c>
      <c r="E107" s="1165" t="s">
        <v>944</v>
      </c>
      <c r="F107" s="1165" t="s">
        <v>945</v>
      </c>
      <c r="G107" s="1166">
        <v>336</v>
      </c>
      <c r="H107" s="1167">
        <f>SUM(G105:G107)</f>
        <v>755</v>
      </c>
    </row>
    <row r="108" spans="1:8" ht="15" customHeight="1">
      <c r="A108" s="1164"/>
      <c r="B108" s="1165"/>
      <c r="C108" s="1165"/>
      <c r="D108" s="1165"/>
      <c r="E108" s="1165"/>
      <c r="F108" s="1165"/>
      <c r="G108" s="1166"/>
    </row>
    <row r="109" spans="1:8" ht="15" customHeight="1">
      <c r="A109" s="1164"/>
      <c r="B109" s="1165"/>
      <c r="C109" s="1165"/>
      <c r="D109" s="1165"/>
      <c r="E109" s="1165"/>
      <c r="F109" s="1165"/>
      <c r="G109" s="1166"/>
    </row>
    <row r="110" spans="1:8" ht="15" customHeight="1">
      <c r="A110" s="1164">
        <v>40940</v>
      </c>
      <c r="B110" s="1165" t="s">
        <v>938</v>
      </c>
      <c r="C110" s="1165" t="s">
        <v>378</v>
      </c>
      <c r="D110" s="1165" t="s">
        <v>443</v>
      </c>
      <c r="E110" s="1165" t="s">
        <v>946</v>
      </c>
      <c r="F110" s="1165" t="s">
        <v>947</v>
      </c>
      <c r="G110" s="1166">
        <v>512</v>
      </c>
    </row>
    <row r="111" spans="1:8" ht="15" customHeight="1">
      <c r="A111" s="1164">
        <v>40940</v>
      </c>
      <c r="B111" s="1165" t="s">
        <v>938</v>
      </c>
      <c r="C111" s="1165" t="s">
        <v>378</v>
      </c>
      <c r="D111" s="1165" t="s">
        <v>443</v>
      </c>
      <c r="E111" s="1165" t="s">
        <v>948</v>
      </c>
      <c r="F111" s="1165" t="s">
        <v>949</v>
      </c>
      <c r="G111" s="1166">
        <v>487</v>
      </c>
    </row>
    <row r="112" spans="1:8" ht="15" customHeight="1">
      <c r="A112" s="1164">
        <v>40940</v>
      </c>
      <c r="B112" s="1165" t="s">
        <v>938</v>
      </c>
      <c r="C112" s="1165" t="s">
        <v>378</v>
      </c>
      <c r="D112" s="1165" t="s">
        <v>443</v>
      </c>
      <c r="E112" s="1165" t="s">
        <v>950</v>
      </c>
      <c r="F112" s="1165" t="s">
        <v>951</v>
      </c>
      <c r="G112" s="1166">
        <v>223</v>
      </c>
    </row>
    <row r="113" spans="1:8" ht="15" customHeight="1">
      <c r="A113" s="1164">
        <v>40940</v>
      </c>
      <c r="B113" s="1165" t="s">
        <v>938</v>
      </c>
      <c r="C113" s="1165" t="s">
        <v>378</v>
      </c>
      <c r="D113" s="1165" t="s">
        <v>443</v>
      </c>
      <c r="E113" s="1165" t="s">
        <v>952</v>
      </c>
      <c r="F113" s="1165" t="s">
        <v>953</v>
      </c>
      <c r="G113" s="1166">
        <v>182</v>
      </c>
    </row>
    <row r="114" spans="1:8" ht="15" customHeight="1">
      <c r="A114" s="1164">
        <v>40940</v>
      </c>
      <c r="B114" s="1165" t="s">
        <v>938</v>
      </c>
      <c r="C114" s="1165" t="s">
        <v>378</v>
      </c>
      <c r="D114" s="1165" t="s">
        <v>443</v>
      </c>
      <c r="E114" s="1165" t="s">
        <v>954</v>
      </c>
      <c r="F114" s="1165" t="s">
        <v>955</v>
      </c>
      <c r="G114" s="1166">
        <v>352</v>
      </c>
    </row>
    <row r="115" spans="1:8" ht="15" customHeight="1">
      <c r="A115" s="1164">
        <v>40940</v>
      </c>
      <c r="B115" s="1165" t="s">
        <v>938</v>
      </c>
      <c r="C115" s="1165" t="s">
        <v>378</v>
      </c>
      <c r="D115" s="1165" t="s">
        <v>443</v>
      </c>
      <c r="E115" s="1165" t="s">
        <v>956</v>
      </c>
      <c r="F115" s="1165" t="s">
        <v>957</v>
      </c>
      <c r="G115" s="1166">
        <v>220</v>
      </c>
    </row>
    <row r="116" spans="1:8" ht="15" customHeight="1">
      <c r="A116" s="1164">
        <v>40940</v>
      </c>
      <c r="B116" s="1165" t="s">
        <v>938</v>
      </c>
      <c r="C116" s="1165" t="s">
        <v>378</v>
      </c>
      <c r="D116" s="1165" t="s">
        <v>443</v>
      </c>
      <c r="E116" s="1165" t="s">
        <v>958</v>
      </c>
      <c r="F116" s="1165" t="s">
        <v>959</v>
      </c>
      <c r="G116" s="1166">
        <v>243</v>
      </c>
    </row>
    <row r="117" spans="1:8" ht="15" customHeight="1">
      <c r="A117" s="1164">
        <v>40940</v>
      </c>
      <c r="B117" s="1165" t="s">
        <v>938</v>
      </c>
      <c r="C117" s="1165" t="s">
        <v>378</v>
      </c>
      <c r="D117" s="1165" t="s">
        <v>443</v>
      </c>
      <c r="E117" s="1165" t="s">
        <v>960</v>
      </c>
      <c r="F117" s="1165" t="s">
        <v>961</v>
      </c>
      <c r="G117" s="1166">
        <v>244</v>
      </c>
    </row>
    <row r="118" spans="1:8" ht="15" customHeight="1">
      <c r="A118" s="1164">
        <v>40940</v>
      </c>
      <c r="B118" s="1165" t="s">
        <v>938</v>
      </c>
      <c r="C118" s="1165" t="s">
        <v>378</v>
      </c>
      <c r="D118" s="1165" t="s">
        <v>443</v>
      </c>
      <c r="E118" s="1165" t="s">
        <v>962</v>
      </c>
      <c r="F118" s="1165" t="s">
        <v>963</v>
      </c>
      <c r="G118" s="1166">
        <v>421</v>
      </c>
    </row>
    <row r="119" spans="1:8" ht="15" customHeight="1">
      <c r="A119" s="1164">
        <v>40940</v>
      </c>
      <c r="B119" s="1165" t="s">
        <v>938</v>
      </c>
      <c r="C119" s="1165" t="s">
        <v>378</v>
      </c>
      <c r="D119" s="1165" t="s">
        <v>443</v>
      </c>
      <c r="E119" s="1165" t="s">
        <v>964</v>
      </c>
      <c r="F119" s="1165" t="s">
        <v>965</v>
      </c>
      <c r="G119" s="1166">
        <v>279</v>
      </c>
    </row>
    <row r="120" spans="1:8" ht="15" customHeight="1">
      <c r="A120" s="1164">
        <v>40940</v>
      </c>
      <c r="B120" s="1165" t="s">
        <v>938</v>
      </c>
      <c r="C120" s="1165" t="s">
        <v>378</v>
      </c>
      <c r="D120" s="1165" t="s">
        <v>443</v>
      </c>
      <c r="E120" s="1165" t="s">
        <v>966</v>
      </c>
      <c r="F120" s="1165" t="s">
        <v>967</v>
      </c>
      <c r="G120" s="1166">
        <v>114</v>
      </c>
    </row>
    <row r="121" spans="1:8" ht="15" customHeight="1">
      <c r="A121" s="1164">
        <v>40940</v>
      </c>
      <c r="B121" s="1165" t="s">
        <v>938</v>
      </c>
      <c r="C121" s="1165" t="s">
        <v>378</v>
      </c>
      <c r="D121" s="1165" t="s">
        <v>443</v>
      </c>
      <c r="E121" s="1165" t="s">
        <v>968</v>
      </c>
      <c r="F121" s="1165" t="s">
        <v>969</v>
      </c>
      <c r="G121" s="1166">
        <v>336</v>
      </c>
    </row>
    <row r="122" spans="1:8" ht="15" customHeight="1">
      <c r="A122" s="1164">
        <v>40940</v>
      </c>
      <c r="B122" s="1165" t="s">
        <v>938</v>
      </c>
      <c r="C122" s="1165" t="s">
        <v>378</v>
      </c>
      <c r="D122" s="1165" t="s">
        <v>443</v>
      </c>
      <c r="E122" s="1165" t="s">
        <v>970</v>
      </c>
      <c r="F122" s="1165" t="s">
        <v>971</v>
      </c>
      <c r="G122" s="1166">
        <v>17</v>
      </c>
    </row>
    <row r="123" spans="1:8" ht="15" customHeight="1">
      <c r="A123" s="1164">
        <v>40940</v>
      </c>
      <c r="B123" s="1165" t="s">
        <v>938</v>
      </c>
      <c r="C123" s="1165" t="s">
        <v>378</v>
      </c>
      <c r="D123" s="1165" t="s">
        <v>443</v>
      </c>
      <c r="E123" s="1165" t="s">
        <v>972</v>
      </c>
      <c r="F123" s="1165" t="s">
        <v>973</v>
      </c>
      <c r="G123" s="1166">
        <v>710</v>
      </c>
    </row>
    <row r="124" spans="1:8" ht="15" customHeight="1">
      <c r="A124" s="1164">
        <v>40940</v>
      </c>
      <c r="B124" s="1165" t="s">
        <v>938</v>
      </c>
      <c r="C124" s="1165" t="s">
        <v>378</v>
      </c>
      <c r="D124" s="1165" t="s">
        <v>443</v>
      </c>
      <c r="E124" s="1165" t="s">
        <v>974</v>
      </c>
      <c r="F124" s="1165" t="s">
        <v>975</v>
      </c>
      <c r="G124" s="1166">
        <v>600</v>
      </c>
    </row>
    <row r="125" spans="1:8" ht="15" customHeight="1">
      <c r="A125" s="1164">
        <v>40940</v>
      </c>
      <c r="B125" s="1165" t="s">
        <v>938</v>
      </c>
      <c r="C125" s="1165" t="s">
        <v>378</v>
      </c>
      <c r="D125" s="1165" t="s">
        <v>443</v>
      </c>
      <c r="E125" s="1165" t="s">
        <v>976</v>
      </c>
      <c r="F125" s="1165" t="s">
        <v>977</v>
      </c>
      <c r="G125" s="1166">
        <v>555</v>
      </c>
    </row>
    <row r="126" spans="1:8" ht="15" customHeight="1">
      <c r="A126" s="1164">
        <v>40940</v>
      </c>
      <c r="B126" s="1165" t="s">
        <v>938</v>
      </c>
      <c r="C126" s="1165" t="s">
        <v>378</v>
      </c>
      <c r="D126" s="1165" t="s">
        <v>443</v>
      </c>
      <c r="E126" s="1165" t="s">
        <v>978</v>
      </c>
      <c r="F126" s="1165" t="s">
        <v>979</v>
      </c>
      <c r="G126" s="1166">
        <v>523</v>
      </c>
    </row>
    <row r="127" spans="1:8" ht="15" customHeight="1">
      <c r="A127" s="1164">
        <v>40940</v>
      </c>
      <c r="B127" s="1165" t="s">
        <v>938</v>
      </c>
      <c r="C127" s="1165" t="s">
        <v>378</v>
      </c>
      <c r="D127" s="1165" t="s">
        <v>443</v>
      </c>
      <c r="E127" s="1165" t="s">
        <v>980</v>
      </c>
      <c r="F127" s="1165" t="s">
        <v>981</v>
      </c>
      <c r="G127" s="1166">
        <v>96</v>
      </c>
      <c r="H127" s="1167">
        <f>SUM(G110:G127)</f>
        <v>6114</v>
      </c>
    </row>
    <row r="128" spans="1:8" ht="15" customHeight="1">
      <c r="A128" s="1164"/>
      <c r="B128" s="1165"/>
      <c r="C128" s="1165"/>
      <c r="D128" s="1165"/>
      <c r="E128" s="1165"/>
      <c r="F128" s="1165"/>
      <c r="G128" s="1166"/>
    </row>
    <row r="129" spans="1:8" ht="15" customHeight="1">
      <c r="A129" s="1164">
        <v>40940</v>
      </c>
      <c r="B129" s="1165" t="s">
        <v>982</v>
      </c>
      <c r="C129" s="1165" t="s">
        <v>593</v>
      </c>
      <c r="D129" s="1165" t="s">
        <v>983</v>
      </c>
      <c r="E129" s="1165" t="s">
        <v>984</v>
      </c>
      <c r="F129" s="1165" t="s">
        <v>857</v>
      </c>
      <c r="G129" s="1166">
        <v>50</v>
      </c>
    </row>
    <row r="130" spans="1:8" ht="15" customHeight="1">
      <c r="A130" s="1164">
        <v>40940</v>
      </c>
      <c r="B130" s="1165" t="s">
        <v>982</v>
      </c>
      <c r="C130" s="1165" t="s">
        <v>593</v>
      </c>
      <c r="D130" s="1165" t="s">
        <v>983</v>
      </c>
      <c r="E130" s="1165" t="s">
        <v>985</v>
      </c>
      <c r="F130" s="1165" t="s">
        <v>858</v>
      </c>
      <c r="G130" s="1166">
        <v>71</v>
      </c>
    </row>
    <row r="131" spans="1:8" ht="15" customHeight="1">
      <c r="A131" s="1164">
        <v>40940</v>
      </c>
      <c r="B131" s="1165" t="s">
        <v>982</v>
      </c>
      <c r="C131" s="1165" t="s">
        <v>593</v>
      </c>
      <c r="D131" s="1165" t="s">
        <v>983</v>
      </c>
      <c r="E131" s="1165" t="s">
        <v>986</v>
      </c>
      <c r="F131" s="1165" t="s">
        <v>859</v>
      </c>
      <c r="G131" s="1166">
        <v>69</v>
      </c>
      <c r="H131" s="1167">
        <f>SUM(G129:G131)</f>
        <v>190</v>
      </c>
    </row>
    <row r="132" spans="1:8">
      <c r="G132" s="1167">
        <f>SUM(G12:G131)</f>
        <v>42416</v>
      </c>
      <c r="H132" s="1157">
        <f>SUM(H12:H131)</f>
        <v>42416</v>
      </c>
    </row>
  </sheetData>
  <pageMargins left="0.75" right="0.25" top="0.5" bottom="0.27" header="0.25" footer="0.5"/>
  <pageSetup paperSize="5" scale="74" orientation="portrait" r:id="rId1"/>
  <headerFooter alignWithMargins="0"/>
  <rowBreaks count="1" manualBreakCount="1">
    <brk id="5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"/>
  <sheetViews>
    <sheetView view="pageBreakPreview" zoomScale="90" zoomScaleNormal="70" zoomScaleSheetLayoutView="90" workbookViewId="0">
      <pane xSplit="2" ySplit="4" topLeftCell="C5" activePane="bottomRight" state="frozen"/>
      <selection activeCell="AP8" sqref="AP8:AP75"/>
      <selection pane="topRight" activeCell="AP8" sqref="AP8:AP75"/>
      <selection pane="bottomLeft" activeCell="AP8" sqref="AP8:AP75"/>
      <selection pane="bottomRight" activeCell="B1" sqref="B1:B4"/>
    </sheetView>
  </sheetViews>
  <sheetFormatPr defaultRowHeight="12.75"/>
  <cols>
    <col min="1" max="1" width="3.42578125" bestFit="1" customWidth="1"/>
    <col min="2" max="2" width="17.85546875" customWidth="1"/>
    <col min="3" max="3" width="17.7109375" customWidth="1"/>
    <col min="4" max="4" width="13.42578125" bestFit="1" customWidth="1"/>
    <col min="5" max="5" width="14.7109375" bestFit="1" customWidth="1"/>
    <col min="6" max="6" width="12.5703125" customWidth="1"/>
    <col min="7" max="7" width="12" customWidth="1"/>
    <col min="8" max="8" width="11.85546875" customWidth="1"/>
    <col min="9" max="9" width="12" customWidth="1"/>
    <col min="10" max="10" width="11.85546875" customWidth="1"/>
    <col min="11" max="11" width="12" customWidth="1"/>
    <col min="12" max="12" width="14.28515625" customWidth="1"/>
    <col min="13" max="14" width="12" customWidth="1"/>
    <col min="15" max="15" width="12.140625" customWidth="1"/>
    <col min="16" max="16" width="14" bestFit="1" customWidth="1"/>
    <col min="17" max="17" width="14.5703125" bestFit="1" customWidth="1"/>
    <col min="18" max="18" width="15.5703125" bestFit="1" customWidth="1"/>
    <col min="24" max="24" width="9.140625" style="49"/>
    <col min="33" max="33" width="9.140625" style="47"/>
  </cols>
  <sheetData>
    <row r="1" spans="1:33" ht="12" customHeight="1">
      <c r="A1" s="1812" t="s">
        <v>595</v>
      </c>
      <c r="B1" s="1812" t="s">
        <v>275</v>
      </c>
      <c r="C1" s="1805" t="s">
        <v>1320</v>
      </c>
      <c r="D1" s="1810" t="s">
        <v>1321</v>
      </c>
      <c r="E1" s="1810" t="s">
        <v>1181</v>
      </c>
      <c r="F1" s="1825" t="s">
        <v>1322</v>
      </c>
      <c r="G1" s="1825" t="s">
        <v>1175</v>
      </c>
      <c r="H1" s="1825" t="s">
        <v>1167</v>
      </c>
      <c r="I1" s="1825" t="s">
        <v>1168</v>
      </c>
      <c r="J1" s="1825" t="s">
        <v>1169</v>
      </c>
      <c r="K1" s="1825" t="s">
        <v>1170</v>
      </c>
      <c r="L1" s="1825" t="s">
        <v>1171</v>
      </c>
      <c r="M1" s="1825" t="s">
        <v>1172</v>
      </c>
      <c r="N1" s="1825" t="s">
        <v>1173</v>
      </c>
      <c r="O1" s="1825" t="s">
        <v>1174</v>
      </c>
      <c r="P1" s="1828" t="s">
        <v>1180</v>
      </c>
      <c r="Q1" s="1831" t="s">
        <v>1097</v>
      </c>
      <c r="R1" s="1825" t="s">
        <v>1098</v>
      </c>
      <c r="X1"/>
      <c r="AG1"/>
    </row>
    <row r="2" spans="1:33" ht="21" customHeight="1">
      <c r="A2" s="1807"/>
      <c r="B2" s="1807"/>
      <c r="C2" s="1805"/>
      <c r="D2" s="1799"/>
      <c r="E2" s="1799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9"/>
      <c r="Q2" s="1832"/>
      <c r="R2" s="1826"/>
      <c r="X2"/>
      <c r="AG2"/>
    </row>
    <row r="3" spans="1:33" ht="24" customHeight="1">
      <c r="A3" s="1807"/>
      <c r="B3" s="1807"/>
      <c r="C3" s="1805"/>
      <c r="D3" s="1799"/>
      <c r="E3" s="1799"/>
      <c r="F3" s="1826"/>
      <c r="G3" s="1826"/>
      <c r="H3" s="1826"/>
      <c r="I3" s="1826"/>
      <c r="J3" s="1826"/>
      <c r="K3" s="1826"/>
      <c r="L3" s="1826"/>
      <c r="M3" s="1826"/>
      <c r="N3" s="1826"/>
      <c r="O3" s="1826"/>
      <c r="P3" s="1829"/>
      <c r="Q3" s="1832"/>
      <c r="R3" s="1826"/>
      <c r="X3"/>
      <c r="AG3"/>
    </row>
    <row r="4" spans="1:33" ht="130.5" customHeight="1">
      <c r="A4" s="1808"/>
      <c r="B4" s="1808"/>
      <c r="C4" s="1805"/>
      <c r="D4" s="1800"/>
      <c r="E4" s="1800"/>
      <c r="F4" s="1827"/>
      <c r="G4" s="1827"/>
      <c r="H4" s="1827"/>
      <c r="I4" s="1827"/>
      <c r="J4" s="1827"/>
      <c r="K4" s="1827"/>
      <c r="L4" s="1827"/>
      <c r="M4" s="1827"/>
      <c r="N4" s="1827"/>
      <c r="O4" s="1827"/>
      <c r="P4" s="1830"/>
      <c r="Q4" s="1833"/>
      <c r="R4" s="1827"/>
      <c r="X4"/>
      <c r="AG4"/>
    </row>
    <row r="5" spans="1:33" s="738" customFormat="1">
      <c r="A5" s="735"/>
      <c r="B5" s="736"/>
      <c r="C5" s="737">
        <v>1</v>
      </c>
      <c r="D5" s="737">
        <v>1</v>
      </c>
      <c r="E5" s="737">
        <f t="shared" ref="E5:H5" si="0">1+D5</f>
        <v>2</v>
      </c>
      <c r="F5" s="737">
        <f t="shared" si="0"/>
        <v>3</v>
      </c>
      <c r="G5" s="737">
        <f t="shared" si="0"/>
        <v>4</v>
      </c>
      <c r="H5" s="737">
        <f t="shared" si="0"/>
        <v>5</v>
      </c>
      <c r="I5" s="737">
        <f t="shared" ref="I5" si="1">H5+1</f>
        <v>6</v>
      </c>
      <c r="J5" s="737">
        <f t="shared" ref="J5" si="2">I5+1</f>
        <v>7</v>
      </c>
      <c r="K5" s="737">
        <f t="shared" ref="K5" si="3">J5+1</f>
        <v>8</v>
      </c>
      <c r="L5" s="737">
        <f t="shared" ref="L5" si="4">K5+1</f>
        <v>9</v>
      </c>
      <c r="M5" s="737">
        <f t="shared" ref="M5" si="5">L5+1</f>
        <v>10</v>
      </c>
      <c r="N5" s="737">
        <f t="shared" ref="N5" si="6">M5+1</f>
        <v>11</v>
      </c>
      <c r="O5" s="737">
        <f t="shared" ref="O5:P5" si="7">N5+1</f>
        <v>12</v>
      </c>
      <c r="P5" s="737">
        <f t="shared" si="7"/>
        <v>13</v>
      </c>
      <c r="Q5" s="737">
        <f t="shared" ref="Q5" si="8">P5+1</f>
        <v>14</v>
      </c>
      <c r="R5" s="737">
        <f t="shared" ref="R5" si="9">Q5+1</f>
        <v>15</v>
      </c>
    </row>
    <row r="6" spans="1:33">
      <c r="A6" s="101">
        <v>1</v>
      </c>
      <c r="B6" s="1102" t="s">
        <v>102</v>
      </c>
      <c r="C6" s="713">
        <f>'Table 2_State with Midyear Adjs'!AS7</f>
        <v>51918950</v>
      </c>
      <c r="D6" s="1103"/>
      <c r="E6" s="1103"/>
      <c r="F6" s="1103">
        <f>-'Table 5C1A-Madison Prep'!AA7-'Table 5C1A-Madison Prep'!AD7</f>
        <v>0</v>
      </c>
      <c r="G6" s="354">
        <f>-'Table 5C1B-DArbonne'!AA7-'Table 5C1B-DArbonne'!AD7</f>
        <v>0</v>
      </c>
      <c r="H6" s="1103">
        <f>-'Table 5C1C-Intl_VIBE'!AA7-'Table 5C1C-Intl_VIBE'!AD7</f>
        <v>0</v>
      </c>
      <c r="I6" s="354">
        <f>-'Table 5C1D-NOMMA'!AA7-'Table 5C1D-NOMMA'!AD7</f>
        <v>0</v>
      </c>
      <c r="J6" s="1103">
        <f>-'Table 5C1E-LFNO'!AC7-'Table 5C1E-LFNO'!AF7</f>
        <v>0</v>
      </c>
      <c r="K6" s="1222">
        <f>-'Table 5C1F-Lake Charles Charter'!AA7-'Table 5C1F-Lake Charles Charter'!AD7</f>
        <v>0</v>
      </c>
      <c r="L6" s="354">
        <f>-'Table 5C1G-JS Clark Academy'!AA7-'Table 5C1G-JS Clark Academy'!AD7</f>
        <v>0</v>
      </c>
      <c r="M6" s="354">
        <f>-'Table 5C1H-Southwest LA Charter'!AA7-'Table 5C1H-Southwest LA Charter'!AD7</f>
        <v>0</v>
      </c>
      <c r="N6" s="354">
        <f>-'Table 5C2 - LA Virtual Admy'!AB5-'Table 5C2 - LA Virtual Admy'!AE5</f>
        <v>-26728.2</v>
      </c>
      <c r="O6" s="354">
        <f>-'Table 5C3 - LA Connections EBR'!AB5-'Table 5C3 - LA Connections EBR'!AE5</f>
        <v>-49491</v>
      </c>
      <c r="P6" s="354">
        <f>-'Table 5E_OJJ'!AB7-'Table 5E_OJJ'!AC7</f>
        <v>-4682.4941462884135</v>
      </c>
      <c r="Q6" s="354">
        <f t="shared" ref="Q6:Q37" si="10">SUM(D6:P6)</f>
        <v>-80901.694146288413</v>
      </c>
      <c r="R6" s="739">
        <f t="shared" ref="R6:R37" si="11">SUM(C6:P6)</f>
        <v>51838048.30585371</v>
      </c>
      <c r="X6"/>
      <c r="AG6"/>
    </row>
    <row r="7" spans="1:33">
      <c r="A7" s="101">
        <v>2</v>
      </c>
      <c r="B7" s="1102" t="s">
        <v>103</v>
      </c>
      <c r="C7" s="713">
        <f>'Table 2_State with Midyear Adjs'!AS8</f>
        <v>28584366</v>
      </c>
      <c r="D7" s="1103"/>
      <c r="E7" s="1103"/>
      <c r="F7" s="1103">
        <f>-'Table 5C1A-Madison Prep'!AA8-'Table 5C1A-Madison Prep'!AD8</f>
        <v>0</v>
      </c>
      <c r="G7" s="1103">
        <f>-'Table 5C1B-DArbonne'!AA8-'Table 5C1B-DArbonne'!AD8</f>
        <v>0</v>
      </c>
      <c r="H7" s="1103">
        <f>-'Table 5C1C-Intl_VIBE'!AA8-'Table 5C1C-Intl_VIBE'!AD8</f>
        <v>0</v>
      </c>
      <c r="I7" s="1103">
        <f>-'Table 5C1D-NOMMA'!AA8-'Table 5C1D-NOMMA'!AD8</f>
        <v>0</v>
      </c>
      <c r="J7" s="1103">
        <f>-'Table 5C1E-LFNO'!AC8-'Table 5C1E-LFNO'!AF8</f>
        <v>0</v>
      </c>
      <c r="K7" s="1103">
        <f>-'Table 5C1F-Lake Charles Charter'!AA8-'Table 5C1F-Lake Charles Charter'!AD8</f>
        <v>0</v>
      </c>
      <c r="L7" s="354">
        <f>-'Table 5C1G-JS Clark Academy'!AA8-'Table 5C1G-JS Clark Academy'!AD8</f>
        <v>0</v>
      </c>
      <c r="M7" s="354">
        <f>-'Table 5C1H-Southwest LA Charter'!AA8-'Table 5C1H-Southwest LA Charter'!AD8</f>
        <v>0</v>
      </c>
      <c r="N7" s="354">
        <f>-'Table 5C2 - LA Virtual Admy'!AB6-'Table 5C2 - LA Virtual Admy'!AE6</f>
        <v>-11627.999999999998</v>
      </c>
      <c r="O7" s="354">
        <f>-'Table 5C3 - LA Connections EBR'!AB6-'Table 5C3 - LA Connections EBR'!AE6</f>
        <v>-10465.200000000001</v>
      </c>
      <c r="P7" s="354">
        <f>-'Table 5E_OJJ'!AB8-'Table 5E_OJJ'!AC8</f>
        <v>0</v>
      </c>
      <c r="Q7" s="354">
        <f t="shared" si="10"/>
        <v>-22093.199999999997</v>
      </c>
      <c r="R7" s="739">
        <f t="shared" si="11"/>
        <v>28562272.800000001</v>
      </c>
      <c r="X7"/>
      <c r="AG7"/>
    </row>
    <row r="8" spans="1:33">
      <c r="A8" s="101">
        <v>3</v>
      </c>
      <c r="B8" s="1102" t="s">
        <v>104</v>
      </c>
      <c r="C8" s="713">
        <f>'Table 2_State with Midyear Adjs'!AS9</f>
        <v>101230207</v>
      </c>
      <c r="D8" s="1103"/>
      <c r="E8" s="1103"/>
      <c r="F8" s="1103">
        <f>-'Table 5C1A-Madison Prep'!AA9-'Table 5C1A-Madison Prep'!AD9</f>
        <v>0</v>
      </c>
      <c r="G8" s="1103">
        <f>-'Table 5C1B-DArbonne'!AA9-'Table 5C1B-DArbonne'!AD9</f>
        <v>0</v>
      </c>
      <c r="H8" s="1103">
        <f>-'Table 5C1C-Intl_VIBE'!AA9-'Table 5C1C-Intl_VIBE'!AD9</f>
        <v>0</v>
      </c>
      <c r="I8" s="1103">
        <f>-'Table 5C1D-NOMMA'!AA9-'Table 5C1D-NOMMA'!AD9</f>
        <v>0</v>
      </c>
      <c r="J8" s="1103">
        <f>-'Table 5C1E-LFNO'!AC9-'Table 5C1E-LFNO'!AF9</f>
        <v>0</v>
      </c>
      <c r="K8" s="1103">
        <f>-'Table 5C1F-Lake Charles Charter'!AA9-'Table 5C1F-Lake Charles Charter'!AD9</f>
        <v>0</v>
      </c>
      <c r="L8" s="354">
        <f>-'Table 5C1G-JS Clark Academy'!AA9-'Table 5C1G-JS Clark Academy'!AD9</f>
        <v>0</v>
      </c>
      <c r="M8" s="354">
        <f>-'Table 5C1H-Southwest LA Charter'!AA9-'Table 5C1H-Southwest LA Charter'!AD9</f>
        <v>0</v>
      </c>
      <c r="N8" s="354">
        <f>-'Table 5C2 - LA Virtual Admy'!AB7-'Table 5C2 - LA Virtual Admy'!AE7</f>
        <v>-206047.8</v>
      </c>
      <c r="O8" s="354">
        <f>-'Table 5C3 - LA Connections EBR'!AB7-'Table 5C3 - LA Connections EBR'!AE7</f>
        <v>-118701.45</v>
      </c>
      <c r="P8" s="354">
        <f>-'Table 5E_OJJ'!AB9-'Table 5E_OJJ'!AC9</f>
        <v>-6618.2600817526945</v>
      </c>
      <c r="Q8" s="354">
        <f t="shared" si="10"/>
        <v>-331367.51008175267</v>
      </c>
      <c r="R8" s="739">
        <f t="shared" si="11"/>
        <v>100898839.48991825</v>
      </c>
      <c r="X8"/>
      <c r="AG8"/>
    </row>
    <row r="9" spans="1:33">
      <c r="A9" s="101">
        <v>4</v>
      </c>
      <c r="B9" s="1102" t="s">
        <v>105</v>
      </c>
      <c r="C9" s="713">
        <f>'Table 2_State with Midyear Adjs'!AS10</f>
        <v>23539288</v>
      </c>
      <c r="D9" s="1103"/>
      <c r="E9" s="1103"/>
      <c r="F9" s="1103">
        <f>-'Table 5C1A-Madison Prep'!AA10-'Table 5C1A-Madison Prep'!AD10</f>
        <v>0</v>
      </c>
      <c r="G9" s="1103">
        <f>-'Table 5C1B-DArbonne'!AA10-'Table 5C1B-DArbonne'!AD10</f>
        <v>0</v>
      </c>
      <c r="H9" s="1103">
        <f>-'Table 5C1C-Intl_VIBE'!AA10-'Table 5C1C-Intl_VIBE'!AD10</f>
        <v>0</v>
      </c>
      <c r="I9" s="1103">
        <f>-'Table 5C1D-NOMMA'!AA10-'Table 5C1D-NOMMA'!AD10</f>
        <v>0</v>
      </c>
      <c r="J9" s="1103">
        <f>-'Table 5C1E-LFNO'!AC10-'Table 5C1E-LFNO'!AF10</f>
        <v>0</v>
      </c>
      <c r="K9" s="1103">
        <f>-'Table 5C1F-Lake Charles Charter'!AA10-'Table 5C1F-Lake Charles Charter'!AD10</f>
        <v>0</v>
      </c>
      <c r="L9" s="354">
        <f>-'Table 5C1G-JS Clark Academy'!AA10-'Table 5C1G-JS Clark Academy'!AD10</f>
        <v>0</v>
      </c>
      <c r="M9" s="354">
        <f>-'Table 5C1H-Southwest LA Charter'!AA10-'Table 5C1H-Southwest LA Charter'!AD10</f>
        <v>0</v>
      </c>
      <c r="N9" s="354">
        <f>-'Table 5C2 - LA Virtual Admy'!AB8-'Table 5C2 - LA Virtual Admy'!AE8</f>
        <v>-9328.5</v>
      </c>
      <c r="O9" s="354">
        <f>-'Table 5C3 - LA Connections EBR'!AB8-'Table 5C3 - LA Connections EBR'!AE8</f>
        <v>-20211.75</v>
      </c>
      <c r="P9" s="354">
        <f>-'Table 5E_OJJ'!AB10-'Table 5E_OJJ'!AC10</f>
        <v>-2527.0971950748353</v>
      </c>
      <c r="Q9" s="354">
        <f t="shared" si="10"/>
        <v>-32067.347195074835</v>
      </c>
      <c r="R9" s="739">
        <f t="shared" si="11"/>
        <v>23507220.652804926</v>
      </c>
      <c r="X9"/>
      <c r="AG9"/>
    </row>
    <row r="10" spans="1:33">
      <c r="A10" s="102">
        <v>5</v>
      </c>
      <c r="B10" s="1104" t="s">
        <v>106</v>
      </c>
      <c r="C10" s="714">
        <f>'Table 2_State with Midyear Adjs'!AS11</f>
        <v>31263602</v>
      </c>
      <c r="D10" s="1105"/>
      <c r="E10" s="1105"/>
      <c r="F10" s="1105">
        <f>-'Table 5C1A-Madison Prep'!AA11-'Table 5C1A-Madison Prep'!AD11</f>
        <v>0</v>
      </c>
      <c r="G10" s="1105">
        <f>-'Table 5C1B-DArbonne'!AA11-'Table 5C1B-DArbonne'!AD11</f>
        <v>0</v>
      </c>
      <c r="H10" s="1105">
        <f>-'Table 5C1C-Intl_VIBE'!AA11-'Table 5C1C-Intl_VIBE'!AD11</f>
        <v>0</v>
      </c>
      <c r="I10" s="1105">
        <f>-'Table 5C1D-NOMMA'!AA11-'Table 5C1D-NOMMA'!AD11</f>
        <v>0</v>
      </c>
      <c r="J10" s="1105">
        <f>-'Table 5C1E-LFNO'!AC11-'Table 5C1E-LFNO'!AF11</f>
        <v>0</v>
      </c>
      <c r="K10" s="1105">
        <f>-'Table 5C1F-Lake Charles Charter'!AA11-'Table 5C1F-Lake Charles Charter'!AD11</f>
        <v>0</v>
      </c>
      <c r="L10" s="355">
        <f>-'Table 5C1G-JS Clark Academy'!AA11-'Table 5C1G-JS Clark Academy'!AD11</f>
        <v>0</v>
      </c>
      <c r="M10" s="355">
        <f>-'Table 5C1H-Southwest LA Charter'!AA11-'Table 5C1H-Southwest LA Charter'!AD11</f>
        <v>0</v>
      </c>
      <c r="N10" s="355">
        <f>-'Table 5C2 - LA Virtual Admy'!AB9-'Table 5C2 - LA Virtual Admy'!AE9</f>
        <v>-29315.25</v>
      </c>
      <c r="O10" s="355">
        <f>-'Table 5C3 - LA Connections EBR'!AB9-'Table 5C3 - LA Connections EBR'!AE9</f>
        <v>-25906.5</v>
      </c>
      <c r="P10" s="355">
        <f>-'Table 5E_OJJ'!AB11-'Table 5E_OJJ'!AC11</f>
        <v>-5475.4010705535184</v>
      </c>
      <c r="Q10" s="355">
        <f t="shared" si="10"/>
        <v>-60697.151070553518</v>
      </c>
      <c r="R10" s="740">
        <f t="shared" si="11"/>
        <v>31202904.848929446</v>
      </c>
      <c r="X10"/>
      <c r="AG10"/>
    </row>
    <row r="11" spans="1:33">
      <c r="A11" s="101">
        <v>6</v>
      </c>
      <c r="B11" s="1102" t="s">
        <v>107</v>
      </c>
      <c r="C11" s="713">
        <f>'Table 2_State with Midyear Adjs'!AS12</f>
        <v>36549883</v>
      </c>
      <c r="D11" s="1103"/>
      <c r="E11" s="1103"/>
      <c r="F11" s="1103">
        <f>-'Table 5C1A-Madison Prep'!AA12-'Table 5C1A-Madison Prep'!AD12</f>
        <v>0</v>
      </c>
      <c r="G11" s="1103">
        <f>-'Table 5C1B-DArbonne'!AA12-'Table 5C1B-DArbonne'!AD12</f>
        <v>0</v>
      </c>
      <c r="H11" s="1103">
        <f>-'Table 5C1C-Intl_VIBE'!AA12-'Table 5C1C-Intl_VIBE'!AD12</f>
        <v>0</v>
      </c>
      <c r="I11" s="1103">
        <f>-'Table 5C1D-NOMMA'!AA12-'Table 5C1D-NOMMA'!AD12</f>
        <v>0</v>
      </c>
      <c r="J11" s="1103">
        <f>-'Table 5C1E-LFNO'!AC12-'Table 5C1E-LFNO'!AF12</f>
        <v>0</v>
      </c>
      <c r="K11" s="1103">
        <f>-'Table 5C1F-Lake Charles Charter'!AA12-'Table 5C1F-Lake Charles Charter'!AD12</f>
        <v>0</v>
      </c>
      <c r="L11" s="354">
        <f>-'Table 5C1G-JS Clark Academy'!AA12-'Table 5C1G-JS Clark Academy'!AD12</f>
        <v>0</v>
      </c>
      <c r="M11" s="354">
        <f>-'Table 5C1H-Southwest LA Charter'!AA12-'Table 5C1H-Southwest LA Charter'!AD12</f>
        <v>0</v>
      </c>
      <c r="N11" s="354">
        <f>-'Table 5C2 - LA Virtual Admy'!AB10-'Table 5C2 - LA Virtual Admy'!AE10</f>
        <v>-59590.35</v>
      </c>
      <c r="O11" s="354">
        <f>-'Table 5C3 - LA Connections EBR'!AB10-'Table 5C3 - LA Connections EBR'!AE10</f>
        <v>-48316.5</v>
      </c>
      <c r="P11" s="354">
        <f>-'Table 5E_OJJ'!AB12-'Table 5E_OJJ'!AC12</f>
        <v>-5172.9081704595465</v>
      </c>
      <c r="Q11" s="354">
        <f t="shared" si="10"/>
        <v>-113079.75817045955</v>
      </c>
      <c r="R11" s="739">
        <f t="shared" si="11"/>
        <v>36436803.241829537</v>
      </c>
      <c r="X11"/>
      <c r="AG11"/>
    </row>
    <row r="12" spans="1:33">
      <c r="A12" s="101">
        <v>7</v>
      </c>
      <c r="B12" s="1102" t="s">
        <v>108</v>
      </c>
      <c r="C12" s="713">
        <f>'Table 2_State with Midyear Adjs'!AS13</f>
        <v>5099409</v>
      </c>
      <c r="D12" s="1103"/>
      <c r="E12" s="1103"/>
      <c r="F12" s="1103">
        <f>-'Table 5C1A-Madison Prep'!AA13-'Table 5C1A-Madison Prep'!AD13</f>
        <v>0</v>
      </c>
      <c r="G12" s="1103">
        <f>-'Table 5C1B-DArbonne'!AA13-'Table 5C1B-DArbonne'!AD13</f>
        <v>0</v>
      </c>
      <c r="H12" s="1103">
        <f>-'Table 5C1C-Intl_VIBE'!AA13-'Table 5C1C-Intl_VIBE'!AD13</f>
        <v>0</v>
      </c>
      <c r="I12" s="1103">
        <f>-'Table 5C1D-NOMMA'!AA13-'Table 5C1D-NOMMA'!AD13</f>
        <v>0</v>
      </c>
      <c r="J12" s="1103">
        <f>-'Table 5C1E-LFNO'!AC13-'Table 5C1E-LFNO'!AF13</f>
        <v>0</v>
      </c>
      <c r="K12" s="1103">
        <f>-'Table 5C1F-Lake Charles Charter'!AA13-'Table 5C1F-Lake Charles Charter'!AD13</f>
        <v>0</v>
      </c>
      <c r="L12" s="354">
        <f>-'Table 5C1G-JS Clark Academy'!AA13-'Table 5C1G-JS Clark Academy'!AD13</f>
        <v>0</v>
      </c>
      <c r="M12" s="354">
        <f>-'Table 5C1H-Southwest LA Charter'!AA13-'Table 5C1H-Southwest LA Charter'!AD13</f>
        <v>0</v>
      </c>
      <c r="N12" s="354">
        <f>-'Table 5C2 - LA Virtual Admy'!AB11-'Table 5C2 - LA Virtual Admy'!AE11</f>
        <v>-61790.85</v>
      </c>
      <c r="O12" s="354">
        <f>-'Table 5C3 - LA Connections EBR'!AB11-'Table 5C3 - LA Connections EBR'!AE11</f>
        <v>-157285.80000000002</v>
      </c>
      <c r="P12" s="354">
        <f>-'Table 5E_OJJ'!AB13-'Table 5E_OJJ'!AC13</f>
        <v>0</v>
      </c>
      <c r="Q12" s="354">
        <f t="shared" si="10"/>
        <v>-219076.65000000002</v>
      </c>
      <c r="R12" s="739">
        <f t="shared" si="11"/>
        <v>4880332.3500000006</v>
      </c>
      <c r="X12"/>
      <c r="AG12"/>
    </row>
    <row r="13" spans="1:33">
      <c r="A13" s="101">
        <v>8</v>
      </c>
      <c r="B13" s="1102" t="s">
        <v>109</v>
      </c>
      <c r="C13" s="713">
        <f>'Table 2_State with Midyear Adjs'!AS14</f>
        <v>101220745</v>
      </c>
      <c r="D13" s="1103"/>
      <c r="E13" s="1103"/>
      <c r="F13" s="1103">
        <f>-'Table 5C1A-Madison Prep'!AA14-'Table 5C1A-Madison Prep'!AD14</f>
        <v>0</v>
      </c>
      <c r="G13" s="1103">
        <f>-'Table 5C1B-DArbonne'!AA14-'Table 5C1B-DArbonne'!AD14</f>
        <v>0</v>
      </c>
      <c r="H13" s="1103">
        <f>-'Table 5C1C-Intl_VIBE'!AA14-'Table 5C1C-Intl_VIBE'!AD14</f>
        <v>0</v>
      </c>
      <c r="I13" s="1103">
        <f>-'Table 5C1D-NOMMA'!AA14-'Table 5C1D-NOMMA'!AD14</f>
        <v>0</v>
      </c>
      <c r="J13" s="1103">
        <f>-'Table 5C1E-LFNO'!AC14-'Table 5C1E-LFNO'!AF14</f>
        <v>0</v>
      </c>
      <c r="K13" s="1103">
        <f>-'Table 5C1F-Lake Charles Charter'!AA14-'Table 5C1F-Lake Charles Charter'!AD14</f>
        <v>0</v>
      </c>
      <c r="L13" s="354">
        <f>-'Table 5C1G-JS Clark Academy'!AA14-'Table 5C1G-JS Clark Academy'!AD14</f>
        <v>0</v>
      </c>
      <c r="M13" s="354">
        <f>-'Table 5C1H-Southwest LA Charter'!AA14-'Table 5C1H-Southwest LA Charter'!AD14</f>
        <v>0</v>
      </c>
      <c r="N13" s="354">
        <f>-'Table 5C2 - LA Virtual Admy'!AB12-'Table 5C2 - LA Virtual Admy'!AE12</f>
        <v>-156294.45000000001</v>
      </c>
      <c r="O13" s="354">
        <f>-'Table 5C3 - LA Connections EBR'!AB12-'Table 5C3 - LA Connections EBR'!AE12</f>
        <v>-218561.40000000002</v>
      </c>
      <c r="P13" s="354">
        <f>-'Table 5E_OJJ'!AB14-'Table 5E_OJJ'!AC14</f>
        <v>-18766.051352595521</v>
      </c>
      <c r="Q13" s="354">
        <f t="shared" si="10"/>
        <v>-393621.90135259554</v>
      </c>
      <c r="R13" s="739">
        <f t="shared" si="11"/>
        <v>100827123.0986474</v>
      </c>
      <c r="X13"/>
      <c r="AG13"/>
    </row>
    <row r="14" spans="1:33">
      <c r="A14" s="101">
        <v>9</v>
      </c>
      <c r="B14" s="1102" t="s">
        <v>110</v>
      </c>
      <c r="C14" s="713">
        <f>'Table 2_State with Midyear Adjs'!AS15</f>
        <v>201830951</v>
      </c>
      <c r="D14" s="1103">
        <f>-'Table 5B2_RSD_LA'!AC30-'Table 5B2_RSD_LA'!AH30</f>
        <v>-2606153</v>
      </c>
      <c r="E14" s="1103"/>
      <c r="F14" s="1103">
        <f>-'Table 5C1A-Madison Prep'!AA15-'Table 5C1A-Madison Prep'!AD15</f>
        <v>0</v>
      </c>
      <c r="G14" s="1103">
        <f>-'Table 5C1B-DArbonne'!AA15-'Table 5C1B-DArbonne'!AD15</f>
        <v>0</v>
      </c>
      <c r="H14" s="1103">
        <f>-'Table 5C1C-Intl_VIBE'!AA15-'Table 5C1C-Intl_VIBE'!AD15</f>
        <v>0</v>
      </c>
      <c r="I14" s="1103">
        <f>-'Table 5C1D-NOMMA'!AA15-'Table 5C1D-NOMMA'!AD15</f>
        <v>0</v>
      </c>
      <c r="J14" s="1103">
        <f>-'Table 5C1E-LFNO'!AC15-'Table 5C1E-LFNO'!AF15</f>
        <v>0</v>
      </c>
      <c r="K14" s="1103">
        <f>-'Table 5C1F-Lake Charles Charter'!AA15-'Table 5C1F-Lake Charles Charter'!AD15</f>
        <v>0</v>
      </c>
      <c r="L14" s="354">
        <f>-'Table 5C1G-JS Clark Academy'!AA15-'Table 5C1G-JS Clark Academy'!AD15</f>
        <v>0</v>
      </c>
      <c r="M14" s="354">
        <f>-'Table 5C1H-Southwest LA Charter'!AA15-'Table 5C1H-Southwest LA Charter'!AD15</f>
        <v>0</v>
      </c>
      <c r="N14" s="354">
        <f>-'Table 5C2 - LA Virtual Admy'!AB13-'Table 5C2 - LA Virtual Admy'!AE13</f>
        <v>-380815.20000000007</v>
      </c>
      <c r="O14" s="354">
        <f>-'Table 5C3 - LA Connections EBR'!AB13-'Table 5C3 - LA Connections EBR'!AE13</f>
        <v>-244769.85000000003</v>
      </c>
      <c r="P14" s="354">
        <f>-'Table 5E_OJJ'!AB15-'Table 5E_OJJ'!AC15</f>
        <v>-113065.0999043645</v>
      </c>
      <c r="Q14" s="354">
        <f t="shared" si="10"/>
        <v>-3344803.1499043647</v>
      </c>
      <c r="R14" s="739">
        <f t="shared" si="11"/>
        <v>198486147.85009566</v>
      </c>
      <c r="X14"/>
      <c r="AG14"/>
    </row>
    <row r="15" spans="1:33">
      <c r="A15" s="102">
        <v>10</v>
      </c>
      <c r="B15" s="1104" t="s">
        <v>111</v>
      </c>
      <c r="C15" s="714">
        <f>'Table 2_State with Midyear Adjs'!AS16</f>
        <v>151409105</v>
      </c>
      <c r="D15" s="1105"/>
      <c r="E15" s="1105"/>
      <c r="F15" s="1105">
        <f>-'Table 5C1A-Madison Prep'!AA16-'Table 5C1A-Madison Prep'!AD16</f>
        <v>0</v>
      </c>
      <c r="G15" s="1105">
        <f>-'Table 5C1B-DArbonne'!AA16-'Table 5C1B-DArbonne'!AD16</f>
        <v>0</v>
      </c>
      <c r="H15" s="1105">
        <f>-'Table 5C1C-Intl_VIBE'!AA16-'Table 5C1C-Intl_VIBE'!AD16</f>
        <v>0</v>
      </c>
      <c r="I15" s="1105">
        <f>-'Table 5C1D-NOMMA'!AA16-'Table 5C1D-NOMMA'!AD16</f>
        <v>0</v>
      </c>
      <c r="J15" s="1105">
        <f>-'Table 5C1E-LFNO'!AC16-'Table 5C1E-LFNO'!AF16</f>
        <v>0</v>
      </c>
      <c r="K15" s="1105">
        <f>-'Table 5C1F-Lake Charles Charter'!AA16-'Table 5C1F-Lake Charles Charter'!AD16</f>
        <v>-3368767.5</v>
      </c>
      <c r="L15" s="355">
        <f>-'Table 5C1G-JS Clark Academy'!AA16-'Table 5C1G-JS Clark Academy'!AD16</f>
        <v>0</v>
      </c>
      <c r="M15" s="355">
        <f>-'Table 5C1H-Southwest LA Charter'!AA16-'Table 5C1H-Southwest LA Charter'!AD16</f>
        <v>-2379892.5</v>
      </c>
      <c r="N15" s="355">
        <f>-'Table 5C2 - LA Virtual Admy'!AB14-'Table 5C2 - LA Virtual Admy'!AE14</f>
        <v>-231396.75</v>
      </c>
      <c r="O15" s="355">
        <f>-'Table 5C3 - LA Connections EBR'!AB14-'Table 5C3 - LA Connections EBR'!AE14</f>
        <v>-209641.5</v>
      </c>
      <c r="P15" s="355">
        <f>-'Table 5E_OJJ'!AB16-'Table 5E_OJJ'!AC16</f>
        <v>-29840.533349438785</v>
      </c>
      <c r="Q15" s="355">
        <f t="shared" si="10"/>
        <v>-6219538.7833494386</v>
      </c>
      <c r="R15" s="740">
        <f t="shared" si="11"/>
        <v>145189566.21665058</v>
      </c>
      <c r="X15"/>
      <c r="AG15"/>
    </row>
    <row r="16" spans="1:33">
      <c r="A16" s="101">
        <v>11</v>
      </c>
      <c r="B16" s="1102" t="s">
        <v>112</v>
      </c>
      <c r="C16" s="713">
        <f>'Table 2_State with Midyear Adjs'!AS17</f>
        <v>11588718</v>
      </c>
      <c r="D16" s="1103"/>
      <c r="E16" s="1103"/>
      <c r="F16" s="1103">
        <f>-'Table 5C1A-Madison Prep'!AA17-'Table 5C1A-Madison Prep'!AD17</f>
        <v>0</v>
      </c>
      <c r="G16" s="1103">
        <f>-'Table 5C1B-DArbonne'!AA17-'Table 5C1B-DArbonne'!AD17</f>
        <v>0</v>
      </c>
      <c r="H16" s="1103">
        <f>-'Table 5C1C-Intl_VIBE'!AA17-'Table 5C1C-Intl_VIBE'!AD17</f>
        <v>0</v>
      </c>
      <c r="I16" s="1103">
        <f>-'Table 5C1D-NOMMA'!AA17-'Table 5C1D-NOMMA'!AD17</f>
        <v>0</v>
      </c>
      <c r="J16" s="1103">
        <f>-'Table 5C1E-LFNO'!AC17-'Table 5C1E-LFNO'!AF17</f>
        <v>0</v>
      </c>
      <c r="K16" s="1103">
        <f>-'Table 5C1F-Lake Charles Charter'!AA17-'Table 5C1F-Lake Charles Charter'!AD17</f>
        <v>0</v>
      </c>
      <c r="L16" s="354">
        <f>-'Table 5C1G-JS Clark Academy'!AA17-'Table 5C1G-JS Clark Academy'!AD17</f>
        <v>0</v>
      </c>
      <c r="M16" s="354">
        <f>-'Table 5C1H-Southwest LA Charter'!AA17-'Table 5C1H-Southwest LA Charter'!AD17</f>
        <v>0</v>
      </c>
      <c r="N16" s="354">
        <f>-'Table 5C2 - LA Virtual Admy'!AB15-'Table 5C2 - LA Virtual Admy'!AE15</f>
        <v>-23287.5</v>
      </c>
      <c r="O16" s="354">
        <f>-'Table 5C3 - LA Connections EBR'!AB15-'Table 5C3 - LA Connections EBR'!AE15</f>
        <v>-4657.5</v>
      </c>
      <c r="P16" s="354">
        <f>-'Table 5E_OJJ'!AB17-'Table 5E_OJJ'!AC17</f>
        <v>0</v>
      </c>
      <c r="Q16" s="354">
        <f t="shared" si="10"/>
        <v>-27945</v>
      </c>
      <c r="R16" s="739">
        <f t="shared" si="11"/>
        <v>11560773</v>
      </c>
      <c r="X16"/>
      <c r="AG16"/>
    </row>
    <row r="17" spans="1:33">
      <c r="A17" s="101">
        <v>12</v>
      </c>
      <c r="B17" s="1102" t="s">
        <v>113</v>
      </c>
      <c r="C17" s="713">
        <f>'Table 2_State with Midyear Adjs'!AS18</f>
        <v>3497504</v>
      </c>
      <c r="D17" s="1103"/>
      <c r="E17" s="1103"/>
      <c r="F17" s="1103">
        <f>-'Table 5C1A-Madison Prep'!AA18-'Table 5C1A-Madison Prep'!AD18</f>
        <v>0</v>
      </c>
      <c r="G17" s="1103">
        <f>-'Table 5C1B-DArbonne'!AA18-'Table 5C1B-DArbonne'!AD18</f>
        <v>0</v>
      </c>
      <c r="H17" s="1103">
        <f>-'Table 5C1C-Intl_VIBE'!AA18-'Table 5C1C-Intl_VIBE'!AD18</f>
        <v>0</v>
      </c>
      <c r="I17" s="1103">
        <f>-'Table 5C1D-NOMMA'!AA18-'Table 5C1D-NOMMA'!AD18</f>
        <v>0</v>
      </c>
      <c r="J17" s="1103">
        <f>-'Table 5C1E-LFNO'!AC18-'Table 5C1E-LFNO'!AF18</f>
        <v>0</v>
      </c>
      <c r="K17" s="1103">
        <f>-'Table 5C1F-Lake Charles Charter'!AA18-'Table 5C1F-Lake Charles Charter'!AD18</f>
        <v>0</v>
      </c>
      <c r="L17" s="354">
        <f>-'Table 5C1G-JS Clark Academy'!AA18-'Table 5C1G-JS Clark Academy'!AD18</f>
        <v>0</v>
      </c>
      <c r="M17" s="354">
        <f>-'Table 5C1H-Southwest LA Charter'!AA18-'Table 5C1H-Southwest LA Charter'!AD18</f>
        <v>0</v>
      </c>
      <c r="N17" s="354">
        <f>-'Table 5C2 - LA Virtual Admy'!AB16-'Table 5C2 - LA Virtual Admy'!AE16</f>
        <v>0</v>
      </c>
      <c r="O17" s="354">
        <f>-'Table 5C3 - LA Connections EBR'!AB16-'Table 5C3 - LA Connections EBR'!AE16</f>
        <v>-5652.4500000000007</v>
      </c>
      <c r="P17" s="354">
        <f>-'Table 5E_OJJ'!AB18-'Table 5E_OJJ'!AC18</f>
        <v>0</v>
      </c>
      <c r="Q17" s="354">
        <f t="shared" si="10"/>
        <v>-5652.4500000000007</v>
      </c>
      <c r="R17" s="739">
        <f t="shared" si="11"/>
        <v>3491851.55</v>
      </c>
      <c r="X17"/>
      <c r="AG17"/>
    </row>
    <row r="18" spans="1:33">
      <c r="A18" s="101">
        <v>13</v>
      </c>
      <c r="B18" s="1102" t="s">
        <v>114</v>
      </c>
      <c r="C18" s="713">
        <f>'Table 2_State with Midyear Adjs'!AS19</f>
        <v>10301501</v>
      </c>
      <c r="D18" s="1103"/>
      <c r="E18" s="1103"/>
      <c r="F18" s="1103">
        <f>-'Table 5C1A-Madison Prep'!AA19-'Table 5C1A-Madison Prep'!AD19</f>
        <v>0</v>
      </c>
      <c r="G18" s="1103">
        <f>-'Table 5C1B-DArbonne'!AA19-'Table 5C1B-DArbonne'!AD19</f>
        <v>0</v>
      </c>
      <c r="H18" s="1103">
        <f>-'Table 5C1C-Intl_VIBE'!AA19-'Table 5C1C-Intl_VIBE'!AD19</f>
        <v>0</v>
      </c>
      <c r="I18" s="1103">
        <f>-'Table 5C1D-NOMMA'!AA19-'Table 5C1D-NOMMA'!AD19</f>
        <v>0</v>
      </c>
      <c r="J18" s="1103">
        <f>-'Table 5C1E-LFNO'!AC19-'Table 5C1E-LFNO'!AF19</f>
        <v>0</v>
      </c>
      <c r="K18" s="1103">
        <f>-'Table 5C1F-Lake Charles Charter'!AA19-'Table 5C1F-Lake Charles Charter'!AD19</f>
        <v>0</v>
      </c>
      <c r="L18" s="354">
        <f>-'Table 5C1G-JS Clark Academy'!AA19-'Table 5C1G-JS Clark Academy'!AD19</f>
        <v>0</v>
      </c>
      <c r="M18" s="354">
        <f>-'Table 5C1H-Southwest LA Charter'!AA19-'Table 5C1H-Southwest LA Charter'!AD19</f>
        <v>0</v>
      </c>
      <c r="N18" s="354">
        <f>-'Table 5C2 - LA Virtual Admy'!AB17-'Table 5C2 - LA Virtual Admy'!AE17</f>
        <v>-22842</v>
      </c>
      <c r="O18" s="354">
        <f>-'Table 5C3 - LA Connections EBR'!AB17-'Table 5C3 - LA Connections EBR'!AE17</f>
        <v>-7994.7000000000016</v>
      </c>
      <c r="P18" s="354">
        <f>-'Table 5E_OJJ'!AB19-'Table 5E_OJJ'!AC19</f>
        <v>0</v>
      </c>
      <c r="Q18" s="354">
        <f t="shared" si="10"/>
        <v>-30836.7</v>
      </c>
      <c r="R18" s="739">
        <f t="shared" si="11"/>
        <v>10270664.300000001</v>
      </c>
      <c r="X18"/>
      <c r="AG18"/>
    </row>
    <row r="19" spans="1:33">
      <c r="A19" s="101">
        <v>14</v>
      </c>
      <c r="B19" s="1102" t="s">
        <v>115</v>
      </c>
      <c r="C19" s="713">
        <f>'Table 2_State with Midyear Adjs'!AS20</f>
        <v>11405136</v>
      </c>
      <c r="D19" s="1103"/>
      <c r="E19" s="1103"/>
      <c r="F19" s="1103">
        <f>-'Table 5C1A-Madison Prep'!AA20-'Table 5C1A-Madison Prep'!AD20</f>
        <v>0</v>
      </c>
      <c r="G19" s="1103">
        <f>-'Table 5C1B-DArbonne'!AA20-'Table 5C1B-DArbonne'!AD20</f>
        <v>-5835</v>
      </c>
      <c r="H19" s="1103">
        <f>-'Table 5C1C-Intl_VIBE'!AA20-'Table 5C1C-Intl_VIBE'!AD20</f>
        <v>0</v>
      </c>
      <c r="I19" s="1103">
        <f>-'Table 5C1D-NOMMA'!AA20-'Table 5C1D-NOMMA'!AD20</f>
        <v>0</v>
      </c>
      <c r="J19" s="1103">
        <f>-'Table 5C1E-LFNO'!AC20-'Table 5C1E-LFNO'!AF20</f>
        <v>0</v>
      </c>
      <c r="K19" s="1103">
        <f>-'Table 5C1F-Lake Charles Charter'!AA20-'Table 5C1F-Lake Charles Charter'!AD20</f>
        <v>0</v>
      </c>
      <c r="L19" s="354">
        <f>-'Table 5C1G-JS Clark Academy'!AA20-'Table 5C1G-JS Clark Academy'!AD20</f>
        <v>0</v>
      </c>
      <c r="M19" s="354">
        <f>-'Table 5C1H-Southwest LA Charter'!AA20-'Table 5C1H-Southwest LA Charter'!AD20</f>
        <v>0</v>
      </c>
      <c r="N19" s="354">
        <f>-'Table 5C2 - LA Virtual Admy'!AB18-'Table 5C2 - LA Virtual Admy'!AE18</f>
        <v>-5251.5</v>
      </c>
      <c r="O19" s="354">
        <f>-'Table 5C3 - LA Connections EBR'!AB18-'Table 5C3 - LA Connections EBR'!AE18</f>
        <v>-42012</v>
      </c>
      <c r="P19" s="354">
        <f>-'Table 5E_OJJ'!AB20-'Table 5E_OJJ'!AC20</f>
        <v>0</v>
      </c>
      <c r="Q19" s="354">
        <f t="shared" si="10"/>
        <v>-53098.5</v>
      </c>
      <c r="R19" s="739">
        <f t="shared" si="11"/>
        <v>11352037.5</v>
      </c>
      <c r="X19"/>
      <c r="AG19"/>
    </row>
    <row r="20" spans="1:33">
      <c r="A20" s="102">
        <v>15</v>
      </c>
      <c r="B20" s="1104" t="s">
        <v>116</v>
      </c>
      <c r="C20" s="714">
        <f>'Table 2_State with Midyear Adjs'!AS21</f>
        <v>21762889</v>
      </c>
      <c r="D20" s="1105"/>
      <c r="E20" s="1105"/>
      <c r="F20" s="1105">
        <f>-'Table 5C1A-Madison Prep'!AA21-'Table 5C1A-Madison Prep'!AD21</f>
        <v>0</v>
      </c>
      <c r="G20" s="1105">
        <f>-'Table 5C1B-DArbonne'!AA21-'Table 5C1B-DArbonne'!AD21</f>
        <v>0</v>
      </c>
      <c r="H20" s="1105">
        <f>-'Table 5C1C-Intl_VIBE'!AA21-'Table 5C1C-Intl_VIBE'!AD21</f>
        <v>0</v>
      </c>
      <c r="I20" s="1105">
        <f>-'Table 5C1D-NOMMA'!AA21-'Table 5C1D-NOMMA'!AD21</f>
        <v>0</v>
      </c>
      <c r="J20" s="1105">
        <f>-'Table 5C1E-LFNO'!AC21-'Table 5C1E-LFNO'!AF21</f>
        <v>0</v>
      </c>
      <c r="K20" s="1105">
        <f>-'Table 5C1F-Lake Charles Charter'!AA21-'Table 5C1F-Lake Charles Charter'!AD21</f>
        <v>0</v>
      </c>
      <c r="L20" s="355">
        <f>-'Table 5C1G-JS Clark Academy'!AA21-'Table 5C1G-JS Clark Academy'!AD21</f>
        <v>0</v>
      </c>
      <c r="M20" s="355">
        <f>-'Table 5C1H-Southwest LA Charter'!AA21-'Table 5C1H-Southwest LA Charter'!AD21</f>
        <v>0</v>
      </c>
      <c r="N20" s="355">
        <f>-'Table 5C2 - LA Virtual Admy'!AB19-'Table 5C2 - LA Virtual Admy'!AE19</f>
        <v>-12384</v>
      </c>
      <c r="O20" s="355">
        <f>-'Table 5C3 - LA Connections EBR'!AB19-'Table 5C3 - LA Connections EBR'!AE19</f>
        <v>-4953.6000000000004</v>
      </c>
      <c r="P20" s="355">
        <f>-'Table 5E_OJJ'!AB21-'Table 5E_OJJ'!AC21</f>
        <v>-6106.9348672812157</v>
      </c>
      <c r="Q20" s="355">
        <f t="shared" si="10"/>
        <v>-23444.534867281214</v>
      </c>
      <c r="R20" s="740">
        <f t="shared" si="11"/>
        <v>21739444.465132717</v>
      </c>
      <c r="X20"/>
      <c r="AG20"/>
    </row>
    <row r="21" spans="1:33">
      <c r="A21" s="101">
        <v>16</v>
      </c>
      <c r="B21" s="1102" t="s">
        <v>117</v>
      </c>
      <c r="C21" s="713">
        <f>'Table 2_State with Midyear Adjs'!AS22</f>
        <v>10823969</v>
      </c>
      <c r="D21" s="1103"/>
      <c r="E21" s="1103"/>
      <c r="F21" s="1103">
        <f>-'Table 5C1A-Madison Prep'!AA22-'Table 5C1A-Madison Prep'!AD22</f>
        <v>0</v>
      </c>
      <c r="G21" s="1103">
        <f>-'Table 5C1B-DArbonne'!AA22-'Table 5C1B-DArbonne'!AD22</f>
        <v>0</v>
      </c>
      <c r="H21" s="1103">
        <f>-'Table 5C1C-Intl_VIBE'!AA22-'Table 5C1C-Intl_VIBE'!AD22</f>
        <v>0</v>
      </c>
      <c r="I21" s="1103">
        <f>-'Table 5C1D-NOMMA'!AA22-'Table 5C1D-NOMMA'!AD22</f>
        <v>0</v>
      </c>
      <c r="J21" s="1103">
        <f>-'Table 5C1E-LFNO'!AC22-'Table 5C1E-LFNO'!AF22</f>
        <v>0</v>
      </c>
      <c r="K21" s="1103">
        <f>-'Table 5C1F-Lake Charles Charter'!AA22-'Table 5C1F-Lake Charles Charter'!AD22</f>
        <v>0</v>
      </c>
      <c r="L21" s="354">
        <f>-'Table 5C1G-JS Clark Academy'!AA22-'Table 5C1G-JS Clark Academy'!AD22</f>
        <v>0</v>
      </c>
      <c r="M21" s="354">
        <f>-'Table 5C1H-Southwest LA Charter'!AA22-'Table 5C1H-Southwest LA Charter'!AD22</f>
        <v>0</v>
      </c>
      <c r="N21" s="354">
        <f>-'Table 5C2 - LA Virtual Admy'!AB20-'Table 5C2 - LA Virtual Admy'!AE20</f>
        <v>-190222.2</v>
      </c>
      <c r="O21" s="354">
        <f>-'Table 5C3 - LA Connections EBR'!AB20-'Table 5C3 - LA Connections EBR'!AE20</f>
        <v>-81523.8</v>
      </c>
      <c r="P21" s="354">
        <f>-'Table 5E_OJJ'!AB22-'Table 5E_OJJ'!AC22</f>
        <v>-13263.379247136345</v>
      </c>
      <c r="Q21" s="354">
        <f t="shared" si="10"/>
        <v>-285009.37924713636</v>
      </c>
      <c r="R21" s="739">
        <f t="shared" si="11"/>
        <v>10538959.620752864</v>
      </c>
      <c r="X21"/>
      <c r="AG21"/>
    </row>
    <row r="22" spans="1:33">
      <c r="A22" s="101">
        <v>17</v>
      </c>
      <c r="B22" s="1102" t="s">
        <v>118</v>
      </c>
      <c r="C22" s="713">
        <f>'Table 2_State with Midyear Adjs'!AS23</f>
        <v>170002862</v>
      </c>
      <c r="D22" s="1103">
        <f>-'Table 5B2_RSD_LA'!AC18-'Table 5B2_RSD_LA'!AH18</f>
        <v>-13418313</v>
      </c>
      <c r="E22" s="1103"/>
      <c r="F22" s="1103">
        <f>-'Table 5C1A-Madison Prep'!AA23-'Table 5C1A-Madison Prep'!AD23</f>
        <v>-1435388.5</v>
      </c>
      <c r="G22" s="1103">
        <f>-'Table 5C1B-DArbonne'!AA23-'Table 5C1B-DArbonne'!AD23</f>
        <v>0</v>
      </c>
      <c r="H22" s="1103">
        <f>-'Table 5C1C-Intl_VIBE'!AA23-'Table 5C1C-Intl_VIBE'!AD23</f>
        <v>0</v>
      </c>
      <c r="I22" s="1103">
        <f>-'Table 5C1D-NOMMA'!AA23-'Table 5C1D-NOMMA'!AD23</f>
        <v>0</v>
      </c>
      <c r="J22" s="1103">
        <f>-'Table 5C1E-LFNO'!AC23-'Table 5C1E-LFNO'!AF23</f>
        <v>0</v>
      </c>
      <c r="K22" s="1103">
        <f>-'Table 5C1F-Lake Charles Charter'!AA23-'Table 5C1F-Lake Charles Charter'!AD23</f>
        <v>0</v>
      </c>
      <c r="L22" s="354">
        <f>-'Table 5C1G-JS Clark Academy'!AA23-'Table 5C1G-JS Clark Academy'!AD23</f>
        <v>0</v>
      </c>
      <c r="M22" s="354">
        <f>-'Table 5C1H-Southwest LA Charter'!AA23-'Table 5C1H-Southwest LA Charter'!AD23</f>
        <v>0</v>
      </c>
      <c r="N22" s="354">
        <f>-'Table 5C2 - LA Virtual Admy'!AB21-'Table 5C2 - LA Virtual Admy'!AE21</f>
        <v>-445567.50000000006</v>
      </c>
      <c r="O22" s="354">
        <f>-'Table 5C3 - LA Connections EBR'!AB21-'Table 5C3 - LA Connections EBR'!AE21</f>
        <v>-534681</v>
      </c>
      <c r="P22" s="354">
        <f>-'Table 5E_OJJ'!AB23-'Table 5E_OJJ'!AC23</f>
        <v>-178788.56078128249</v>
      </c>
      <c r="Q22" s="354">
        <f t="shared" si="10"/>
        <v>-16012738.560781283</v>
      </c>
      <c r="R22" s="739">
        <f t="shared" si="11"/>
        <v>153990123.43921873</v>
      </c>
      <c r="X22"/>
      <c r="AG22"/>
    </row>
    <row r="23" spans="1:33">
      <c r="A23" s="101">
        <v>18</v>
      </c>
      <c r="B23" s="1102" t="s">
        <v>119</v>
      </c>
      <c r="C23" s="713">
        <f>'Table 2_State with Midyear Adjs'!AS24</f>
        <v>7401166</v>
      </c>
      <c r="D23" s="1103"/>
      <c r="E23" s="1103"/>
      <c r="F23" s="1103">
        <f>-'Table 5C1A-Madison Prep'!AA24-'Table 5C1A-Madison Prep'!AD24</f>
        <v>0</v>
      </c>
      <c r="G23" s="1103">
        <f>-'Table 5C1B-DArbonne'!AA24-'Table 5C1B-DArbonne'!AD24</f>
        <v>0</v>
      </c>
      <c r="H23" s="1103">
        <f>-'Table 5C1C-Intl_VIBE'!AA24-'Table 5C1C-Intl_VIBE'!AD24</f>
        <v>0</v>
      </c>
      <c r="I23" s="1103">
        <f>-'Table 5C1D-NOMMA'!AA24-'Table 5C1D-NOMMA'!AD24</f>
        <v>0</v>
      </c>
      <c r="J23" s="1103">
        <f>-'Table 5C1E-LFNO'!AC24-'Table 5C1E-LFNO'!AF24</f>
        <v>0</v>
      </c>
      <c r="K23" s="1103">
        <f>-'Table 5C1F-Lake Charles Charter'!AA24-'Table 5C1F-Lake Charles Charter'!AD24</f>
        <v>0</v>
      </c>
      <c r="L23" s="354">
        <f>-'Table 5C1G-JS Clark Academy'!AA24-'Table 5C1G-JS Clark Academy'!AD24</f>
        <v>0</v>
      </c>
      <c r="M23" s="354">
        <f>-'Table 5C1H-Southwest LA Charter'!AA24-'Table 5C1H-Southwest LA Charter'!AD24</f>
        <v>0</v>
      </c>
      <c r="N23" s="354">
        <f>-'Table 5C2 - LA Virtual Admy'!AB22-'Table 5C2 - LA Virtual Admy'!AE22</f>
        <v>-1961.1000000000001</v>
      </c>
      <c r="O23" s="354">
        <f>-'Table 5C3 - LA Connections EBR'!AB22-'Table 5C3 - LA Connections EBR'!AE22</f>
        <v>0</v>
      </c>
      <c r="P23" s="354">
        <f>-'Table 5E_OJJ'!AB24-'Table 5E_OJJ'!AC24</f>
        <v>-2967.5508239819069</v>
      </c>
      <c r="Q23" s="354">
        <f t="shared" si="10"/>
        <v>-4928.6508239819068</v>
      </c>
      <c r="R23" s="739">
        <f t="shared" si="11"/>
        <v>7396237.3491760185</v>
      </c>
      <c r="X23"/>
      <c r="AG23"/>
    </row>
    <row r="24" spans="1:33">
      <c r="A24" s="101">
        <v>19</v>
      </c>
      <c r="B24" s="299" t="s">
        <v>120</v>
      </c>
      <c r="C24" s="309">
        <f>'Table 2_State with Midyear Adjs'!AS25</f>
        <v>11599873</v>
      </c>
      <c r="D24" s="354"/>
      <c r="E24" s="354"/>
      <c r="F24" s="354">
        <f>-'Table 5C1A-Madison Prep'!AA25-'Table 5C1A-Madison Prep'!AD25</f>
        <v>0</v>
      </c>
      <c r="G24" s="354">
        <f>-'Table 5C1B-DArbonne'!AA25-'Table 5C1B-DArbonne'!AD25</f>
        <v>0</v>
      </c>
      <c r="H24" s="354">
        <f>-'Table 5C1C-Intl_VIBE'!AA25-'Table 5C1C-Intl_VIBE'!AD25</f>
        <v>0</v>
      </c>
      <c r="I24" s="354">
        <f>-'Table 5C1D-NOMMA'!AA25-'Table 5C1D-NOMMA'!AD25</f>
        <v>0</v>
      </c>
      <c r="J24" s="354">
        <f>-'Table 5C1E-LFNO'!AC25-'Table 5C1E-LFNO'!AF25</f>
        <v>0</v>
      </c>
      <c r="K24" s="354">
        <f>-'Table 5C1F-Lake Charles Charter'!AA25-'Table 5C1F-Lake Charles Charter'!AD25</f>
        <v>0</v>
      </c>
      <c r="L24" s="354">
        <f>-'Table 5C1G-JS Clark Academy'!AA25-'Table 5C1G-JS Clark Academy'!AD25</f>
        <v>0</v>
      </c>
      <c r="M24" s="354">
        <f>-'Table 5C1H-Southwest LA Charter'!AA25-'Table 5C1H-Southwest LA Charter'!AD25</f>
        <v>0</v>
      </c>
      <c r="N24" s="354">
        <f>-'Table 5C2 - LA Virtual Admy'!AB23-'Table 5C2 - LA Virtual Admy'!AE23</f>
        <v>-14774.400000000001</v>
      </c>
      <c r="O24" s="354">
        <f>-'Table 5C3 - LA Connections EBR'!AB23-'Table 5C3 - LA Connections EBR'!AE23</f>
        <v>-8618.4</v>
      </c>
      <c r="P24" s="354">
        <f>-'Table 5E_OJJ'!AB25-'Table 5E_OJJ'!AC25</f>
        <v>-725.39375324276477</v>
      </c>
      <c r="Q24" s="354">
        <f t="shared" si="10"/>
        <v>-24118.193753242769</v>
      </c>
      <c r="R24" s="739">
        <f t="shared" si="11"/>
        <v>11575754.806246756</v>
      </c>
      <c r="X24"/>
      <c r="AG24"/>
    </row>
    <row r="25" spans="1:33">
      <c r="A25" s="102">
        <v>20</v>
      </c>
      <c r="B25" s="300" t="s">
        <v>121</v>
      </c>
      <c r="C25" s="318">
        <f>'Table 2_State with Midyear Adjs'!AS26</f>
        <v>35611480</v>
      </c>
      <c r="D25" s="355"/>
      <c r="E25" s="355"/>
      <c r="F25" s="355">
        <f>-'Table 5C1A-Madison Prep'!AA26-'Table 5C1A-Madison Prep'!AD26</f>
        <v>0</v>
      </c>
      <c r="G25" s="355">
        <f>-'Table 5C1B-DArbonne'!AA26-'Table 5C1B-DArbonne'!AD26</f>
        <v>0</v>
      </c>
      <c r="H25" s="355">
        <f>-'Table 5C1C-Intl_VIBE'!AA26-'Table 5C1C-Intl_VIBE'!AD26</f>
        <v>0</v>
      </c>
      <c r="I25" s="355">
        <f>-'Table 5C1D-NOMMA'!AA26-'Table 5C1D-NOMMA'!AD26</f>
        <v>0</v>
      </c>
      <c r="J25" s="355">
        <f>-'Table 5C1E-LFNO'!AC26-'Table 5C1E-LFNO'!AF26</f>
        <v>0</v>
      </c>
      <c r="K25" s="355">
        <f>-'Table 5C1F-Lake Charles Charter'!AA26-'Table 5C1F-Lake Charles Charter'!AD26</f>
        <v>0</v>
      </c>
      <c r="L25" s="355">
        <f>-'Table 5C1G-JS Clark Academy'!AA26-'Table 5C1G-JS Clark Academy'!AD26</f>
        <v>0</v>
      </c>
      <c r="M25" s="355">
        <f>-'Table 5C1H-Southwest LA Charter'!AA26-'Table 5C1H-Southwest LA Charter'!AD26</f>
        <v>0</v>
      </c>
      <c r="N25" s="355">
        <f>-'Table 5C2 - LA Virtual Admy'!AB24-'Table 5C2 - LA Virtual Admy'!AE24</f>
        <v>-12619.800000000001</v>
      </c>
      <c r="O25" s="355">
        <f>-'Table 5C3 - LA Connections EBR'!AB24-'Table 5C3 - LA Connections EBR'!AE24</f>
        <v>-14723.099999999999</v>
      </c>
      <c r="P25" s="355">
        <f>-'Table 5E_OJJ'!AB26-'Table 5E_OJJ'!AC26</f>
        <v>-10486.791359682315</v>
      </c>
      <c r="Q25" s="355">
        <f t="shared" si="10"/>
        <v>-37829.691359682314</v>
      </c>
      <c r="R25" s="740">
        <f t="shared" si="11"/>
        <v>35573650.308640316</v>
      </c>
      <c r="X25"/>
      <c r="AG25"/>
    </row>
    <row r="26" spans="1:33">
      <c r="A26" s="101">
        <v>21</v>
      </c>
      <c r="B26" s="299" t="s">
        <v>122</v>
      </c>
      <c r="C26" s="309">
        <f>'Table 2_State with Midyear Adjs'!AS27</f>
        <v>18896661</v>
      </c>
      <c r="D26" s="354"/>
      <c r="E26" s="354"/>
      <c r="F26" s="354">
        <f>-'Table 5C1A-Madison Prep'!AA27-'Table 5C1A-Madison Prep'!AD27</f>
        <v>0</v>
      </c>
      <c r="G26" s="354">
        <f>-'Table 5C1B-DArbonne'!AA27-'Table 5C1B-DArbonne'!AD27</f>
        <v>0</v>
      </c>
      <c r="H26" s="354">
        <f>-'Table 5C1C-Intl_VIBE'!AA27-'Table 5C1C-Intl_VIBE'!AD27</f>
        <v>0</v>
      </c>
      <c r="I26" s="354">
        <f>-'Table 5C1D-NOMMA'!AA27-'Table 5C1D-NOMMA'!AD27</f>
        <v>0</v>
      </c>
      <c r="J26" s="354">
        <f>-'Table 5C1E-LFNO'!AC27-'Table 5C1E-LFNO'!AF27</f>
        <v>0</v>
      </c>
      <c r="K26" s="354">
        <f>-'Table 5C1F-Lake Charles Charter'!AA27-'Table 5C1F-Lake Charles Charter'!AD27</f>
        <v>0</v>
      </c>
      <c r="L26" s="354">
        <f>-'Table 5C1G-JS Clark Academy'!AA27-'Table 5C1G-JS Clark Academy'!AD27</f>
        <v>0</v>
      </c>
      <c r="M26" s="354">
        <f>-'Table 5C1H-Southwest LA Charter'!AA27-'Table 5C1H-Southwest LA Charter'!AD27</f>
        <v>0</v>
      </c>
      <c r="N26" s="354">
        <f>-'Table 5C2 - LA Virtual Admy'!AB25-'Table 5C2 - LA Virtual Admy'!AE25</f>
        <v>-6191.1</v>
      </c>
      <c r="O26" s="354">
        <f>-'Table 5C3 - LA Connections EBR'!AB25-'Table 5C3 - LA Connections EBR'!AE25</f>
        <v>-20637.000000000004</v>
      </c>
      <c r="P26" s="354">
        <f>-'Table 5E_OJJ'!AB27-'Table 5E_OJJ'!AC27</f>
        <v>-8417.2433782928147</v>
      </c>
      <c r="Q26" s="354">
        <f t="shared" si="10"/>
        <v>-35245.343378292819</v>
      </c>
      <c r="R26" s="739">
        <f t="shared" si="11"/>
        <v>18861415.656621706</v>
      </c>
      <c r="X26"/>
      <c r="AG26"/>
    </row>
    <row r="27" spans="1:33">
      <c r="A27" s="101">
        <v>22</v>
      </c>
      <c r="B27" s="299" t="s">
        <v>123</v>
      </c>
      <c r="C27" s="309">
        <f>'Table 2_State with Midyear Adjs'!AS28</f>
        <v>21704531</v>
      </c>
      <c r="D27" s="354"/>
      <c r="E27" s="354"/>
      <c r="F27" s="354">
        <f>-'Table 5C1A-Madison Prep'!AA28-'Table 5C1A-Madison Prep'!AD28</f>
        <v>0</v>
      </c>
      <c r="G27" s="354">
        <f>-'Table 5C1B-DArbonne'!AA28-'Table 5C1B-DArbonne'!AD28</f>
        <v>0</v>
      </c>
      <c r="H27" s="354">
        <f>-'Table 5C1C-Intl_VIBE'!AA28-'Table 5C1C-Intl_VIBE'!AD28</f>
        <v>0</v>
      </c>
      <c r="I27" s="354">
        <f>-'Table 5C1D-NOMMA'!AA28-'Table 5C1D-NOMMA'!AD28</f>
        <v>0</v>
      </c>
      <c r="J27" s="354">
        <f>-'Table 5C1E-LFNO'!AC28-'Table 5C1E-LFNO'!AF28</f>
        <v>0</v>
      </c>
      <c r="K27" s="354">
        <f>-'Table 5C1F-Lake Charles Charter'!AA28-'Table 5C1F-Lake Charles Charter'!AD28</f>
        <v>0</v>
      </c>
      <c r="L27" s="354">
        <f>-'Table 5C1G-JS Clark Academy'!AA28-'Table 5C1G-JS Clark Academy'!AD28</f>
        <v>0</v>
      </c>
      <c r="M27" s="354">
        <f>-'Table 5C1H-Southwest LA Charter'!AA28-'Table 5C1H-Southwest LA Charter'!AD28</f>
        <v>0</v>
      </c>
      <c r="N27" s="354">
        <f>-'Table 5C2 - LA Virtual Admy'!AB26-'Table 5C2 - LA Virtual Admy'!AE26</f>
        <v>-2541.6</v>
      </c>
      <c r="O27" s="354">
        <f>-'Table 5C3 - LA Connections EBR'!AB26-'Table 5C3 - LA Connections EBR'!AE26</f>
        <v>-8895.6</v>
      </c>
      <c r="P27" s="354">
        <f>-'Table 5E_OJJ'!AB28-'Table 5E_OJJ'!AC28</f>
        <v>-358.8219479005603</v>
      </c>
      <c r="Q27" s="354">
        <f t="shared" si="10"/>
        <v>-11796.021947900561</v>
      </c>
      <c r="R27" s="739">
        <f t="shared" si="11"/>
        <v>21692734.978052098</v>
      </c>
      <c r="X27"/>
      <c r="AG27"/>
    </row>
    <row r="28" spans="1:33">
      <c r="A28" s="101">
        <v>23</v>
      </c>
      <c r="B28" s="299" t="s">
        <v>124</v>
      </c>
      <c r="C28" s="309">
        <f>'Table 2_State with Midyear Adjs'!AS29</f>
        <v>74101937</v>
      </c>
      <c r="D28" s="354"/>
      <c r="E28" s="354"/>
      <c r="F28" s="354">
        <f>-'Table 5C1A-Madison Prep'!AA29-'Table 5C1A-Madison Prep'!AD29</f>
        <v>0</v>
      </c>
      <c r="G28" s="354">
        <f>-'Table 5C1B-DArbonne'!AA29-'Table 5C1B-DArbonne'!AD29</f>
        <v>0</v>
      </c>
      <c r="H28" s="354">
        <f>-'Table 5C1C-Intl_VIBE'!AA29-'Table 5C1C-Intl_VIBE'!AD29</f>
        <v>0</v>
      </c>
      <c r="I28" s="354">
        <f>-'Table 5C1D-NOMMA'!AA29-'Table 5C1D-NOMMA'!AD29</f>
        <v>0</v>
      </c>
      <c r="J28" s="354">
        <f>-'Table 5C1E-LFNO'!AC29-'Table 5C1E-LFNO'!AF29</f>
        <v>0</v>
      </c>
      <c r="K28" s="354">
        <f>-'Table 5C1F-Lake Charles Charter'!AA29-'Table 5C1F-Lake Charles Charter'!AD29</f>
        <v>0</v>
      </c>
      <c r="L28" s="354">
        <f>-'Table 5C1G-JS Clark Academy'!AA29-'Table 5C1G-JS Clark Academy'!AD29</f>
        <v>0</v>
      </c>
      <c r="M28" s="354">
        <f>-'Table 5C1H-Southwest LA Charter'!AA29-'Table 5C1H-Southwest LA Charter'!AD29</f>
        <v>0</v>
      </c>
      <c r="N28" s="354">
        <f>-'Table 5C2 - LA Virtual Admy'!AB27-'Table 5C2 - LA Virtual Admy'!AE27</f>
        <v>-36877.5</v>
      </c>
      <c r="O28" s="354">
        <f>-'Table 5C3 - LA Connections EBR'!AB27-'Table 5C3 - LA Connections EBR'!AE27</f>
        <v>-72279.900000000009</v>
      </c>
      <c r="P28" s="354">
        <f>-'Table 5E_OJJ'!AB29-'Table 5E_OJJ'!AC29</f>
        <v>-19077.635790861601</v>
      </c>
      <c r="Q28" s="354">
        <f t="shared" si="10"/>
        <v>-128235.03579086161</v>
      </c>
      <c r="R28" s="739">
        <f t="shared" si="11"/>
        <v>73973701.964209139</v>
      </c>
      <c r="X28"/>
      <c r="AG28"/>
    </row>
    <row r="29" spans="1:33">
      <c r="A29" s="101">
        <v>24</v>
      </c>
      <c r="B29" s="299" t="s">
        <v>125</v>
      </c>
      <c r="C29" s="309">
        <f>'Table 2_State with Midyear Adjs'!AS30</f>
        <v>15779529</v>
      </c>
      <c r="D29" s="354"/>
      <c r="E29" s="354"/>
      <c r="F29" s="354">
        <f>-'Table 5C1A-Madison Prep'!AA30-'Table 5C1A-Madison Prep'!AD30</f>
        <v>0</v>
      </c>
      <c r="G29" s="354">
        <f>-'Table 5C1B-DArbonne'!AA30-'Table 5C1B-DArbonne'!AD30</f>
        <v>0</v>
      </c>
      <c r="H29" s="354">
        <f>-'Table 5C1C-Intl_VIBE'!AA30-'Table 5C1C-Intl_VIBE'!AD30</f>
        <v>0</v>
      </c>
      <c r="I29" s="354">
        <f>-'Table 5C1D-NOMMA'!AA30-'Table 5C1D-NOMMA'!AD30</f>
        <v>0</v>
      </c>
      <c r="J29" s="354">
        <f>-'Table 5C1E-LFNO'!AC30-'Table 5C1E-LFNO'!AF30</f>
        <v>0</v>
      </c>
      <c r="K29" s="354">
        <f>-'Table 5C1F-Lake Charles Charter'!AA30-'Table 5C1F-Lake Charles Charter'!AD30</f>
        <v>0</v>
      </c>
      <c r="L29" s="354">
        <f>-'Table 5C1G-JS Clark Academy'!AA30-'Table 5C1G-JS Clark Academy'!AD30</f>
        <v>0</v>
      </c>
      <c r="M29" s="354">
        <f>-'Table 5C1H-Southwest LA Charter'!AA30-'Table 5C1H-Southwest LA Charter'!AD30</f>
        <v>0</v>
      </c>
      <c r="N29" s="354">
        <f>-'Table 5C2 - LA Virtual Admy'!AB28-'Table 5C2 - LA Virtual Admy'!AE28</f>
        <v>-87988.949999999983</v>
      </c>
      <c r="O29" s="354">
        <f>-'Table 5C3 - LA Connections EBR'!AB28-'Table 5C3 - LA Connections EBR'!AE28</f>
        <v>-20949.75</v>
      </c>
      <c r="P29" s="354">
        <f>-'Table 5E_OJJ'!AB30-'Table 5E_OJJ'!AC30</f>
        <v>-9993.0360854668506</v>
      </c>
      <c r="Q29" s="354">
        <f t="shared" si="10"/>
        <v>-118931.73608546684</v>
      </c>
      <c r="R29" s="739">
        <f t="shared" si="11"/>
        <v>15660597.263914535</v>
      </c>
      <c r="X29"/>
      <c r="AG29"/>
    </row>
    <row r="30" spans="1:33">
      <c r="A30" s="102">
        <v>25</v>
      </c>
      <c r="B30" s="300" t="s">
        <v>126</v>
      </c>
      <c r="C30" s="318">
        <f>'Table 2_State with Midyear Adjs'!AS31</f>
        <v>10035497</v>
      </c>
      <c r="D30" s="355"/>
      <c r="E30" s="355"/>
      <c r="F30" s="355">
        <f>-'Table 5C1A-Madison Prep'!AA31-'Table 5C1A-Madison Prep'!AD31</f>
        <v>0</v>
      </c>
      <c r="G30" s="355">
        <f>-'Table 5C1B-DArbonne'!AA31-'Table 5C1B-DArbonne'!AD31</f>
        <v>0</v>
      </c>
      <c r="H30" s="355">
        <f>-'Table 5C1C-Intl_VIBE'!AA31-'Table 5C1C-Intl_VIBE'!AD31</f>
        <v>0</v>
      </c>
      <c r="I30" s="355">
        <f>-'Table 5C1D-NOMMA'!AA31-'Table 5C1D-NOMMA'!AD31</f>
        <v>0</v>
      </c>
      <c r="J30" s="355">
        <f>-'Table 5C1E-LFNO'!AC31-'Table 5C1E-LFNO'!AF31</f>
        <v>0</v>
      </c>
      <c r="K30" s="355">
        <f>-'Table 5C1F-Lake Charles Charter'!AA31-'Table 5C1F-Lake Charles Charter'!AD31</f>
        <v>0</v>
      </c>
      <c r="L30" s="355">
        <f>-'Table 5C1G-JS Clark Academy'!AA31-'Table 5C1G-JS Clark Academy'!AD31</f>
        <v>0</v>
      </c>
      <c r="M30" s="355">
        <f>-'Table 5C1H-Southwest LA Charter'!AA31-'Table 5C1H-Southwest LA Charter'!AD31</f>
        <v>0</v>
      </c>
      <c r="N30" s="355">
        <f>-'Table 5C2 - LA Virtual Admy'!AB29-'Table 5C2 - LA Virtual Admy'!AE29</f>
        <v>-19299.600000000002</v>
      </c>
      <c r="O30" s="355">
        <f>-'Table 5C3 - LA Connections EBR'!AB29-'Table 5C3 - LA Connections EBR'!AE29</f>
        <v>-19299.600000000002</v>
      </c>
      <c r="P30" s="355">
        <f>-'Table 5E_OJJ'!AB31-'Table 5E_OJJ'!AC31</f>
        <v>-1721.3922235709133</v>
      </c>
      <c r="Q30" s="355">
        <f t="shared" si="10"/>
        <v>-40320.592223570915</v>
      </c>
      <c r="R30" s="740">
        <f t="shared" si="11"/>
        <v>9995176.4077764302</v>
      </c>
      <c r="X30"/>
      <c r="AG30"/>
    </row>
    <row r="31" spans="1:33">
      <c r="A31" s="101">
        <v>26</v>
      </c>
      <c r="B31" s="299" t="s">
        <v>127</v>
      </c>
      <c r="C31" s="309">
        <f>'Table 2_State with Midyear Adjs'!AS32</f>
        <v>172735140</v>
      </c>
      <c r="D31" s="354"/>
      <c r="E31" s="354"/>
      <c r="F31" s="354">
        <f>-'Table 5C1A-Madison Prep'!AA32-'Table 5C1A-Madison Prep'!AD32</f>
        <v>0</v>
      </c>
      <c r="G31" s="354">
        <f>-'Table 5C1B-DArbonne'!AA32-'Table 5C1B-DArbonne'!AD32</f>
        <v>0</v>
      </c>
      <c r="H31" s="354">
        <f>-'Table 5C1C-Intl_VIBE'!AA32-'Table 5C1C-Intl_VIBE'!AD32</f>
        <v>-211646</v>
      </c>
      <c r="I31" s="354">
        <f>-'Table 5C1D-NOMMA'!AA32-'Table 5C1D-NOMMA'!AD32</f>
        <v>-552520</v>
      </c>
      <c r="J31" s="354">
        <f>-'Table 5C1E-LFNO'!AC32-'Table 5C1E-LFNO'!AF32</f>
        <v>-275706</v>
      </c>
      <c r="K31" s="354">
        <f>-'Table 5C1F-Lake Charles Charter'!AA32-'Table 5C1F-Lake Charles Charter'!AD32</f>
        <v>0</v>
      </c>
      <c r="L31" s="354">
        <f>-'Table 5C1G-JS Clark Academy'!AA32-'Table 5C1G-JS Clark Academy'!AD32</f>
        <v>0</v>
      </c>
      <c r="M31" s="354">
        <f>-'Table 5C1H-Southwest LA Charter'!AA32-'Table 5C1H-Southwest LA Charter'!AD32</f>
        <v>0</v>
      </c>
      <c r="N31" s="354">
        <f>-'Table 5C2 - LA Virtual Admy'!AB30-'Table 5C2 - LA Virtual Admy'!AE30</f>
        <v>-491589.00000000006</v>
      </c>
      <c r="O31" s="354">
        <f>-'Table 5C3 - LA Connections EBR'!AB30-'Table 5C3 - LA Connections EBR'!AE30</f>
        <v>-477543.60000000003</v>
      </c>
      <c r="P31" s="354">
        <f>-'Table 5E_OJJ'!AB32-'Table 5E_OJJ'!AC32</f>
        <v>-170011.50191173842</v>
      </c>
      <c r="Q31" s="354">
        <f t="shared" si="10"/>
        <v>-2179016.1019117385</v>
      </c>
      <c r="R31" s="739">
        <f t="shared" si="11"/>
        <v>170556123.89808828</v>
      </c>
      <c r="X31"/>
      <c r="AG31"/>
    </row>
    <row r="32" spans="1:33">
      <c r="A32" s="101">
        <v>27</v>
      </c>
      <c r="B32" s="299" t="s">
        <v>128</v>
      </c>
      <c r="C32" s="309">
        <f>'Table 2_State with Midyear Adjs'!AS33</f>
        <v>35699424</v>
      </c>
      <c r="D32" s="354"/>
      <c r="E32" s="354"/>
      <c r="F32" s="354">
        <f>-'Table 5C1A-Madison Prep'!AA33-'Table 5C1A-Madison Prep'!AD33</f>
        <v>0</v>
      </c>
      <c r="G32" s="354">
        <f>-'Table 5C1B-DArbonne'!AA33-'Table 5C1B-DArbonne'!AD33</f>
        <v>0</v>
      </c>
      <c r="H32" s="354">
        <f>-'Table 5C1C-Intl_VIBE'!AA33-'Table 5C1C-Intl_VIBE'!AD33</f>
        <v>0</v>
      </c>
      <c r="I32" s="354">
        <f>-'Table 5C1D-NOMMA'!AA33-'Table 5C1D-NOMMA'!AD33</f>
        <v>0</v>
      </c>
      <c r="J32" s="354">
        <f>-'Table 5C1E-LFNO'!AC33-'Table 5C1E-LFNO'!AF33</f>
        <v>0</v>
      </c>
      <c r="K32" s="354">
        <f>-'Table 5C1F-Lake Charles Charter'!AA33-'Table 5C1F-Lake Charles Charter'!AD33</f>
        <v>0</v>
      </c>
      <c r="L32" s="354">
        <f>-'Table 5C1G-JS Clark Academy'!AA33-'Table 5C1G-JS Clark Academy'!AD33</f>
        <v>0</v>
      </c>
      <c r="M32" s="354">
        <f>-'Table 5C1H-Southwest LA Charter'!AA33-'Table 5C1H-Southwest LA Charter'!AD33</f>
        <v>-12372</v>
      </c>
      <c r="N32" s="354">
        <f>-'Table 5C2 - LA Virtual Admy'!AB31-'Table 5C2 - LA Virtual Admy'!AE31</f>
        <v>-9742.9500000000007</v>
      </c>
      <c r="O32" s="354">
        <f>-'Table 5C3 - LA Connections EBR'!AB31-'Table 5C3 - LA Connections EBR'!AE31</f>
        <v>-15310.35</v>
      </c>
      <c r="P32" s="354">
        <f>-'Table 5E_OJJ'!AB33-'Table 5E_OJJ'!AC33</f>
        <v>-8064.7682629696656</v>
      </c>
      <c r="Q32" s="354">
        <f t="shared" si="10"/>
        <v>-45490.068262969668</v>
      </c>
      <c r="R32" s="739">
        <f t="shared" si="11"/>
        <v>35653933.931737028</v>
      </c>
      <c r="X32"/>
      <c r="AG32"/>
    </row>
    <row r="33" spans="1:33">
      <c r="A33" s="101">
        <v>28</v>
      </c>
      <c r="B33" s="299" t="s">
        <v>129</v>
      </c>
      <c r="C33" s="309">
        <f>'Table 2_State with Midyear Adjs'!AS34</f>
        <v>116989606</v>
      </c>
      <c r="D33" s="354"/>
      <c r="E33" s="354"/>
      <c r="F33" s="354">
        <f>-'Table 5C1A-Madison Prep'!AA34-'Table 5C1A-Madison Prep'!AD34</f>
        <v>0</v>
      </c>
      <c r="G33" s="354">
        <f>-'Table 5C1B-DArbonne'!AA34-'Table 5C1B-DArbonne'!AD34</f>
        <v>0</v>
      </c>
      <c r="H33" s="354">
        <f>-'Table 5C1C-Intl_VIBE'!AA34-'Table 5C1C-Intl_VIBE'!AD34</f>
        <v>0</v>
      </c>
      <c r="I33" s="354">
        <f>-'Table 5C1D-NOMMA'!AA34-'Table 5C1D-NOMMA'!AD34</f>
        <v>0</v>
      </c>
      <c r="J33" s="354">
        <f>-'Table 5C1E-LFNO'!AC34-'Table 5C1E-LFNO'!AF34</f>
        <v>0</v>
      </c>
      <c r="K33" s="354">
        <f>-'Table 5C1F-Lake Charles Charter'!AA34-'Table 5C1F-Lake Charles Charter'!AD34</f>
        <v>0</v>
      </c>
      <c r="L33" s="354">
        <f>-'Table 5C1G-JS Clark Academy'!AA34-'Table 5C1G-JS Clark Academy'!AD34</f>
        <v>-5338</v>
      </c>
      <c r="M33" s="354">
        <f>-'Table 5C1H-Southwest LA Charter'!AA34-'Table 5C1H-Southwest LA Charter'!AD34</f>
        <v>0</v>
      </c>
      <c r="N33" s="354">
        <f>-'Table 5C2 - LA Virtual Admy'!AB32-'Table 5C2 - LA Virtual Admy'!AE32</f>
        <v>-197245.79999999996</v>
      </c>
      <c r="O33" s="354">
        <f>-'Table 5C3 - LA Connections EBR'!AB32-'Table 5C3 - LA Connections EBR'!AE32</f>
        <v>-199374.3</v>
      </c>
      <c r="P33" s="354">
        <f>-'Table 5E_OJJ'!AB34-'Table 5E_OJJ'!AC34</f>
        <v>-31309.394079040314</v>
      </c>
      <c r="Q33" s="354">
        <f t="shared" si="10"/>
        <v>-433267.49407904031</v>
      </c>
      <c r="R33" s="739">
        <f t="shared" si="11"/>
        <v>116556338.50592096</v>
      </c>
      <c r="X33"/>
      <c r="AG33"/>
    </row>
    <row r="34" spans="1:33">
      <c r="A34" s="101">
        <v>29</v>
      </c>
      <c r="B34" s="299" t="s">
        <v>130</v>
      </c>
      <c r="C34" s="309">
        <f>'Table 2_State with Midyear Adjs'!AS35</f>
        <v>64720199</v>
      </c>
      <c r="D34" s="354"/>
      <c r="E34" s="354"/>
      <c r="F34" s="354">
        <f>-'Table 5C1A-Madison Prep'!AA35-'Table 5C1A-Madison Prep'!AD35</f>
        <v>0</v>
      </c>
      <c r="G34" s="354">
        <f>-'Table 5C1B-DArbonne'!AA35-'Table 5C1B-DArbonne'!AD35</f>
        <v>0</v>
      </c>
      <c r="H34" s="354">
        <f>-'Table 5C1C-Intl_VIBE'!AA35-'Table 5C1C-Intl_VIBE'!AD35</f>
        <v>0</v>
      </c>
      <c r="I34" s="354">
        <f>-'Table 5C1D-NOMMA'!AA35-'Table 5C1D-NOMMA'!AD35</f>
        <v>0</v>
      </c>
      <c r="J34" s="354">
        <f>-'Table 5C1E-LFNO'!AC35-'Table 5C1E-LFNO'!AF35</f>
        <v>0</v>
      </c>
      <c r="K34" s="354">
        <f>-'Table 5C1F-Lake Charles Charter'!AA35-'Table 5C1F-Lake Charles Charter'!AD35</f>
        <v>0</v>
      </c>
      <c r="L34" s="354">
        <f>-'Table 5C1G-JS Clark Academy'!AA35-'Table 5C1G-JS Clark Academy'!AD35</f>
        <v>0</v>
      </c>
      <c r="M34" s="354">
        <f>-'Table 5C1H-Southwest LA Charter'!AA35-'Table 5C1H-Southwest LA Charter'!AD35</f>
        <v>0</v>
      </c>
      <c r="N34" s="354">
        <f>-'Table 5C2 - LA Virtual Admy'!AB33-'Table 5C2 - LA Virtual Admy'!AE33</f>
        <v>-47671.200000000004</v>
      </c>
      <c r="O34" s="354">
        <f>-'Table 5C3 - LA Connections EBR'!AB33-'Table 5C3 - LA Connections EBR'!AE33</f>
        <v>-61575.3</v>
      </c>
      <c r="P34" s="354">
        <f>-'Table 5E_OJJ'!AB35-'Table 5E_OJJ'!AC35</f>
        <v>-67537.304046021789</v>
      </c>
      <c r="Q34" s="354">
        <f t="shared" si="10"/>
        <v>-176783.80404602177</v>
      </c>
      <c r="R34" s="739">
        <f t="shared" si="11"/>
        <v>64543415.19595398</v>
      </c>
      <c r="X34"/>
      <c r="AG34"/>
    </row>
    <row r="35" spans="1:33">
      <c r="A35" s="102">
        <v>30</v>
      </c>
      <c r="B35" s="300" t="s">
        <v>131</v>
      </c>
      <c r="C35" s="318">
        <f>'Table 2_State with Midyear Adjs'!AS36</f>
        <v>15740743</v>
      </c>
      <c r="D35" s="355"/>
      <c r="E35" s="355"/>
      <c r="F35" s="355">
        <f>-'Table 5C1A-Madison Prep'!AA36-'Table 5C1A-Madison Prep'!AD36</f>
        <v>0</v>
      </c>
      <c r="G35" s="355">
        <f>-'Table 5C1B-DArbonne'!AA36-'Table 5C1B-DArbonne'!AD36</f>
        <v>0</v>
      </c>
      <c r="H35" s="355">
        <f>-'Table 5C1C-Intl_VIBE'!AA36-'Table 5C1C-Intl_VIBE'!AD36</f>
        <v>0</v>
      </c>
      <c r="I35" s="355">
        <f>-'Table 5C1D-NOMMA'!AA36-'Table 5C1D-NOMMA'!AD36</f>
        <v>0</v>
      </c>
      <c r="J35" s="355">
        <f>-'Table 5C1E-LFNO'!AC36-'Table 5C1E-LFNO'!AF36</f>
        <v>0</v>
      </c>
      <c r="K35" s="355">
        <f>-'Table 5C1F-Lake Charles Charter'!AA36-'Table 5C1F-Lake Charles Charter'!AD36</f>
        <v>0</v>
      </c>
      <c r="L35" s="355">
        <f>-'Table 5C1G-JS Clark Academy'!AA36-'Table 5C1G-JS Clark Academy'!AD36</f>
        <v>0</v>
      </c>
      <c r="M35" s="355">
        <f>-'Table 5C1H-Southwest LA Charter'!AA36-'Table 5C1H-Southwest LA Charter'!AD36</f>
        <v>0</v>
      </c>
      <c r="N35" s="355">
        <f>-'Table 5C2 - LA Virtual Admy'!AB34-'Table 5C2 - LA Virtual Admy'!AE34</f>
        <v>-13330.800000000001</v>
      </c>
      <c r="O35" s="355">
        <f>-'Table 5C3 - LA Connections EBR'!AB34-'Table 5C3 - LA Connections EBR'!AE34</f>
        <v>-4999.05</v>
      </c>
      <c r="P35" s="355">
        <f>-'Table 5E_OJJ'!AB36-'Table 5E_OJJ'!AC36</f>
        <v>0</v>
      </c>
      <c r="Q35" s="355">
        <f t="shared" si="10"/>
        <v>-18329.850000000002</v>
      </c>
      <c r="R35" s="740">
        <f t="shared" si="11"/>
        <v>15722413.149999999</v>
      </c>
      <c r="X35"/>
      <c r="AG35"/>
    </row>
    <row r="36" spans="1:33">
      <c r="A36" s="101">
        <v>31</v>
      </c>
      <c r="B36" s="299" t="s">
        <v>132</v>
      </c>
      <c r="C36" s="309">
        <f>'Table 2_State with Midyear Adjs'!AS37</f>
        <v>30694168</v>
      </c>
      <c r="D36" s="354"/>
      <c r="E36" s="354"/>
      <c r="F36" s="354">
        <f>-'Table 5C1A-Madison Prep'!AA37-'Table 5C1A-Madison Prep'!AD37</f>
        <v>0</v>
      </c>
      <c r="G36" s="354">
        <f>-'Table 5C1B-DArbonne'!AA37-'Table 5C1B-DArbonne'!AD37</f>
        <v>-35317.5</v>
      </c>
      <c r="H36" s="354">
        <f>-'Table 5C1C-Intl_VIBE'!AA37-'Table 5C1C-Intl_VIBE'!AD37</f>
        <v>0</v>
      </c>
      <c r="I36" s="354">
        <f>-'Table 5C1D-NOMMA'!AA37-'Table 5C1D-NOMMA'!AD37</f>
        <v>0</v>
      </c>
      <c r="J36" s="354">
        <f>-'Table 5C1E-LFNO'!AC37-'Table 5C1E-LFNO'!AF37</f>
        <v>0</v>
      </c>
      <c r="K36" s="354">
        <f>-'Table 5C1F-Lake Charles Charter'!AA37-'Table 5C1F-Lake Charles Charter'!AD37</f>
        <v>0</v>
      </c>
      <c r="L36" s="354">
        <f>-'Table 5C1G-JS Clark Academy'!AA37-'Table 5C1G-JS Clark Academy'!AD37</f>
        <v>0</v>
      </c>
      <c r="M36" s="354">
        <f>-'Table 5C1H-Southwest LA Charter'!AA37-'Table 5C1H-Southwest LA Charter'!AD37</f>
        <v>0</v>
      </c>
      <c r="N36" s="354">
        <f>-'Table 5C2 - LA Virtual Admy'!AB35-'Table 5C2 - LA Virtual Admy'!AE35</f>
        <v>-14833.350000000002</v>
      </c>
      <c r="O36" s="354">
        <f>-'Table 5C3 - LA Connections EBR'!AB35-'Table 5C3 - LA Connections EBR'!AE35</f>
        <v>-19071.450000000004</v>
      </c>
      <c r="P36" s="354">
        <f>-'Table 5E_OJJ'!AB37-'Table 5E_OJJ'!AC37</f>
        <v>-5261.8245728787388</v>
      </c>
      <c r="Q36" s="354">
        <f t="shared" si="10"/>
        <v>-74484.124572878762</v>
      </c>
      <c r="R36" s="739">
        <f t="shared" si="11"/>
        <v>30619683.875427119</v>
      </c>
      <c r="X36"/>
      <c r="AG36"/>
    </row>
    <row r="37" spans="1:33">
      <c r="A37" s="101">
        <v>32</v>
      </c>
      <c r="B37" s="299" t="s">
        <v>133</v>
      </c>
      <c r="C37" s="309">
        <f>'Table 2_State with Midyear Adjs'!AS38</f>
        <v>150009610</v>
      </c>
      <c r="D37" s="354"/>
      <c r="E37" s="354"/>
      <c r="F37" s="354">
        <f>-'Table 5C1A-Madison Prep'!AA38-'Table 5C1A-Madison Prep'!AD38</f>
        <v>0</v>
      </c>
      <c r="G37" s="354">
        <f>-'Table 5C1B-DArbonne'!AA38-'Table 5C1B-DArbonne'!AD38</f>
        <v>0</v>
      </c>
      <c r="H37" s="354">
        <f>-'Table 5C1C-Intl_VIBE'!AA38-'Table 5C1C-Intl_VIBE'!AD38</f>
        <v>0</v>
      </c>
      <c r="I37" s="354">
        <f>-'Table 5C1D-NOMMA'!AA38-'Table 5C1D-NOMMA'!AD38</f>
        <v>0</v>
      </c>
      <c r="J37" s="354">
        <f>-'Table 5C1E-LFNO'!AC38-'Table 5C1E-LFNO'!AF38</f>
        <v>0</v>
      </c>
      <c r="K37" s="354">
        <f>-'Table 5C1F-Lake Charles Charter'!AA38-'Table 5C1F-Lake Charles Charter'!AD38</f>
        <v>0</v>
      </c>
      <c r="L37" s="354">
        <f>-'Table 5C1G-JS Clark Academy'!AA38-'Table 5C1G-JS Clark Academy'!AD38</f>
        <v>0</v>
      </c>
      <c r="M37" s="354">
        <f>-'Table 5C1H-Southwest LA Charter'!AA38-'Table 5C1H-Southwest LA Charter'!AD38</f>
        <v>0</v>
      </c>
      <c r="N37" s="354">
        <f>-'Table 5C2 - LA Virtual Admy'!AB36-'Table 5C2 - LA Virtual Admy'!AE36</f>
        <v>-62043.3</v>
      </c>
      <c r="O37" s="354">
        <f>-'Table 5C3 - LA Connections EBR'!AB36-'Table 5C3 - LA Connections EBR'!AE36</f>
        <v>-145164.59999999998</v>
      </c>
      <c r="P37" s="354">
        <f>-'Table 5E_OJJ'!AB38-'Table 5E_OJJ'!AC38</f>
        <v>-6268.3624262976919</v>
      </c>
      <c r="Q37" s="354">
        <f t="shared" si="10"/>
        <v>-213476.26242629765</v>
      </c>
      <c r="R37" s="739">
        <f t="shared" si="11"/>
        <v>149796133.73757368</v>
      </c>
      <c r="X37"/>
      <c r="AG37"/>
    </row>
    <row r="38" spans="1:33">
      <c r="A38" s="101">
        <v>33</v>
      </c>
      <c r="B38" s="299" t="s">
        <v>134</v>
      </c>
      <c r="C38" s="309">
        <f>'Table 2_State with Midyear Adjs'!AS39</f>
        <v>10811796</v>
      </c>
      <c r="D38" s="354"/>
      <c r="E38" s="354"/>
      <c r="F38" s="354">
        <f>-'Table 5C1A-Madison Prep'!AA39-'Table 5C1A-Madison Prep'!AD39</f>
        <v>0</v>
      </c>
      <c r="G38" s="354">
        <f>-'Table 5C1B-DArbonne'!AA39-'Table 5C1B-DArbonne'!AD39</f>
        <v>0</v>
      </c>
      <c r="H38" s="354">
        <f>-'Table 5C1C-Intl_VIBE'!AA39-'Table 5C1C-Intl_VIBE'!AD39</f>
        <v>0</v>
      </c>
      <c r="I38" s="354">
        <f>-'Table 5C1D-NOMMA'!AA39-'Table 5C1D-NOMMA'!AD39</f>
        <v>0</v>
      </c>
      <c r="J38" s="354">
        <f>-'Table 5C1E-LFNO'!AC39-'Table 5C1E-LFNO'!AF39</f>
        <v>0</v>
      </c>
      <c r="K38" s="354">
        <f>-'Table 5C1F-Lake Charles Charter'!AA39-'Table 5C1F-Lake Charles Charter'!AD39</f>
        <v>0</v>
      </c>
      <c r="L38" s="354">
        <f>-'Table 5C1G-JS Clark Academy'!AA39-'Table 5C1G-JS Clark Academy'!AD39</f>
        <v>0</v>
      </c>
      <c r="M38" s="354">
        <f>-'Table 5C1H-Southwest LA Charter'!AA39-'Table 5C1H-Southwest LA Charter'!AD39</f>
        <v>0</v>
      </c>
      <c r="N38" s="354">
        <f>-'Table 5C2 - LA Virtual Admy'!AB37-'Table 5C2 - LA Virtual Admy'!AE37</f>
        <v>-2641.5</v>
      </c>
      <c r="O38" s="354">
        <f>-'Table 5C3 - LA Connections EBR'!AB37-'Table 5C3 - LA Connections EBR'!AE37</f>
        <v>-9418.5</v>
      </c>
      <c r="P38" s="354">
        <f>-'Table 5E_OJJ'!AB39-'Table 5E_OJJ'!AC39</f>
        <v>-15207.719546998695</v>
      </c>
      <c r="Q38" s="354">
        <f t="shared" ref="Q38:Q69" si="12">SUM(D38:P38)</f>
        <v>-27267.719546998695</v>
      </c>
      <c r="R38" s="739">
        <f t="shared" ref="R38:R74" si="13">SUM(C38:P38)</f>
        <v>10784528.280453002</v>
      </c>
      <c r="X38"/>
      <c r="AG38"/>
    </row>
    <row r="39" spans="1:33">
      <c r="A39" s="101">
        <v>34</v>
      </c>
      <c r="B39" s="299" t="s">
        <v>135</v>
      </c>
      <c r="C39" s="309">
        <f>'Table 2_State with Midyear Adjs'!AS40</f>
        <v>27761949</v>
      </c>
      <c r="D39" s="354"/>
      <c r="E39" s="354"/>
      <c r="F39" s="354">
        <f>-'Table 5C1A-Madison Prep'!AA40-'Table 5C1A-Madison Prep'!AD40</f>
        <v>0</v>
      </c>
      <c r="G39" s="354">
        <f>-'Table 5C1B-DArbonne'!AA40-'Table 5C1B-DArbonne'!AD40</f>
        <v>0</v>
      </c>
      <c r="H39" s="354">
        <f>-'Table 5C1C-Intl_VIBE'!AA40-'Table 5C1C-Intl_VIBE'!AD40</f>
        <v>0</v>
      </c>
      <c r="I39" s="354">
        <f>-'Table 5C1D-NOMMA'!AA40-'Table 5C1D-NOMMA'!AD40</f>
        <v>0</v>
      </c>
      <c r="J39" s="354">
        <f>-'Table 5C1E-LFNO'!AC40-'Table 5C1E-LFNO'!AF40</f>
        <v>0</v>
      </c>
      <c r="K39" s="354">
        <f>-'Table 5C1F-Lake Charles Charter'!AA40-'Table 5C1F-Lake Charles Charter'!AD40</f>
        <v>0</v>
      </c>
      <c r="L39" s="354">
        <f>-'Table 5C1G-JS Clark Academy'!AA40-'Table 5C1G-JS Clark Academy'!AD40</f>
        <v>0</v>
      </c>
      <c r="M39" s="354">
        <f>-'Table 5C1H-Southwest LA Charter'!AA40-'Table 5C1H-Southwest LA Charter'!AD40</f>
        <v>0</v>
      </c>
      <c r="N39" s="354">
        <f>-'Table 5C2 - LA Virtual Admy'!AB38-'Table 5C2 - LA Virtual Admy'!AE38</f>
        <v>-38613.600000000006</v>
      </c>
      <c r="O39" s="354">
        <f>-'Table 5C3 - LA Connections EBR'!AB38-'Table 5C3 - LA Connections EBR'!AE38</f>
        <v>-21175.200000000004</v>
      </c>
      <c r="P39" s="354">
        <f>-'Table 5E_OJJ'!AB40-'Table 5E_OJJ'!AC40</f>
        <v>-5809.6165040113437</v>
      </c>
      <c r="Q39" s="354">
        <f t="shared" si="12"/>
        <v>-65598.416504011358</v>
      </c>
      <c r="R39" s="739">
        <f t="shared" si="13"/>
        <v>27696350.583495989</v>
      </c>
      <c r="X39"/>
      <c r="AG39"/>
    </row>
    <row r="40" spans="1:33">
      <c r="A40" s="102">
        <v>35</v>
      </c>
      <c r="B40" s="300" t="s">
        <v>136</v>
      </c>
      <c r="C40" s="318">
        <f>'Table 2_State with Midyear Adjs'!AS41</f>
        <v>34715495</v>
      </c>
      <c r="D40" s="355"/>
      <c r="E40" s="355"/>
      <c r="F40" s="355">
        <f>-'Table 5C1A-Madison Prep'!AA41-'Table 5C1A-Madison Prep'!AD41</f>
        <v>0</v>
      </c>
      <c r="G40" s="355">
        <f>-'Table 5C1B-DArbonne'!AA41-'Table 5C1B-DArbonne'!AD41</f>
        <v>0</v>
      </c>
      <c r="H40" s="355">
        <f>-'Table 5C1C-Intl_VIBE'!AA41-'Table 5C1C-Intl_VIBE'!AD41</f>
        <v>0</v>
      </c>
      <c r="I40" s="355">
        <f>-'Table 5C1D-NOMMA'!AA41-'Table 5C1D-NOMMA'!AD41</f>
        <v>0</v>
      </c>
      <c r="J40" s="355">
        <f>-'Table 5C1E-LFNO'!AC41-'Table 5C1E-LFNO'!AF41</f>
        <v>0</v>
      </c>
      <c r="K40" s="355">
        <f>-'Table 5C1F-Lake Charles Charter'!AA41-'Table 5C1F-Lake Charles Charter'!AD41</f>
        <v>0</v>
      </c>
      <c r="L40" s="355">
        <f>-'Table 5C1G-JS Clark Academy'!AA41-'Table 5C1G-JS Clark Academy'!AD41</f>
        <v>0</v>
      </c>
      <c r="M40" s="355">
        <f>-'Table 5C1H-Southwest LA Charter'!AA41-'Table 5C1H-Southwest LA Charter'!AD41</f>
        <v>0</v>
      </c>
      <c r="N40" s="355">
        <f>-'Table 5C2 - LA Virtual Admy'!AB39-'Table 5C2 - LA Virtual Admy'!AE39</f>
        <v>-55248.3</v>
      </c>
      <c r="O40" s="355">
        <f>-'Table 5C3 - LA Connections EBR'!AB39-'Table 5C3 - LA Connections EBR'!AE39</f>
        <v>-66622.95</v>
      </c>
      <c r="P40" s="355">
        <f>-'Table 5E_OJJ'!AB41-'Table 5E_OJJ'!AC41</f>
        <v>-4411.1515756515882</v>
      </c>
      <c r="Q40" s="355">
        <f t="shared" si="12"/>
        <v>-126282.40157565159</v>
      </c>
      <c r="R40" s="740">
        <f t="shared" si="13"/>
        <v>34589212.598424345</v>
      </c>
      <c r="X40"/>
      <c r="AG40"/>
    </row>
    <row r="41" spans="1:33">
      <c r="A41" s="101">
        <v>36</v>
      </c>
      <c r="B41" s="299" t="s">
        <v>137</v>
      </c>
      <c r="C41" s="309">
        <f>'Table 2_State with Midyear Adjs'!AS42</f>
        <v>46084761</v>
      </c>
      <c r="D41" s="354"/>
      <c r="E41" s="1048">
        <f>-'Table 5B1_RSD_Orleans'!V70-'Table 5B1_RSD_Orleans'!AA70</f>
        <v>-122138001.5</v>
      </c>
      <c r="F41" s="354">
        <f>-'Table 5C1A-Madison Prep'!AA42-'Table 5C1A-Madison Prep'!AD42</f>
        <v>0</v>
      </c>
      <c r="G41" s="354">
        <f>-'Table 5C1B-DArbonne'!AA42-'Table 5C1B-DArbonne'!AD42</f>
        <v>0</v>
      </c>
      <c r="H41" s="354">
        <f>-'Table 5C1C-Intl_VIBE'!AA42-'Table 5C1C-Intl_VIBE'!AD42</f>
        <v>-1569304</v>
      </c>
      <c r="I41" s="354">
        <f>-'Table 5C1D-NOMMA'!AA42-'Table 5C1D-NOMMA'!AD42</f>
        <v>-503052</v>
      </c>
      <c r="J41" s="354">
        <f>-'Table 5C1E-LFNO'!AC42-'Table 5C1E-LFNO'!AF42</f>
        <v>-715506</v>
      </c>
      <c r="K41" s="354">
        <f>-'Table 5C1F-Lake Charles Charter'!AA42-'Table 5C1F-Lake Charles Charter'!AD42</f>
        <v>0</v>
      </c>
      <c r="L41" s="354">
        <f>-'Table 5C1G-JS Clark Academy'!AA42-'Table 5C1G-JS Clark Academy'!AD42</f>
        <v>0</v>
      </c>
      <c r="M41" s="354">
        <f>-'Table 5C1H-Southwest LA Charter'!AA42-'Table 5C1H-Southwest LA Charter'!AD42</f>
        <v>0</v>
      </c>
      <c r="N41" s="354">
        <f>-'Table 5C2 - LA Virtual Admy'!AB40-'Table 5C2 - LA Virtual Admy'!AE40</f>
        <v>-243985.50000000003</v>
      </c>
      <c r="O41" s="354">
        <f>-'Table 5C3 - LA Connections EBR'!AB40-'Table 5C3 - LA Connections EBR'!AE40</f>
        <v>-186813.00000000003</v>
      </c>
      <c r="P41" s="354">
        <f>-'Table 5E_OJJ'!AB42-'Table 5E_OJJ'!AC42</f>
        <v>-143721.09848461181</v>
      </c>
      <c r="Q41" s="1106">
        <f t="shared" si="12"/>
        <v>-125500383.09848461</v>
      </c>
      <c r="R41" s="739">
        <f t="shared" si="13"/>
        <v>-79415622.098484606</v>
      </c>
      <c r="T41" s="1095"/>
      <c r="U41" s="1095"/>
      <c r="V41" s="1095"/>
      <c r="X41"/>
      <c r="AG41"/>
    </row>
    <row r="42" spans="1:33">
      <c r="A42" s="101">
        <v>37</v>
      </c>
      <c r="B42" s="299" t="s">
        <v>138</v>
      </c>
      <c r="C42" s="309">
        <f>'Table 2_State with Midyear Adjs'!AS43</f>
        <v>120057803</v>
      </c>
      <c r="D42" s="354"/>
      <c r="E42" s="354"/>
      <c r="F42" s="354">
        <f>-'Table 5C1A-Madison Prep'!AA43-'Table 5C1A-Madison Prep'!AD43</f>
        <v>0</v>
      </c>
      <c r="G42" s="354">
        <f>-'Table 5C1B-DArbonne'!AA43-'Table 5C1B-DArbonne'!AD43</f>
        <v>-12512</v>
      </c>
      <c r="H42" s="354">
        <f>-'Table 5C1C-Intl_VIBE'!AA43-'Table 5C1C-Intl_VIBE'!AD43</f>
        <v>0</v>
      </c>
      <c r="I42" s="49">
        <f>-'Table 5C1D-NOMMA'!AA43-'Table 5C1D-NOMMA'!AD43</f>
        <v>0</v>
      </c>
      <c r="J42" s="354">
        <f>-'Table 5C1E-LFNO'!AC43-'Table 5C1E-LFNO'!AF43</f>
        <v>0</v>
      </c>
      <c r="K42" s="354">
        <f>-'Table 5C1F-Lake Charles Charter'!AA43-'Table 5C1F-Lake Charles Charter'!AD43</f>
        <v>0</v>
      </c>
      <c r="L42" s="354">
        <f>-'Table 5C1G-JS Clark Academy'!AA43-'Table 5C1G-JS Clark Academy'!AD43</f>
        <v>0</v>
      </c>
      <c r="M42" s="354">
        <f>-'Table 5C1H-Southwest LA Charter'!AA43-'Table 5C1H-Southwest LA Charter'!AD43</f>
        <v>0</v>
      </c>
      <c r="N42" s="354">
        <f>-'Table 5C2 - LA Virtual Admy'!AB41-'Table 5C2 - LA Virtual Admy'!AE41</f>
        <v>-111200.40000000001</v>
      </c>
      <c r="O42" s="354">
        <f>-'Table 5C3 - LA Connections EBR'!AB41-'Table 5C3 - LA Connections EBR'!AE41</f>
        <v>-56304.000000000015</v>
      </c>
      <c r="P42" s="354">
        <f>-'Table 5E_OJJ'!AB43-'Table 5E_OJJ'!AC43</f>
        <v>-7471.1417890053563</v>
      </c>
      <c r="Q42" s="354">
        <f t="shared" si="12"/>
        <v>-187487.54178900539</v>
      </c>
      <c r="R42" s="739">
        <f t="shared" si="13"/>
        <v>119870315.45821099</v>
      </c>
      <c r="T42" s="1095"/>
      <c r="U42" s="1095"/>
      <c r="V42" s="1095"/>
      <c r="X42"/>
      <c r="AG42"/>
    </row>
    <row r="43" spans="1:33">
      <c r="A43" s="101">
        <v>38</v>
      </c>
      <c r="B43" s="299" t="s">
        <v>139</v>
      </c>
      <c r="C43" s="309">
        <f>'Table 2_State with Midyear Adjs'!AS44</f>
        <v>11864845</v>
      </c>
      <c r="D43" s="354"/>
      <c r="E43" s="354"/>
      <c r="F43" s="354">
        <f>-'Table 5C1A-Madison Prep'!AA44-'Table 5C1A-Madison Prep'!AD44</f>
        <v>0</v>
      </c>
      <c r="G43" s="354">
        <f>-'Table 5C1B-DArbonne'!AA44-'Table 5C1B-DArbonne'!AD44</f>
        <v>0</v>
      </c>
      <c r="H43" s="354">
        <f>-'Table 5C1C-Intl_VIBE'!AA44-'Table 5C1C-Intl_VIBE'!AD44</f>
        <v>0</v>
      </c>
      <c r="I43" s="354">
        <f>-'Table 5C1D-NOMMA'!AA44-'Table 5C1D-NOMMA'!AD44</f>
        <v>-87456</v>
      </c>
      <c r="J43" s="354">
        <f>-'Table 5C1E-LFNO'!AC44-'Table 5C1E-LFNO'!AF44</f>
        <v>-32796</v>
      </c>
      <c r="K43" s="354">
        <f>-'Table 5C1F-Lake Charles Charter'!AA44-'Table 5C1F-Lake Charles Charter'!AD44</f>
        <v>0</v>
      </c>
      <c r="L43" s="354">
        <f>-'Table 5C1G-JS Clark Academy'!AA44-'Table 5C1G-JS Clark Academy'!AD44</f>
        <v>0</v>
      </c>
      <c r="M43" s="354">
        <f>-'Table 5C1H-Southwest LA Charter'!AA44-'Table 5C1H-Southwest LA Charter'!AD44</f>
        <v>0</v>
      </c>
      <c r="N43" s="354">
        <f>-'Table 5C2 - LA Virtual Admy'!AB42-'Table 5C2 - LA Virtual Admy'!AE42</f>
        <v>-39355.200000000004</v>
      </c>
      <c r="O43" s="354">
        <f>-'Table 5C3 - LA Connections EBR'!AB42-'Table 5C3 - LA Connections EBR'!AE42</f>
        <v>-49194.000000000007</v>
      </c>
      <c r="P43" s="354">
        <f>-'Table 5E_OJJ'!AB44-'Table 5E_OJJ'!AC44</f>
        <v>-3036.4112153533674</v>
      </c>
      <c r="Q43" s="354">
        <f t="shared" si="12"/>
        <v>-211837.61121535339</v>
      </c>
      <c r="R43" s="739">
        <f t="shared" si="13"/>
        <v>11653007.388784647</v>
      </c>
      <c r="T43" s="1095"/>
      <c r="U43" s="1095"/>
      <c r="V43" s="1095"/>
      <c r="X43"/>
      <c r="AG43"/>
    </row>
    <row r="44" spans="1:33">
      <c r="A44" s="101">
        <v>39</v>
      </c>
      <c r="B44" s="299" t="s">
        <v>140</v>
      </c>
      <c r="C44" s="309">
        <f>'Table 2_State with Midyear Adjs'!AS45</f>
        <v>11669230</v>
      </c>
      <c r="D44" s="354">
        <f>-'Table 5B2_RSD_LA'!AC23-'Table 5B2_RSD_LA'!AH23</f>
        <v>-985567.5</v>
      </c>
      <c r="E44" s="354"/>
      <c r="F44" s="354">
        <f>-'Table 5C1A-Madison Prep'!AA45-'Table 5C1A-Madison Prep'!AD45</f>
        <v>0</v>
      </c>
      <c r="G44" s="354">
        <f>-'Table 5C1B-DArbonne'!AA45-'Table 5C1B-DArbonne'!AD45</f>
        <v>0</v>
      </c>
      <c r="H44" s="354">
        <f>-'Table 5C1C-Intl_VIBE'!AA45-'Table 5C1C-Intl_VIBE'!AD45</f>
        <v>0</v>
      </c>
      <c r="I44" s="354">
        <f>-'Table 5C1D-NOMMA'!AA45-'Table 5C1D-NOMMA'!AD45</f>
        <v>0</v>
      </c>
      <c r="J44" s="354">
        <f>-'Table 5C1E-LFNO'!AC45-'Table 5C1E-LFNO'!AF45</f>
        <v>0</v>
      </c>
      <c r="K44" s="354">
        <f>-'Table 5C1F-Lake Charles Charter'!AA45-'Table 5C1F-Lake Charles Charter'!AD45</f>
        <v>0</v>
      </c>
      <c r="L44" s="354">
        <f>-'Table 5C1G-JS Clark Academy'!AA45-'Table 5C1G-JS Clark Academy'!AD45</f>
        <v>0</v>
      </c>
      <c r="M44" s="354">
        <f>-'Table 5C1H-Southwest LA Charter'!AA45-'Table 5C1H-Southwest LA Charter'!AD45</f>
        <v>0</v>
      </c>
      <c r="N44" s="354">
        <f>-'Table 5C2 - LA Virtual Admy'!AB43-'Table 5C2 - LA Virtual Admy'!AE43</f>
        <v>-23311.800000000003</v>
      </c>
      <c r="O44" s="354">
        <f>-'Table 5C3 - LA Connections EBR'!AB43-'Table 5C3 - LA Connections EBR'!AE43</f>
        <v>-19426.500000000004</v>
      </c>
      <c r="P44" s="354">
        <f>-'Table 5E_OJJ'!AB45-'Table 5E_OJJ'!AC45</f>
        <v>-7831.6005250651879</v>
      </c>
      <c r="Q44" s="354">
        <f t="shared" si="12"/>
        <v>-1036137.4005250653</v>
      </c>
      <c r="R44" s="739">
        <f t="shared" si="13"/>
        <v>10633092.599474935</v>
      </c>
      <c r="T44" s="566"/>
      <c r="U44" s="566"/>
      <c r="V44" s="566"/>
      <c r="X44"/>
      <c r="AG44"/>
    </row>
    <row r="45" spans="1:33">
      <c r="A45" s="102">
        <v>40</v>
      </c>
      <c r="B45" s="300" t="s">
        <v>141</v>
      </c>
      <c r="C45" s="318">
        <f>'Table 2_State with Midyear Adjs'!AS46</f>
        <v>128411403</v>
      </c>
      <c r="D45" s="355"/>
      <c r="E45" s="355"/>
      <c r="F45" s="355">
        <f>-'Table 5C1A-Madison Prep'!AA46-'Table 5C1A-Madison Prep'!AD46</f>
        <v>0</v>
      </c>
      <c r="G45" s="355">
        <f>-'Table 5C1B-DArbonne'!AA46-'Table 5C1B-DArbonne'!AD46</f>
        <v>0</v>
      </c>
      <c r="H45" s="355">
        <f>-'Table 5C1C-Intl_VIBE'!AA46-'Table 5C1C-Intl_VIBE'!AD46</f>
        <v>0</v>
      </c>
      <c r="I45" s="355">
        <f>-'Table 5C1D-NOMMA'!AA46-'Table 5C1D-NOMMA'!AD46</f>
        <v>0</v>
      </c>
      <c r="J45" s="355">
        <f>-'Table 5C1E-LFNO'!AC46-'Table 5C1E-LFNO'!AF46</f>
        <v>0</v>
      </c>
      <c r="K45" s="355">
        <f>-'Table 5C1F-Lake Charles Charter'!AA46-'Table 5C1F-Lake Charles Charter'!AD46</f>
        <v>0</v>
      </c>
      <c r="L45" s="355">
        <f>-'Table 5C1G-JS Clark Academy'!AA46-'Table 5C1G-JS Clark Academy'!AD46</f>
        <v>0</v>
      </c>
      <c r="M45" s="355">
        <f>-'Table 5C1H-Southwest LA Charter'!AA46-'Table 5C1H-Southwest LA Charter'!AD46</f>
        <v>0</v>
      </c>
      <c r="N45" s="355">
        <f>-'Table 5C2 - LA Virtual Admy'!AB44-'Table 5C2 - LA Virtual Admy'!AE44</f>
        <v>-91038.6</v>
      </c>
      <c r="O45" s="355">
        <f>-'Table 5C3 - LA Connections EBR'!AB44-'Table 5C3 - LA Connections EBR'!AE44</f>
        <v>-51456.600000000006</v>
      </c>
      <c r="P45" s="355">
        <f>-'Table 5E_OJJ'!AB46-'Table 5E_OJJ'!AC46</f>
        <v>-8851.925246707955</v>
      </c>
      <c r="Q45" s="355">
        <f t="shared" si="12"/>
        <v>-151347.12524670796</v>
      </c>
      <c r="R45" s="740">
        <f t="shared" si="13"/>
        <v>128260055.87475331</v>
      </c>
      <c r="X45"/>
      <c r="AG45"/>
    </row>
    <row r="46" spans="1:33">
      <c r="A46" s="101">
        <v>41</v>
      </c>
      <c r="B46" s="299" t="s">
        <v>142</v>
      </c>
      <c r="C46" s="309">
        <f>'Table 2_State with Midyear Adjs'!AS47</f>
        <v>3492475</v>
      </c>
      <c r="D46" s="354"/>
      <c r="E46" s="354"/>
      <c r="F46" s="354">
        <f>-'Table 5C1A-Madison Prep'!AA47-'Table 5C1A-Madison Prep'!AD47</f>
        <v>0</v>
      </c>
      <c r="G46" s="354">
        <f>-'Table 5C1B-DArbonne'!AA47-'Table 5C1B-DArbonne'!AD47</f>
        <v>0</v>
      </c>
      <c r="H46" s="354">
        <f>-'Table 5C1C-Intl_VIBE'!AA47-'Table 5C1C-Intl_VIBE'!AD47</f>
        <v>0</v>
      </c>
      <c r="I46" s="354">
        <f>-'Table 5C1D-NOMMA'!AA47-'Table 5C1D-NOMMA'!AD47</f>
        <v>0</v>
      </c>
      <c r="J46" s="354">
        <f>-'Table 5C1E-LFNO'!AC47-'Table 5C1E-LFNO'!AF47</f>
        <v>0</v>
      </c>
      <c r="K46" s="354">
        <f>-'Table 5C1F-Lake Charles Charter'!AA47-'Table 5C1F-Lake Charles Charter'!AD47</f>
        <v>0</v>
      </c>
      <c r="L46" s="354">
        <f>-'Table 5C1G-JS Clark Academy'!AA47-'Table 5C1G-JS Clark Academy'!AD47</f>
        <v>0</v>
      </c>
      <c r="M46" s="354">
        <f>-'Table 5C1H-Southwest LA Charter'!AA47-'Table 5C1H-Southwest LA Charter'!AD47</f>
        <v>0</v>
      </c>
      <c r="N46" s="354">
        <f>-'Table 5C2 - LA Virtual Admy'!AB45-'Table 5C2 - LA Virtual Admy'!AE45</f>
        <v>-21646.799999999999</v>
      </c>
      <c r="O46" s="354">
        <f>-'Table 5C3 - LA Connections EBR'!AB45-'Table 5C3 - LA Connections EBR'!AE45</f>
        <v>-5411.7</v>
      </c>
      <c r="P46" s="354">
        <f>-'Table 5E_OJJ'!AB47-'Table 5E_OJJ'!AC47</f>
        <v>-5433.3357142043587</v>
      </c>
      <c r="Q46" s="354">
        <f t="shared" si="12"/>
        <v>-32491.835714204361</v>
      </c>
      <c r="R46" s="739">
        <f t="shared" si="13"/>
        <v>3459983.1642857958</v>
      </c>
      <c r="X46"/>
      <c r="AG46"/>
    </row>
    <row r="47" spans="1:33">
      <c r="A47" s="101">
        <v>42</v>
      </c>
      <c r="B47" s="299" t="s">
        <v>143</v>
      </c>
      <c r="C47" s="309">
        <f>'Table 2_State with Midyear Adjs'!AS48</f>
        <v>19795677</v>
      </c>
      <c r="D47" s="354"/>
      <c r="E47" s="354"/>
      <c r="F47" s="354">
        <f>-'Table 5C1A-Madison Prep'!AA48-'Table 5C1A-Madison Prep'!AD48</f>
        <v>0</v>
      </c>
      <c r="G47" s="354">
        <f>-'Table 5C1B-DArbonne'!AA48-'Table 5C1B-DArbonne'!AD48</f>
        <v>0</v>
      </c>
      <c r="H47" s="354">
        <f>-'Table 5C1C-Intl_VIBE'!AA48-'Table 5C1C-Intl_VIBE'!AD48</f>
        <v>0</v>
      </c>
      <c r="I47" s="354">
        <f>-'Table 5C1D-NOMMA'!AA48-'Table 5C1D-NOMMA'!AD48</f>
        <v>0</v>
      </c>
      <c r="J47" s="354">
        <f>-'Table 5C1E-LFNO'!AC48-'Table 5C1E-LFNO'!AF48</f>
        <v>0</v>
      </c>
      <c r="K47" s="354">
        <f>-'Table 5C1F-Lake Charles Charter'!AA48-'Table 5C1F-Lake Charles Charter'!AD48</f>
        <v>0</v>
      </c>
      <c r="L47" s="354">
        <f>-'Table 5C1G-JS Clark Academy'!AA48-'Table 5C1G-JS Clark Academy'!AD48</f>
        <v>0</v>
      </c>
      <c r="M47" s="354">
        <f>-'Table 5C1H-Southwest LA Charter'!AA48-'Table 5C1H-Southwest LA Charter'!AD48</f>
        <v>0</v>
      </c>
      <c r="N47" s="354">
        <f>-'Table 5C2 - LA Virtual Admy'!AB46-'Table 5C2 - LA Virtual Admy'!AE46</f>
        <v>-24632.550000000003</v>
      </c>
      <c r="O47" s="354">
        <f>-'Table 5C3 - LA Connections EBR'!AB46-'Table 5C3 - LA Connections EBR'!AE46</f>
        <v>-6482.25</v>
      </c>
      <c r="P47" s="354">
        <f>-'Table 5E_OJJ'!AB48-'Table 5E_OJJ'!AC48</f>
        <v>-7979.0021011180861</v>
      </c>
      <c r="Q47" s="354">
        <f t="shared" si="12"/>
        <v>-39093.80210111809</v>
      </c>
      <c r="R47" s="739">
        <f t="shared" si="13"/>
        <v>19756583.19789888</v>
      </c>
      <c r="X47"/>
      <c r="AG47"/>
    </row>
    <row r="48" spans="1:33">
      <c r="A48" s="101">
        <v>43</v>
      </c>
      <c r="B48" s="299" t="s">
        <v>144</v>
      </c>
      <c r="C48" s="309">
        <f>'Table 2_State with Midyear Adjs'!AS49</f>
        <v>24814569</v>
      </c>
      <c r="D48" s="354"/>
      <c r="E48" s="354"/>
      <c r="F48" s="354">
        <f>-'Table 5C1A-Madison Prep'!AA49-'Table 5C1A-Madison Prep'!AD49</f>
        <v>0</v>
      </c>
      <c r="G48" s="354">
        <f>-'Table 5C1B-DArbonne'!AA49-'Table 5C1B-DArbonne'!AD49</f>
        <v>0</v>
      </c>
      <c r="H48" s="354">
        <f>-'Table 5C1C-Intl_VIBE'!AA49-'Table 5C1C-Intl_VIBE'!AD49</f>
        <v>0</v>
      </c>
      <c r="I48" s="354">
        <f>-'Table 5C1D-NOMMA'!AA49-'Table 5C1D-NOMMA'!AD49</f>
        <v>0</v>
      </c>
      <c r="J48" s="354">
        <f>-'Table 5C1E-LFNO'!AC49-'Table 5C1E-LFNO'!AF49</f>
        <v>0</v>
      </c>
      <c r="K48" s="354">
        <f>-'Table 5C1F-Lake Charles Charter'!AA49-'Table 5C1F-Lake Charles Charter'!AD49</f>
        <v>0</v>
      </c>
      <c r="L48" s="354">
        <f>-'Table 5C1G-JS Clark Academy'!AA49-'Table 5C1G-JS Clark Academy'!AD49</f>
        <v>0</v>
      </c>
      <c r="M48" s="354">
        <f>-'Table 5C1H-Southwest LA Charter'!AA49-'Table 5C1H-Southwest LA Charter'!AD49</f>
        <v>0</v>
      </c>
      <c r="N48" s="354">
        <f>-'Table 5C2 - LA Virtual Admy'!AB47-'Table 5C2 - LA Virtual Admy'!AE47</f>
        <v>-35572.5</v>
      </c>
      <c r="O48" s="354">
        <f>-'Table 5C3 - LA Connections EBR'!AB47-'Table 5C3 - LA Connections EBR'!AE47</f>
        <v>-35572.5</v>
      </c>
      <c r="P48" s="354">
        <f>-'Table 5E_OJJ'!AB49-'Table 5E_OJJ'!AC49</f>
        <v>-738.19146606213883</v>
      </c>
      <c r="Q48" s="354">
        <f t="shared" si="12"/>
        <v>-71883.191466062141</v>
      </c>
      <c r="R48" s="739">
        <f t="shared" si="13"/>
        <v>24742685.808533937</v>
      </c>
      <c r="X48"/>
      <c r="AG48"/>
    </row>
    <row r="49" spans="1:33">
      <c r="A49" s="101">
        <v>44</v>
      </c>
      <c r="B49" s="299" t="s">
        <v>145</v>
      </c>
      <c r="C49" s="309">
        <f>'Table 2_State with Midyear Adjs'!AS50</f>
        <v>30232592</v>
      </c>
      <c r="D49" s="354"/>
      <c r="E49" s="354"/>
      <c r="F49" s="354">
        <f>-'Table 5C1A-Madison Prep'!AA50-'Table 5C1A-Madison Prep'!AD50</f>
        <v>0</v>
      </c>
      <c r="G49" s="354">
        <f>-'Table 5C1B-DArbonne'!AA50-'Table 5C1B-DArbonne'!AD50</f>
        <v>0</v>
      </c>
      <c r="H49" s="354">
        <f>-'Table 5C1C-Intl_VIBE'!AA50-'Table 5C1C-Intl_VIBE'!AD50</f>
        <v>-12890.5</v>
      </c>
      <c r="I49" s="354">
        <f>-'Table 5C1D-NOMMA'!AA50-'Table 5C1D-NOMMA'!AD50</f>
        <v>-8266</v>
      </c>
      <c r="J49" s="354">
        <f>-'Table 5C1E-LFNO'!AC50-'Table 5C1E-LFNO'!AF50</f>
        <v>-8266</v>
      </c>
      <c r="K49" s="354">
        <f>-'Table 5C1F-Lake Charles Charter'!AA50-'Table 5C1F-Lake Charles Charter'!AD50</f>
        <v>0</v>
      </c>
      <c r="L49" s="354">
        <f>-'Table 5C1G-JS Clark Academy'!AA50-'Table 5C1G-JS Clark Academy'!AD50</f>
        <v>0</v>
      </c>
      <c r="M49" s="354">
        <f>-'Table 5C1H-Southwest LA Charter'!AA50-'Table 5C1H-Southwest LA Charter'!AD50</f>
        <v>0</v>
      </c>
      <c r="N49" s="354">
        <f>-'Table 5C2 - LA Virtual Admy'!AB48-'Table 5C2 - LA Virtual Admy'!AE48</f>
        <v>-13018.95</v>
      </c>
      <c r="O49" s="354">
        <f>-'Table 5C3 - LA Connections EBR'!AB48-'Table 5C3 - LA Connections EBR'!AE48</f>
        <v>-35337.15</v>
      </c>
      <c r="P49" s="354">
        <f>-'Table 5E_OJJ'!AB50-'Table 5E_OJJ'!AC50</f>
        <v>-3130.7633795876827</v>
      </c>
      <c r="Q49" s="354">
        <f t="shared" si="12"/>
        <v>-80909.363379587681</v>
      </c>
      <c r="R49" s="739">
        <f t="shared" si="13"/>
        <v>30151682.636620414</v>
      </c>
      <c r="X49"/>
      <c r="AG49"/>
    </row>
    <row r="50" spans="1:33">
      <c r="A50" s="102">
        <v>45</v>
      </c>
      <c r="B50" s="300" t="s">
        <v>146</v>
      </c>
      <c r="C50" s="318">
        <f>'Table 2_State with Midyear Adjs'!AS51</f>
        <v>30097366</v>
      </c>
      <c r="D50" s="355"/>
      <c r="E50" s="355"/>
      <c r="F50" s="355">
        <f>-'Table 5C1A-Madison Prep'!AA51-'Table 5C1A-Madison Prep'!AD51</f>
        <v>0</v>
      </c>
      <c r="G50" s="355">
        <f>-'Table 5C1B-DArbonne'!AA51-'Table 5C1B-DArbonne'!AD51</f>
        <v>0</v>
      </c>
      <c r="H50" s="355">
        <f>-'Table 5C1C-Intl_VIBE'!AA51-'Table 5C1C-Intl_VIBE'!AD51</f>
        <v>-22318</v>
      </c>
      <c r="I50" s="355">
        <f>-'Table 5C1D-NOMMA'!AA51-'Table 5C1D-NOMMA'!AD51</f>
        <v>0</v>
      </c>
      <c r="J50" s="355">
        <f>-'Table 5C1E-LFNO'!AC51-'Table 5C1E-LFNO'!AF51</f>
        <v>-12446</v>
      </c>
      <c r="K50" s="355">
        <f>-'Table 5C1F-Lake Charles Charter'!AA51-'Table 5C1F-Lake Charles Charter'!AD51</f>
        <v>0</v>
      </c>
      <c r="L50" s="355">
        <f>-'Table 5C1G-JS Clark Academy'!AA51-'Table 5C1G-JS Clark Academy'!AD51</f>
        <v>0</v>
      </c>
      <c r="M50" s="355">
        <f>-'Table 5C1H-Southwest LA Charter'!AA51-'Table 5C1H-Southwest LA Charter'!AD51</f>
        <v>0</v>
      </c>
      <c r="N50" s="355">
        <f>-'Table 5C2 - LA Virtual Admy'!AB49-'Table 5C2 - LA Virtual Admy'!AE49</f>
        <v>-22402.799999999999</v>
      </c>
      <c r="O50" s="355">
        <f>-'Table 5C3 - LA Connections EBR'!AB49-'Table 5C3 - LA Connections EBR'!AE49</f>
        <v>-274434.29999999993</v>
      </c>
      <c r="P50" s="355">
        <f>-'Table 5E_OJJ'!AB51-'Table 5E_OJJ'!AC51</f>
        <v>-12415.924826768369</v>
      </c>
      <c r="Q50" s="355">
        <f t="shared" si="12"/>
        <v>-344017.02482676826</v>
      </c>
      <c r="R50" s="740">
        <f t="shared" si="13"/>
        <v>29753348.975173231</v>
      </c>
      <c r="X50"/>
      <c r="AG50"/>
    </row>
    <row r="51" spans="1:33">
      <c r="A51" s="101">
        <v>46</v>
      </c>
      <c r="B51" s="299" t="s">
        <v>147</v>
      </c>
      <c r="C51" s="309">
        <f>'Table 2_State with Midyear Adjs'!AS52</f>
        <v>4737054</v>
      </c>
      <c r="D51" s="354">
        <f>-'Table 5B2_RSD_LA'!AC35-'Table 5B2_RSD_LA'!AH35</f>
        <v>-343271</v>
      </c>
      <c r="E51" s="354"/>
      <c r="F51" s="354">
        <f>-'Table 5C1A-Madison Prep'!AA52-'Table 5C1A-Madison Prep'!AD52</f>
        <v>0</v>
      </c>
      <c r="G51" s="354">
        <f>-'Table 5C1B-DArbonne'!AA52-'Table 5C1B-DArbonne'!AD52</f>
        <v>0</v>
      </c>
      <c r="H51" s="354">
        <f>-'Table 5C1C-Intl_VIBE'!AA52-'Table 5C1C-Intl_VIBE'!AD52</f>
        <v>0</v>
      </c>
      <c r="I51" s="354">
        <f>-'Table 5C1D-NOMMA'!AA52-'Table 5C1D-NOMMA'!AD52</f>
        <v>0</v>
      </c>
      <c r="J51" s="354">
        <f>-'Table 5C1E-LFNO'!AC52-'Table 5C1E-LFNO'!AF52</f>
        <v>0</v>
      </c>
      <c r="K51" s="354">
        <f>-'Table 5C1F-Lake Charles Charter'!AA52-'Table 5C1F-Lake Charles Charter'!AD52</f>
        <v>0</v>
      </c>
      <c r="L51" s="354">
        <f>-'Table 5C1G-JS Clark Academy'!AA52-'Table 5C1G-JS Clark Academy'!AD52</f>
        <v>0</v>
      </c>
      <c r="M51" s="354">
        <f>-'Table 5C1H-Southwest LA Charter'!AA52-'Table 5C1H-Southwest LA Charter'!AD52</f>
        <v>0</v>
      </c>
      <c r="N51" s="354">
        <f>-'Table 5C2 - LA Virtual Admy'!AB50-'Table 5C2 - LA Virtual Admy'!AE50</f>
        <v>-16894.800000000003</v>
      </c>
      <c r="O51" s="354">
        <f>-'Table 5C3 - LA Connections EBR'!AB50-'Table 5C3 - LA Connections EBR'!AE50</f>
        <v>-16894.800000000003</v>
      </c>
      <c r="P51" s="354">
        <f>-'Table 5E_OJJ'!AB52-'Table 5E_OJJ'!AC52</f>
        <v>0</v>
      </c>
      <c r="Q51" s="354">
        <f t="shared" si="12"/>
        <v>-377060.6</v>
      </c>
      <c r="R51" s="739">
        <f t="shared" si="13"/>
        <v>4359993.4000000004</v>
      </c>
      <c r="X51"/>
      <c r="AG51"/>
    </row>
    <row r="52" spans="1:33">
      <c r="A52" s="101">
        <v>47</v>
      </c>
      <c r="B52" s="299" t="s">
        <v>148</v>
      </c>
      <c r="C52" s="309">
        <f>'Table 2_State with Midyear Adjs'!AS53</f>
        <v>14905624</v>
      </c>
      <c r="D52" s="354"/>
      <c r="E52" s="354"/>
      <c r="F52" s="354">
        <f>-'Table 5C1A-Madison Prep'!AA53-'Table 5C1A-Madison Prep'!AD53</f>
        <v>0</v>
      </c>
      <c r="G52" s="354">
        <f>-'Table 5C1B-DArbonne'!AA53-'Table 5C1B-DArbonne'!AD53</f>
        <v>0</v>
      </c>
      <c r="H52" s="354">
        <f>-'Table 5C1C-Intl_VIBE'!AA53-'Table 5C1C-Intl_VIBE'!AD53</f>
        <v>0</v>
      </c>
      <c r="I52" s="354">
        <f>-'Table 5C1D-NOMMA'!AA53-'Table 5C1D-NOMMA'!AD53</f>
        <v>0</v>
      </c>
      <c r="J52" s="354">
        <f>-'Table 5C1E-LFNO'!AC53-'Table 5C1E-LFNO'!AF53</f>
        <v>0</v>
      </c>
      <c r="K52" s="354">
        <f>-'Table 5C1F-Lake Charles Charter'!AA53-'Table 5C1F-Lake Charles Charter'!AD53</f>
        <v>0</v>
      </c>
      <c r="L52" s="354">
        <f>-'Table 5C1G-JS Clark Academy'!AA53-'Table 5C1G-JS Clark Academy'!AD53</f>
        <v>0</v>
      </c>
      <c r="M52" s="354">
        <f>-'Table 5C1H-Southwest LA Charter'!AA53-'Table 5C1H-Southwest LA Charter'!AD53</f>
        <v>0</v>
      </c>
      <c r="N52" s="354">
        <f>-'Table 5C2 - LA Virtual Admy'!AB51-'Table 5C2 - LA Virtual Admy'!AE51</f>
        <v>-18120.599999999999</v>
      </c>
      <c r="O52" s="354">
        <f>-'Table 5C3 - LA Connections EBR'!AB51-'Table 5C3 - LA Connections EBR'!AE51</f>
        <v>-9060.3000000000011</v>
      </c>
      <c r="P52" s="354">
        <f>-'Table 5E_OJJ'!AB53-'Table 5E_OJJ'!AC53</f>
        <v>0</v>
      </c>
      <c r="Q52" s="354">
        <f t="shared" si="12"/>
        <v>-27180.9</v>
      </c>
      <c r="R52" s="739">
        <f t="shared" si="13"/>
        <v>14878443.1</v>
      </c>
      <c r="X52"/>
      <c r="AG52"/>
    </row>
    <row r="53" spans="1:33">
      <c r="A53" s="101">
        <v>48</v>
      </c>
      <c r="B53" s="299" t="s">
        <v>217</v>
      </c>
      <c r="C53" s="309">
        <f>'Table 2_State with Midyear Adjs'!AS54</f>
        <v>29600952</v>
      </c>
      <c r="D53" s="354"/>
      <c r="E53" s="354"/>
      <c r="F53" s="354">
        <f>-'Table 5C1A-Madison Prep'!AA54-'Table 5C1A-Madison Prep'!AD54</f>
        <v>0</v>
      </c>
      <c r="G53" s="354">
        <f>-'Table 5C1B-DArbonne'!AA54-'Table 5C1B-DArbonne'!AD54</f>
        <v>0</v>
      </c>
      <c r="H53" s="354">
        <f>-'Table 5C1C-Intl_VIBE'!AA54-'Table 5C1C-Intl_VIBE'!AD54</f>
        <v>-9474</v>
      </c>
      <c r="I53" s="354">
        <f>-'Table 5C1D-NOMMA'!AA54-'Table 5C1D-NOMMA'!AD54</f>
        <v>0</v>
      </c>
      <c r="J53" s="354">
        <f>-'Table 5C1E-LFNO'!AC54-'Table 5C1E-LFNO'!AF54</f>
        <v>0</v>
      </c>
      <c r="K53" s="354">
        <f>-'Table 5C1F-Lake Charles Charter'!AA54-'Table 5C1F-Lake Charles Charter'!AD54</f>
        <v>0</v>
      </c>
      <c r="L53" s="354">
        <f>-'Table 5C1G-JS Clark Academy'!AA54-'Table 5C1G-JS Clark Academy'!AD54</f>
        <v>0</v>
      </c>
      <c r="M53" s="354">
        <f>-'Table 5C1H-Southwest LA Charter'!AA54-'Table 5C1H-Southwest LA Charter'!AD54</f>
        <v>0</v>
      </c>
      <c r="N53" s="354">
        <f>-'Table 5C2 - LA Virtual Admy'!AB52-'Table 5C2 - LA Virtual Admy'!AE52</f>
        <v>-155290.95000000001</v>
      </c>
      <c r="O53" s="354">
        <f>-'Table 5C3 - LA Connections EBR'!AB52-'Table 5C3 - LA Connections EBR'!AE52</f>
        <v>-52641.000000000007</v>
      </c>
      <c r="P53" s="354">
        <f>-'Table 5E_OJJ'!AB54-'Table 5E_OJJ'!AC54</f>
        <v>0</v>
      </c>
      <c r="Q53" s="354">
        <f t="shared" si="12"/>
        <v>-217405.95</v>
      </c>
      <c r="R53" s="739">
        <f t="shared" si="13"/>
        <v>29383546.050000001</v>
      </c>
      <c r="X53"/>
      <c r="AG53"/>
    </row>
    <row r="54" spans="1:33">
      <c r="A54" s="101">
        <v>49</v>
      </c>
      <c r="B54" s="299" t="s">
        <v>149</v>
      </c>
      <c r="C54" s="309">
        <f>'Table 2_State with Midyear Adjs'!AS55</f>
        <v>77153750</v>
      </c>
      <c r="D54" s="354"/>
      <c r="E54" s="354"/>
      <c r="F54" s="354">
        <f>-'Table 5C1A-Madison Prep'!AA55-'Table 5C1A-Madison Prep'!AD55</f>
        <v>0</v>
      </c>
      <c r="G54" s="354">
        <f>-'Table 5C1B-DArbonne'!AA55-'Table 5C1B-DArbonne'!AD55</f>
        <v>0</v>
      </c>
      <c r="H54" s="354">
        <f>-'Table 5C1C-Intl_VIBE'!AA55-'Table 5C1C-Intl_VIBE'!AD55</f>
        <v>0</v>
      </c>
      <c r="I54" s="354">
        <f>-'Table 5C1D-NOMMA'!AA55-'Table 5C1D-NOMMA'!AD55</f>
        <v>0</v>
      </c>
      <c r="J54" s="354">
        <f>-'Table 5C1E-LFNO'!AC55-'Table 5C1E-LFNO'!AF55</f>
        <v>0</v>
      </c>
      <c r="K54" s="354">
        <f>-'Table 5C1F-Lake Charles Charter'!AA55-'Table 5C1F-Lake Charles Charter'!AD55</f>
        <v>0</v>
      </c>
      <c r="L54" s="354">
        <f>-'Table 5C1G-JS Clark Academy'!AA55-'Table 5C1G-JS Clark Academy'!AD55</f>
        <v>-404512.5</v>
      </c>
      <c r="M54" s="354">
        <f>-'Table 5C1H-Southwest LA Charter'!AA55-'Table 5C1H-Southwest LA Charter'!AD55</f>
        <v>0</v>
      </c>
      <c r="N54" s="354">
        <f>-'Table 5C2 - LA Virtual Admy'!AB53-'Table 5C2 - LA Virtual Admy'!AE53</f>
        <v>-106580.25</v>
      </c>
      <c r="O54" s="354">
        <f>-'Table 5C3 - LA Connections EBR'!AB53-'Table 5C3 - LA Connections EBR'!AE53</f>
        <v>-50652</v>
      </c>
      <c r="P54" s="354">
        <f>-'Table 5E_OJJ'!AB55-'Table 5E_OJJ'!AC55</f>
        <v>-12026.230073729437</v>
      </c>
      <c r="Q54" s="354">
        <f t="shared" si="12"/>
        <v>-573770.98007372941</v>
      </c>
      <c r="R54" s="739">
        <f t="shared" si="13"/>
        <v>76579979.019926265</v>
      </c>
      <c r="X54"/>
      <c r="AG54"/>
    </row>
    <row r="55" spans="1:33">
      <c r="A55" s="102">
        <v>50</v>
      </c>
      <c r="B55" s="300" t="s">
        <v>150</v>
      </c>
      <c r="C55" s="318">
        <f>'Table 2_State with Midyear Adjs'!AS56</f>
        <v>45382807</v>
      </c>
      <c r="D55" s="355"/>
      <c r="E55" s="355"/>
      <c r="F55" s="355">
        <f>-'Table 5C1A-Madison Prep'!AA56-'Table 5C1A-Madison Prep'!AD56</f>
        <v>0</v>
      </c>
      <c r="G55" s="355">
        <f>-'Table 5C1B-DArbonne'!AA56-'Table 5C1B-DArbonne'!AD56</f>
        <v>0</v>
      </c>
      <c r="H55" s="355">
        <f>-'Table 5C1C-Intl_VIBE'!AA56-'Table 5C1C-Intl_VIBE'!AD56</f>
        <v>0</v>
      </c>
      <c r="I55" s="355">
        <f>-'Table 5C1D-NOMMA'!AA56-'Table 5C1D-NOMMA'!AD56</f>
        <v>0</v>
      </c>
      <c r="J55" s="355">
        <f>-'Table 5C1E-LFNO'!AC56-'Table 5C1E-LFNO'!AF56</f>
        <v>0</v>
      </c>
      <c r="K55" s="355">
        <f>-'Table 5C1F-Lake Charles Charter'!AA56-'Table 5C1F-Lake Charles Charter'!AD56</f>
        <v>0</v>
      </c>
      <c r="L55" s="355">
        <f>-'Table 5C1G-JS Clark Academy'!AA56-'Table 5C1G-JS Clark Academy'!AD56</f>
        <v>0</v>
      </c>
      <c r="M55" s="355">
        <f>-'Table 5C1H-Southwest LA Charter'!AA56-'Table 5C1H-Southwest LA Charter'!AD56</f>
        <v>0</v>
      </c>
      <c r="N55" s="355">
        <f>-'Table 5C2 - LA Virtual Admy'!AB54-'Table 5C2 - LA Virtual Admy'!AE54</f>
        <v>-26554.5</v>
      </c>
      <c r="O55" s="355">
        <f>-'Table 5C3 - LA Connections EBR'!AB54-'Table 5C3 - LA Connections EBR'!AE54</f>
        <v>-13909.5</v>
      </c>
      <c r="P55" s="355">
        <f>-'Table 5E_OJJ'!AB56-'Table 5E_OJJ'!AC56</f>
        <v>-9723.4038607362272</v>
      </c>
      <c r="Q55" s="355">
        <f t="shared" si="12"/>
        <v>-50187.403860736231</v>
      </c>
      <c r="R55" s="740">
        <f t="shared" si="13"/>
        <v>45332619.596139267</v>
      </c>
      <c r="X55"/>
      <c r="AG55"/>
    </row>
    <row r="56" spans="1:33">
      <c r="A56" s="101">
        <v>51</v>
      </c>
      <c r="B56" s="299" t="s">
        <v>151</v>
      </c>
      <c r="C56" s="309">
        <f>'Table 2_State with Midyear Adjs'!AS57</f>
        <v>45559507</v>
      </c>
      <c r="D56" s="354"/>
      <c r="E56" s="354"/>
      <c r="F56" s="354">
        <f>-'Table 5C1A-Madison Prep'!AA57-'Table 5C1A-Madison Prep'!AD57</f>
        <v>0</v>
      </c>
      <c r="G56" s="354">
        <f>-'Table 5C1B-DArbonne'!AA57-'Table 5C1B-DArbonne'!AD57</f>
        <v>0</v>
      </c>
      <c r="H56" s="354">
        <f>-'Table 5C1C-Intl_VIBE'!AA57-'Table 5C1C-Intl_VIBE'!AD57</f>
        <v>0</v>
      </c>
      <c r="I56" s="354">
        <f>-'Table 5C1D-NOMMA'!AA57-'Table 5C1D-NOMMA'!AD57</f>
        <v>0</v>
      </c>
      <c r="J56" s="354">
        <f>-'Table 5C1E-LFNO'!AC57-'Table 5C1E-LFNO'!AF57</f>
        <v>0</v>
      </c>
      <c r="K56" s="354">
        <f>-'Table 5C1F-Lake Charles Charter'!AA57-'Table 5C1F-Lake Charles Charter'!AD57</f>
        <v>0</v>
      </c>
      <c r="L56" s="354">
        <f>-'Table 5C1G-JS Clark Academy'!AA57-'Table 5C1G-JS Clark Academy'!AD57</f>
        <v>0</v>
      </c>
      <c r="M56" s="354">
        <f>-'Table 5C1H-Southwest LA Charter'!AA57-'Table 5C1H-Southwest LA Charter'!AD57</f>
        <v>0</v>
      </c>
      <c r="N56" s="354">
        <f>-'Table 5C2 - LA Virtual Admy'!AB55-'Table 5C2 - LA Virtual Admy'!AE55</f>
        <v>-9429.7499999999964</v>
      </c>
      <c r="O56" s="354">
        <f>-'Table 5C3 - LA Connections EBR'!AB55-'Table 5C3 - LA Connections EBR'!AE55</f>
        <v>-7543.7999999999993</v>
      </c>
      <c r="P56" s="354">
        <f>-'Table 5E_OJJ'!AB57-'Table 5E_OJJ'!AC57</f>
        <v>-7239.2362657702624</v>
      </c>
      <c r="Q56" s="354">
        <f t="shared" si="12"/>
        <v>-24212.786265770257</v>
      </c>
      <c r="R56" s="739">
        <f t="shared" si="13"/>
        <v>45535294.213734232</v>
      </c>
      <c r="X56"/>
      <c r="AG56"/>
    </row>
    <row r="57" spans="1:33">
      <c r="A57" s="101">
        <v>52</v>
      </c>
      <c r="B57" s="299" t="s">
        <v>152</v>
      </c>
      <c r="C57" s="309">
        <f>'Table 2_State with Midyear Adjs'!AS58</f>
        <v>206772769</v>
      </c>
      <c r="D57" s="354"/>
      <c r="E57" s="354"/>
      <c r="F57" s="354">
        <f>-'Table 5C1A-Madison Prep'!AA58-'Table 5C1A-Madison Prep'!AD58</f>
        <v>0</v>
      </c>
      <c r="G57" s="354">
        <f>-'Table 5C1B-DArbonne'!AA58-'Table 5C1B-DArbonne'!AD58</f>
        <v>0</v>
      </c>
      <c r="H57" s="354">
        <f>-'Table 5C1C-Intl_VIBE'!AA58-'Table 5C1C-Intl_VIBE'!AD58</f>
        <v>-12150</v>
      </c>
      <c r="I57" s="354">
        <f>-'Table 5C1D-NOMMA'!AA58-'Table 5C1D-NOMMA'!AD58</f>
        <v>-2447.5</v>
      </c>
      <c r="J57" s="354">
        <f>-'Table 5C1E-LFNO'!AC58-'Table 5C1E-LFNO'!AF58</f>
        <v>-4895</v>
      </c>
      <c r="K57" s="354">
        <f>-'Table 5C1F-Lake Charles Charter'!AA58-'Table 5C1F-Lake Charles Charter'!AD58</f>
        <v>0</v>
      </c>
      <c r="L57" s="354">
        <f>-'Table 5C1G-JS Clark Academy'!AA58-'Table 5C1G-JS Clark Academy'!AD58</f>
        <v>0</v>
      </c>
      <c r="M57" s="354">
        <f>-'Table 5C1H-Southwest LA Charter'!AA58-'Table 5C1H-Southwest LA Charter'!AD58</f>
        <v>0</v>
      </c>
      <c r="N57" s="354">
        <f>-'Table 5C2 - LA Virtual Admy'!AB56-'Table 5C2 - LA Virtual Admy'!AE56</f>
        <v>-343694.7</v>
      </c>
      <c r="O57" s="354">
        <f>-'Table 5C3 - LA Connections EBR'!AB56-'Table 5C3 - LA Connections EBR'!AE56</f>
        <v>-500024.25</v>
      </c>
      <c r="P57" s="354">
        <f>-'Table 5E_OJJ'!AB58-'Table 5E_OJJ'!AC58</f>
        <v>-46988.75189370085</v>
      </c>
      <c r="Q57" s="354">
        <f t="shared" si="12"/>
        <v>-910200.20189370075</v>
      </c>
      <c r="R57" s="739">
        <f t="shared" si="13"/>
        <v>205862568.79810631</v>
      </c>
      <c r="X57"/>
      <c r="AG57"/>
    </row>
    <row r="58" spans="1:33">
      <c r="A58" s="101">
        <v>53</v>
      </c>
      <c r="B58" s="299" t="s">
        <v>153</v>
      </c>
      <c r="C58" s="309">
        <f>'Table 2_State with Midyear Adjs'!AS59</f>
        <v>104897142</v>
      </c>
      <c r="D58" s="354"/>
      <c r="E58" s="354"/>
      <c r="F58" s="354">
        <f>-'Table 5C1A-Madison Prep'!AA59-'Table 5C1A-Madison Prep'!AD59</f>
        <v>0</v>
      </c>
      <c r="G58" s="354">
        <f>-'Table 5C1B-DArbonne'!AA59-'Table 5C1B-DArbonne'!AD59</f>
        <v>0</v>
      </c>
      <c r="H58" s="354">
        <f>-'Table 5C1C-Intl_VIBE'!AA59-'Table 5C1C-Intl_VIBE'!AD59</f>
        <v>0</v>
      </c>
      <c r="I58" s="354">
        <f>-'Table 5C1D-NOMMA'!AA59-'Table 5C1D-NOMMA'!AD59</f>
        <v>0</v>
      </c>
      <c r="J58" s="354">
        <f>-'Table 5C1E-LFNO'!AC59-'Table 5C1E-LFNO'!AF59</f>
        <v>0</v>
      </c>
      <c r="K58" s="354">
        <f>-'Table 5C1F-Lake Charles Charter'!AA59-'Table 5C1F-Lake Charles Charter'!AD59</f>
        <v>0</v>
      </c>
      <c r="L58" s="354">
        <f>-'Table 5C1G-JS Clark Academy'!AA59-'Table 5C1G-JS Clark Academy'!AD59</f>
        <v>0</v>
      </c>
      <c r="M58" s="354">
        <f>-'Table 5C1H-Southwest LA Charter'!AA59-'Table 5C1H-Southwest LA Charter'!AD59</f>
        <v>0</v>
      </c>
      <c r="N58" s="354">
        <f>-'Table 5C2 - LA Virtual Admy'!AB57-'Table 5C2 - LA Virtual Admy'!AE57</f>
        <v>-95782.5</v>
      </c>
      <c r="O58" s="354">
        <f>-'Table 5C3 - LA Connections EBR'!AB57-'Table 5C3 - LA Connections EBR'!AE57</f>
        <v>-66177</v>
      </c>
      <c r="P58" s="354">
        <f>-'Table 5E_OJJ'!AB59-'Table 5E_OJJ'!AC59</f>
        <v>-16606.698117492713</v>
      </c>
      <c r="Q58" s="354">
        <f t="shared" si="12"/>
        <v>-178566.19811749272</v>
      </c>
      <c r="R58" s="739">
        <f t="shared" si="13"/>
        <v>104718575.80188251</v>
      </c>
      <c r="X58"/>
      <c r="AG58"/>
    </row>
    <row r="59" spans="1:33">
      <c r="A59" s="101">
        <v>54</v>
      </c>
      <c r="B59" s="299" t="s">
        <v>154</v>
      </c>
      <c r="C59" s="309">
        <f>'Table 2_State with Midyear Adjs'!AS60</f>
        <v>4714639</v>
      </c>
      <c r="D59" s="354"/>
      <c r="E59" s="354"/>
      <c r="F59" s="354">
        <f>-'Table 5C1A-Madison Prep'!AA60-'Table 5C1A-Madison Prep'!AD60</f>
        <v>0</v>
      </c>
      <c r="G59" s="354">
        <f>-'Table 5C1B-DArbonne'!AA60-'Table 5C1B-DArbonne'!AD60</f>
        <v>0</v>
      </c>
      <c r="H59" s="354">
        <f>-'Table 5C1C-Intl_VIBE'!AA60-'Table 5C1C-Intl_VIBE'!AD60</f>
        <v>0</v>
      </c>
      <c r="I59" s="354">
        <f>-'Table 5C1D-NOMMA'!AA60-'Table 5C1D-NOMMA'!AD60</f>
        <v>0</v>
      </c>
      <c r="J59" s="354">
        <f>-'Table 5C1E-LFNO'!AC60-'Table 5C1E-LFNO'!AF60</f>
        <v>0</v>
      </c>
      <c r="K59" s="354">
        <f>-'Table 5C1F-Lake Charles Charter'!AA60-'Table 5C1F-Lake Charles Charter'!AD60</f>
        <v>0</v>
      </c>
      <c r="L59" s="354">
        <f>-'Table 5C1G-JS Clark Academy'!AA60-'Table 5C1G-JS Clark Academy'!AD60</f>
        <v>0</v>
      </c>
      <c r="M59" s="354">
        <f>-'Table 5C1H-Southwest LA Charter'!AA60-'Table 5C1H-Southwest LA Charter'!AD60</f>
        <v>0</v>
      </c>
      <c r="N59" s="354">
        <f>-'Table 5C2 - LA Virtual Admy'!AB58-'Table 5C2 - LA Virtual Admy'!AE58</f>
        <v>0</v>
      </c>
      <c r="O59" s="354">
        <f>-'Table 5C3 - LA Connections EBR'!AB58-'Table 5C3 - LA Connections EBR'!AE58</f>
        <v>-15286.500000000002</v>
      </c>
      <c r="P59" s="354">
        <f>-'Table 5E_OJJ'!AB60-'Table 5E_OJJ'!AC60</f>
        <v>-6559.6148859857722</v>
      </c>
      <c r="Q59" s="354">
        <f t="shared" si="12"/>
        <v>-21846.114885985775</v>
      </c>
      <c r="R59" s="739">
        <f t="shared" si="13"/>
        <v>4692792.8851140141</v>
      </c>
      <c r="X59"/>
      <c r="AG59"/>
    </row>
    <row r="60" spans="1:33">
      <c r="A60" s="102">
        <v>55</v>
      </c>
      <c r="B60" s="300" t="s">
        <v>155</v>
      </c>
      <c r="C60" s="318">
        <f>'Table 2_State with Midyear Adjs'!AS61</f>
        <v>86924915</v>
      </c>
      <c r="D60" s="355"/>
      <c r="E60" s="355"/>
      <c r="F60" s="355">
        <f>-'Table 5C1A-Madison Prep'!AA61-'Table 5C1A-Madison Prep'!AD61</f>
        <v>0</v>
      </c>
      <c r="G60" s="355">
        <f>-'Table 5C1B-DArbonne'!AA61-'Table 5C1B-DArbonne'!AD61</f>
        <v>0</v>
      </c>
      <c r="H60" s="355">
        <f>-'Table 5C1C-Intl_VIBE'!AA61-'Table 5C1C-Intl_VIBE'!AD61</f>
        <v>0</v>
      </c>
      <c r="I60" s="355">
        <f>-'Table 5C1D-NOMMA'!AA61-'Table 5C1D-NOMMA'!AD61</f>
        <v>0</v>
      </c>
      <c r="J60" s="355">
        <f>-'Table 5C1E-LFNO'!AC61-'Table 5C1E-LFNO'!AF61</f>
        <v>0</v>
      </c>
      <c r="K60" s="355">
        <f>-'Table 5C1F-Lake Charles Charter'!AA61-'Table 5C1F-Lake Charles Charter'!AD61</f>
        <v>0</v>
      </c>
      <c r="L60" s="355">
        <f>-'Table 5C1G-JS Clark Academy'!AA61-'Table 5C1G-JS Clark Academy'!AD61</f>
        <v>0</v>
      </c>
      <c r="M60" s="355">
        <f>-'Table 5C1H-Southwest LA Charter'!AA61-'Table 5C1H-Southwest LA Charter'!AD61</f>
        <v>0</v>
      </c>
      <c r="N60" s="355">
        <f>-'Table 5C2 - LA Virtual Admy'!AB59-'Table 5C2 - LA Virtual Admy'!AE59</f>
        <v>-62152.2</v>
      </c>
      <c r="O60" s="355">
        <f>-'Table 5C3 - LA Connections EBR'!AB59-'Table 5C3 - LA Connections EBR'!AE59</f>
        <v>-80515.350000000006</v>
      </c>
      <c r="P60" s="355">
        <f>-'Table 5E_OJJ'!AB61-'Table 5E_OJJ'!AC61</f>
        <v>-40770.136079542164</v>
      </c>
      <c r="Q60" s="355">
        <f t="shared" si="12"/>
        <v>-183437.68607954215</v>
      </c>
      <c r="R60" s="740">
        <f t="shared" si="13"/>
        <v>86741477.313920468</v>
      </c>
      <c r="X60"/>
      <c r="AG60"/>
    </row>
    <row r="61" spans="1:33">
      <c r="A61" s="101">
        <v>56</v>
      </c>
      <c r="B61" s="299" t="s">
        <v>156</v>
      </c>
      <c r="C61" s="309">
        <f>'Table 2_State with Midyear Adjs'!AS62</f>
        <v>13165850</v>
      </c>
      <c r="D61" s="354"/>
      <c r="E61" s="354"/>
      <c r="F61" s="354">
        <f>-'Table 5C1A-Madison Prep'!AA62-'Table 5C1A-Madison Prep'!AD62</f>
        <v>0</v>
      </c>
      <c r="G61" s="354">
        <f>-'Table 5C1B-DArbonne'!AA62-'Table 5C1B-DArbonne'!AD62</f>
        <v>-1475320.5</v>
      </c>
      <c r="H61" s="354">
        <f>-'Table 5C1C-Intl_VIBE'!AA62-'Table 5C1C-Intl_VIBE'!AD62</f>
        <v>0</v>
      </c>
      <c r="I61" s="354">
        <f>-'Table 5C1D-NOMMA'!AA62-'Table 5C1D-NOMMA'!AD62</f>
        <v>0</v>
      </c>
      <c r="J61" s="354">
        <f>-'Table 5C1E-LFNO'!AC62-'Table 5C1E-LFNO'!AF62</f>
        <v>0</v>
      </c>
      <c r="K61" s="354">
        <f>-'Table 5C1F-Lake Charles Charter'!AA62-'Table 5C1F-Lake Charles Charter'!AD62</f>
        <v>0</v>
      </c>
      <c r="L61" s="354">
        <f>-'Table 5C1G-JS Clark Academy'!AA62-'Table 5C1G-JS Clark Academy'!AD62</f>
        <v>0</v>
      </c>
      <c r="M61" s="354">
        <f>-'Table 5C1H-Southwest LA Charter'!AA62-'Table 5C1H-Southwest LA Charter'!AD62</f>
        <v>0</v>
      </c>
      <c r="N61" s="354">
        <f>-'Table 5C2 - LA Virtual Admy'!AB60-'Table 5C2 - LA Virtual Admy'!AE60</f>
        <v>-20023.2</v>
      </c>
      <c r="O61" s="354">
        <f>-'Table 5C3 - LA Connections EBR'!AB60-'Table 5C3 - LA Connections EBR'!AE60</f>
        <v>-7508.7000000000007</v>
      </c>
      <c r="P61" s="354">
        <f>-'Table 5E_OJJ'!AB62-'Table 5E_OJJ'!AC62</f>
        <v>0</v>
      </c>
      <c r="Q61" s="354">
        <f t="shared" si="12"/>
        <v>-1502852.4</v>
      </c>
      <c r="R61" s="739">
        <f t="shared" si="13"/>
        <v>11662997.600000001</v>
      </c>
      <c r="X61"/>
      <c r="AG61"/>
    </row>
    <row r="62" spans="1:33">
      <c r="A62" s="101">
        <v>57</v>
      </c>
      <c r="B62" s="299" t="s">
        <v>157</v>
      </c>
      <c r="C62" s="309">
        <f>'Table 2_State with Midyear Adjs'!AS63</f>
        <v>46882422</v>
      </c>
      <c r="D62" s="354"/>
      <c r="E62" s="354"/>
      <c r="F62" s="354">
        <f>-'Table 5C1A-Madison Prep'!AA63-'Table 5C1A-Madison Prep'!AD63</f>
        <v>0</v>
      </c>
      <c r="G62" s="354">
        <f>-'Table 5C1B-DArbonne'!AA63-'Table 5C1B-DArbonne'!AD63</f>
        <v>0</v>
      </c>
      <c r="H62" s="354">
        <f>-'Table 5C1C-Intl_VIBE'!AA63-'Table 5C1C-Intl_VIBE'!AD63</f>
        <v>0</v>
      </c>
      <c r="I62" s="354">
        <f>-'Table 5C1D-NOMMA'!AA63-'Table 5C1D-NOMMA'!AD63</f>
        <v>0</v>
      </c>
      <c r="J62" s="354">
        <f>-'Table 5C1E-LFNO'!AC63-'Table 5C1E-LFNO'!AF63</f>
        <v>0</v>
      </c>
      <c r="K62" s="354">
        <f>-'Table 5C1F-Lake Charles Charter'!AA63-'Table 5C1F-Lake Charles Charter'!AD63</f>
        <v>0</v>
      </c>
      <c r="L62" s="354">
        <f>-'Table 5C1G-JS Clark Academy'!AA63-'Table 5C1G-JS Clark Academy'!AD63</f>
        <v>0</v>
      </c>
      <c r="M62" s="354">
        <f>-'Table 5C1H-Southwest LA Charter'!AA63-'Table 5C1H-Southwest LA Charter'!AD63</f>
        <v>0</v>
      </c>
      <c r="N62" s="354">
        <f>-'Table 5C2 - LA Virtual Admy'!AB61-'Table 5C2 - LA Virtual Admy'!AE61</f>
        <v>-26919.000000000004</v>
      </c>
      <c r="O62" s="354">
        <f>-'Table 5C3 - LA Connections EBR'!AB61-'Table 5C3 - LA Connections EBR'!AE61</f>
        <v>-16151.4</v>
      </c>
      <c r="P62" s="354">
        <f>-'Table 5E_OJJ'!AB63-'Table 5E_OJJ'!AC63</f>
        <v>-7897.4567358762915</v>
      </c>
      <c r="Q62" s="354">
        <f t="shared" si="12"/>
        <v>-50967.856735876296</v>
      </c>
      <c r="R62" s="739">
        <f t="shared" si="13"/>
        <v>46831454.143264122</v>
      </c>
      <c r="X62"/>
      <c r="AG62"/>
    </row>
    <row r="63" spans="1:33">
      <c r="A63" s="101">
        <v>58</v>
      </c>
      <c r="B63" s="299" t="s">
        <v>158</v>
      </c>
      <c r="C63" s="309">
        <f>'Table 2_State with Midyear Adjs'!AS64</f>
        <v>54851128</v>
      </c>
      <c r="D63" s="354"/>
      <c r="E63" s="354"/>
      <c r="F63" s="354">
        <f>-'Table 5C1A-Madison Prep'!AA64-'Table 5C1A-Madison Prep'!AD64</f>
        <v>0</v>
      </c>
      <c r="G63" s="354">
        <f>-'Table 5C1B-DArbonne'!AA64-'Table 5C1B-DArbonne'!AD64</f>
        <v>0</v>
      </c>
      <c r="H63" s="354">
        <f>-'Table 5C1C-Intl_VIBE'!AA64-'Table 5C1C-Intl_VIBE'!AD64</f>
        <v>0</v>
      </c>
      <c r="I63" s="354">
        <f>-'Table 5C1D-NOMMA'!AA64-'Table 5C1D-NOMMA'!AD64</f>
        <v>0</v>
      </c>
      <c r="J63" s="354">
        <f>-'Table 5C1E-LFNO'!AC64-'Table 5C1E-LFNO'!AF64</f>
        <v>0</v>
      </c>
      <c r="K63" s="354">
        <f>-'Table 5C1F-Lake Charles Charter'!AA64-'Table 5C1F-Lake Charles Charter'!AD64</f>
        <v>0</v>
      </c>
      <c r="L63" s="354">
        <f>-'Table 5C1G-JS Clark Academy'!AA64-'Table 5C1G-JS Clark Academy'!AD64</f>
        <v>0</v>
      </c>
      <c r="M63" s="354">
        <f>-'Table 5C1H-Southwest LA Charter'!AA64-'Table 5C1H-Southwest LA Charter'!AD64</f>
        <v>0</v>
      </c>
      <c r="N63" s="354">
        <f>-'Table 5C2 - LA Virtual Admy'!AB62-'Table 5C2 - LA Virtual Admy'!AE62</f>
        <v>-66646.799999999988</v>
      </c>
      <c r="O63" s="354">
        <f>-'Table 5C3 - LA Connections EBR'!AB62-'Table 5C3 - LA Connections EBR'!AE62</f>
        <v>-49059.45</v>
      </c>
      <c r="P63" s="354">
        <f>-'Table 5E_OJJ'!AB64-'Table 5E_OJJ'!AC64</f>
        <v>-1003.0494297811524</v>
      </c>
      <c r="Q63" s="354">
        <f t="shared" si="12"/>
        <v>-116709.29942978114</v>
      </c>
      <c r="R63" s="739">
        <f t="shared" si="13"/>
        <v>54734418.700570218</v>
      </c>
      <c r="X63"/>
      <c r="AG63"/>
    </row>
    <row r="64" spans="1:33">
      <c r="A64" s="101">
        <v>59</v>
      </c>
      <c r="B64" s="299" t="s">
        <v>159</v>
      </c>
      <c r="C64" s="309">
        <f>'Table 2_State with Midyear Adjs'!AS65</f>
        <v>36632371</v>
      </c>
      <c r="D64" s="354"/>
      <c r="E64" s="354"/>
      <c r="F64" s="354">
        <f>-'Table 5C1A-Madison Prep'!AA65-'Table 5C1A-Madison Prep'!AD65</f>
        <v>0</v>
      </c>
      <c r="G64" s="354">
        <f>-'Table 5C1B-DArbonne'!AA65-'Table 5C1B-DArbonne'!AD65</f>
        <v>0</v>
      </c>
      <c r="H64" s="354">
        <f>-'Table 5C1C-Intl_VIBE'!AA65-'Table 5C1C-Intl_VIBE'!AD65</f>
        <v>0</v>
      </c>
      <c r="I64" s="354">
        <f>-'Table 5C1D-NOMMA'!AA65-'Table 5C1D-NOMMA'!AD65</f>
        <v>0</v>
      </c>
      <c r="J64" s="354">
        <f>-'Table 5C1E-LFNO'!AC65-'Table 5C1E-LFNO'!AF65</f>
        <v>0</v>
      </c>
      <c r="K64" s="354">
        <f>-'Table 5C1F-Lake Charles Charter'!AA65-'Table 5C1F-Lake Charles Charter'!AD65</f>
        <v>0</v>
      </c>
      <c r="L64" s="354">
        <f>-'Table 5C1G-JS Clark Academy'!AA65-'Table 5C1G-JS Clark Academy'!AD65</f>
        <v>0</v>
      </c>
      <c r="M64" s="354">
        <f>-'Table 5C1H-Southwest LA Charter'!AA65-'Table 5C1H-Southwest LA Charter'!AD65</f>
        <v>0</v>
      </c>
      <c r="N64" s="354">
        <f>-'Table 5C2 - LA Virtual Admy'!AB63-'Table 5C2 - LA Virtual Admy'!AE63</f>
        <v>-21343.5</v>
      </c>
      <c r="O64" s="354">
        <f>-'Table 5C3 - LA Connections EBR'!AB63-'Table 5C3 - LA Connections EBR'!AE63</f>
        <v>-14458.5</v>
      </c>
      <c r="P64" s="354">
        <f>-'Table 5E_OJJ'!AB65-'Table 5E_OJJ'!AC65</f>
        <v>-6449.4099444900185</v>
      </c>
      <c r="Q64" s="354">
        <f t="shared" si="12"/>
        <v>-42251.40994449002</v>
      </c>
      <c r="R64" s="739">
        <f t="shared" si="13"/>
        <v>36590119.59005551</v>
      </c>
      <c r="X64"/>
      <c r="AG64"/>
    </row>
    <row r="65" spans="1:33">
      <c r="A65" s="102">
        <v>60</v>
      </c>
      <c r="B65" s="300" t="s">
        <v>160</v>
      </c>
      <c r="C65" s="318">
        <f>'Table 2_State with Midyear Adjs'!AS66</f>
        <v>35088991</v>
      </c>
      <c r="D65" s="355"/>
      <c r="E65" s="355"/>
      <c r="F65" s="355">
        <f>-'Table 5C1A-Madison Prep'!AA66-'Table 5C1A-Madison Prep'!AD66</f>
        <v>0</v>
      </c>
      <c r="G65" s="355">
        <f>-'Table 5C1B-DArbonne'!AA66-'Table 5C1B-DArbonne'!AD66</f>
        <v>0</v>
      </c>
      <c r="H65" s="355">
        <f>-'Table 5C1C-Intl_VIBE'!AA66-'Table 5C1C-Intl_VIBE'!AD66</f>
        <v>0</v>
      </c>
      <c r="I65" s="355">
        <f>-'Table 5C1D-NOMMA'!AA66-'Table 5C1D-NOMMA'!AD66</f>
        <v>0</v>
      </c>
      <c r="J65" s="355">
        <f>-'Table 5C1E-LFNO'!AC66-'Table 5C1E-LFNO'!AF66</f>
        <v>0</v>
      </c>
      <c r="K65" s="355">
        <f>-'Table 5C1F-Lake Charles Charter'!AA66-'Table 5C1F-Lake Charles Charter'!AD66</f>
        <v>0</v>
      </c>
      <c r="L65" s="355">
        <f>-'Table 5C1G-JS Clark Academy'!AA66-'Table 5C1G-JS Clark Academy'!AD66</f>
        <v>0</v>
      </c>
      <c r="M65" s="355">
        <f>-'Table 5C1H-Southwest LA Charter'!AA66-'Table 5C1H-Southwest LA Charter'!AD66</f>
        <v>0</v>
      </c>
      <c r="N65" s="355">
        <f>-'Table 5C2 - LA Virtual Admy'!AB64-'Table 5C2 - LA Virtual Admy'!AE64</f>
        <v>-77715</v>
      </c>
      <c r="O65" s="355">
        <f>-'Table 5C3 - LA Connections EBR'!AB64-'Table 5C3 - LA Connections EBR'!AE64</f>
        <v>-49455</v>
      </c>
      <c r="P65" s="355">
        <f>-'Table 5E_OJJ'!AB66-'Table 5E_OJJ'!AC66</f>
        <v>-11779.186344436346</v>
      </c>
      <c r="Q65" s="355">
        <f t="shared" si="12"/>
        <v>-138949.18634443634</v>
      </c>
      <c r="R65" s="740">
        <f t="shared" si="13"/>
        <v>34950041.813655563</v>
      </c>
      <c r="X65"/>
      <c r="AG65"/>
    </row>
    <row r="66" spans="1:33">
      <c r="A66" s="101">
        <v>61</v>
      </c>
      <c r="B66" s="299" t="s">
        <v>161</v>
      </c>
      <c r="C66" s="309">
        <f>'Table 2_State with Midyear Adjs'!AS67</f>
        <v>13980132</v>
      </c>
      <c r="D66" s="354"/>
      <c r="E66" s="354"/>
      <c r="F66" s="354">
        <f>-'Table 5C1A-Madison Prep'!AA67-'Table 5C1A-Madison Prep'!AD67</f>
        <v>-6698</v>
      </c>
      <c r="G66" s="354">
        <f>-'Table 5C1B-DArbonne'!AA67-'Table 5C1B-DArbonne'!AD67</f>
        <v>0</v>
      </c>
      <c r="H66" s="354">
        <f>-'Table 5C1C-Intl_VIBE'!AA67-'Table 5C1C-Intl_VIBE'!AD67</f>
        <v>0</v>
      </c>
      <c r="I66" s="354">
        <f>-'Table 5C1D-NOMMA'!AA67-'Table 5C1D-NOMMA'!AD67</f>
        <v>0</v>
      </c>
      <c r="J66" s="354">
        <f>-'Table 5C1E-LFNO'!AC67-'Table 5C1E-LFNO'!AF67</f>
        <v>0</v>
      </c>
      <c r="K66" s="354">
        <f>-'Table 5C1F-Lake Charles Charter'!AA67-'Table 5C1F-Lake Charles Charter'!AD67</f>
        <v>0</v>
      </c>
      <c r="L66" s="354">
        <f>-'Table 5C1G-JS Clark Academy'!AA67-'Table 5C1G-JS Clark Academy'!AD67</f>
        <v>0</v>
      </c>
      <c r="M66" s="354">
        <f>-'Table 5C1H-Southwest LA Charter'!AA67-'Table 5C1H-Southwest LA Charter'!AD67</f>
        <v>0</v>
      </c>
      <c r="N66" s="354">
        <f>-'Table 5C2 - LA Virtual Admy'!AB65-'Table 5C2 - LA Virtual Admy'!AE65</f>
        <v>-30728.699999999997</v>
      </c>
      <c r="O66" s="354">
        <f>-'Table 5C3 - LA Connections EBR'!AB65-'Table 5C3 - LA Connections EBR'!AE65</f>
        <v>-63296.099999999991</v>
      </c>
      <c r="P66" s="354">
        <f>-'Table 5E_OJJ'!AB67-'Table 5E_OJJ'!AC67</f>
        <v>-13265.0272820109</v>
      </c>
      <c r="Q66" s="354">
        <f t="shared" si="12"/>
        <v>-113987.82728201088</v>
      </c>
      <c r="R66" s="739">
        <f t="shared" si="13"/>
        <v>13866144.17271799</v>
      </c>
      <c r="X66"/>
      <c r="AG66"/>
    </row>
    <row r="67" spans="1:33">
      <c r="A67" s="101">
        <v>62</v>
      </c>
      <c r="B67" s="299" t="s">
        <v>162</v>
      </c>
      <c r="C67" s="309">
        <f>'Table 2_State with Midyear Adjs'!AS68</f>
        <v>12814624</v>
      </c>
      <c r="D67" s="354"/>
      <c r="E67" s="354"/>
      <c r="F67" s="354">
        <f>-'Table 5C1A-Madison Prep'!AA68-'Table 5C1A-Madison Prep'!AD68</f>
        <v>0</v>
      </c>
      <c r="G67" s="354">
        <f>-'Table 5C1B-DArbonne'!AA68-'Table 5C1B-DArbonne'!AD68</f>
        <v>0</v>
      </c>
      <c r="H67" s="354">
        <f>-'Table 5C1C-Intl_VIBE'!AA68-'Table 5C1C-Intl_VIBE'!AD68</f>
        <v>0</v>
      </c>
      <c r="I67" s="354">
        <f>-'Table 5C1D-NOMMA'!AA68-'Table 5C1D-NOMMA'!AD68</f>
        <v>0</v>
      </c>
      <c r="J67" s="354">
        <f>-'Table 5C1E-LFNO'!AC68-'Table 5C1E-LFNO'!AF68</f>
        <v>0</v>
      </c>
      <c r="K67" s="354">
        <f>-'Table 5C1F-Lake Charles Charter'!AA68-'Table 5C1F-Lake Charles Charter'!AD68</f>
        <v>0</v>
      </c>
      <c r="L67" s="354">
        <f>-'Table 5C1G-JS Clark Academy'!AA68-'Table 5C1G-JS Clark Academy'!AD68</f>
        <v>0</v>
      </c>
      <c r="M67" s="354">
        <f>-'Table 5C1H-Southwest LA Charter'!AA68-'Table 5C1H-Southwest LA Charter'!AD68</f>
        <v>0</v>
      </c>
      <c r="N67" s="354">
        <f>-'Table 5C2 - LA Virtual Admy'!AB66-'Table 5C2 - LA Virtual Admy'!AE66</f>
        <v>-4016.25</v>
      </c>
      <c r="O67" s="354">
        <f>-'Table 5C3 - LA Connections EBR'!AB66-'Table 5C3 - LA Connections EBR'!AE66</f>
        <v>-1606.5</v>
      </c>
      <c r="P67" s="354">
        <f>-'Table 5E_OJJ'!AB68-'Table 5E_OJJ'!AC68</f>
        <v>-596.85261293788869</v>
      </c>
      <c r="Q67" s="354">
        <f t="shared" si="12"/>
        <v>-6219.6026129378888</v>
      </c>
      <c r="R67" s="739">
        <f t="shared" si="13"/>
        <v>12808404.397387061</v>
      </c>
      <c r="X67"/>
      <c r="AG67"/>
    </row>
    <row r="68" spans="1:33">
      <c r="A68" s="101">
        <v>63</v>
      </c>
      <c r="B68" s="299" t="s">
        <v>163</v>
      </c>
      <c r="C68" s="309">
        <f>'Table 2_State with Midyear Adjs'!AS69</f>
        <v>10472396</v>
      </c>
      <c r="D68" s="354"/>
      <c r="E68" s="354"/>
      <c r="F68" s="354">
        <f>-'Table 5C1A-Madison Prep'!AA69-'Table 5C1A-Madison Prep'!AD69</f>
        <v>0</v>
      </c>
      <c r="G68" s="354">
        <f>-'Table 5C1B-DArbonne'!AA69-'Table 5C1B-DArbonne'!AD69</f>
        <v>0</v>
      </c>
      <c r="H68" s="354">
        <f>-'Table 5C1C-Intl_VIBE'!AA69-'Table 5C1C-Intl_VIBE'!AD69</f>
        <v>0</v>
      </c>
      <c r="I68" s="354">
        <f>-'Table 5C1D-NOMMA'!AA69-'Table 5C1D-NOMMA'!AD69</f>
        <v>0</v>
      </c>
      <c r="J68" s="354">
        <f>-'Table 5C1E-LFNO'!AC69-'Table 5C1E-LFNO'!AF69</f>
        <v>0</v>
      </c>
      <c r="K68" s="354">
        <f>-'Table 5C1F-Lake Charles Charter'!AA69-'Table 5C1F-Lake Charles Charter'!AD69</f>
        <v>0</v>
      </c>
      <c r="L68" s="354">
        <f>-'Table 5C1G-JS Clark Academy'!AA69-'Table 5C1G-JS Clark Academy'!AD69</f>
        <v>0</v>
      </c>
      <c r="M68" s="354">
        <f>-'Table 5C1H-Southwest LA Charter'!AA69-'Table 5C1H-Southwest LA Charter'!AD69</f>
        <v>0</v>
      </c>
      <c r="N68" s="354">
        <f>-'Table 5C2 - LA Virtual Admy'!AB67-'Table 5C2 - LA Virtual Admy'!AE67</f>
        <v>0</v>
      </c>
      <c r="O68" s="354">
        <f>-'Table 5C3 - LA Connections EBR'!AB67-'Table 5C3 - LA Connections EBR'!AE67</f>
        <v>-3235.5</v>
      </c>
      <c r="P68" s="354">
        <f>-'Table 5E_OJJ'!AB69-'Table 5E_OJJ'!AC69</f>
        <v>-7407.5426054136933</v>
      </c>
      <c r="Q68" s="354">
        <f t="shared" si="12"/>
        <v>-10643.042605413693</v>
      </c>
      <c r="R68" s="739">
        <f t="shared" si="13"/>
        <v>10461752.957394587</v>
      </c>
      <c r="X68"/>
      <c r="AG68"/>
    </row>
    <row r="69" spans="1:33">
      <c r="A69" s="101">
        <v>64</v>
      </c>
      <c r="B69" s="299" t="s">
        <v>164</v>
      </c>
      <c r="C69" s="309">
        <f>'Table 2_State with Midyear Adjs'!AS70</f>
        <v>15491861</v>
      </c>
      <c r="D69" s="354"/>
      <c r="E69" s="354"/>
      <c r="F69" s="354">
        <f>-'Table 5C1A-Madison Prep'!AA70-'Table 5C1A-Madison Prep'!AD70</f>
        <v>0</v>
      </c>
      <c r="G69" s="354">
        <f>-'Table 5C1B-DArbonne'!AA70-'Table 5C1B-DArbonne'!AD70</f>
        <v>0</v>
      </c>
      <c r="H69" s="354">
        <f>-'Table 5C1C-Intl_VIBE'!AA70-'Table 5C1C-Intl_VIBE'!AD70</f>
        <v>0</v>
      </c>
      <c r="I69" s="354">
        <f>-'Table 5C1D-NOMMA'!AA70-'Table 5C1D-NOMMA'!AD70</f>
        <v>0</v>
      </c>
      <c r="J69" s="354">
        <f>-'Table 5C1E-LFNO'!AC70-'Table 5C1E-LFNO'!AF70</f>
        <v>0</v>
      </c>
      <c r="K69" s="354">
        <f>-'Table 5C1F-Lake Charles Charter'!AA70-'Table 5C1F-Lake Charles Charter'!AD70</f>
        <v>0</v>
      </c>
      <c r="L69" s="354">
        <f>-'Table 5C1G-JS Clark Academy'!AA70-'Table 5C1G-JS Clark Academy'!AD70</f>
        <v>0</v>
      </c>
      <c r="M69" s="354">
        <f>-'Table 5C1H-Southwest LA Charter'!AA70-'Table 5C1H-Southwest LA Charter'!AD70</f>
        <v>0</v>
      </c>
      <c r="N69" s="354">
        <f>-'Table 5C2 - LA Virtual Admy'!AB68-'Table 5C2 - LA Virtual Admy'!AE68</f>
        <v>-2431.8000000000002</v>
      </c>
      <c r="O69" s="354">
        <f>-'Table 5C3 - LA Connections EBR'!AB68-'Table 5C3 - LA Connections EBR'!AE68</f>
        <v>-8511.2999999999993</v>
      </c>
      <c r="P69" s="354">
        <f>-'Table 5E_OJJ'!AB70-'Table 5E_OJJ'!AC70</f>
        <v>0</v>
      </c>
      <c r="Q69" s="354">
        <f t="shared" si="12"/>
        <v>-10943.099999999999</v>
      </c>
      <c r="R69" s="739">
        <f t="shared" si="13"/>
        <v>15480917.899999999</v>
      </c>
      <c r="X69"/>
      <c r="AG69"/>
    </row>
    <row r="70" spans="1:33">
      <c r="A70" s="102">
        <v>65</v>
      </c>
      <c r="B70" s="300" t="s">
        <v>165</v>
      </c>
      <c r="C70" s="318">
        <f>'Table 2_State with Midyear Adjs'!AS71</f>
        <v>43937418</v>
      </c>
      <c r="D70" s="355"/>
      <c r="E70" s="355"/>
      <c r="F70" s="355">
        <f>-'Table 5C1A-Madison Prep'!AA71-'Table 5C1A-Madison Prep'!AD71</f>
        <v>0</v>
      </c>
      <c r="G70" s="355">
        <f>-'Table 5C1B-DArbonne'!AA71-'Table 5C1B-DArbonne'!AD71</f>
        <v>-7404</v>
      </c>
      <c r="H70" s="355">
        <f>-'Table 5C1C-Intl_VIBE'!AA71-'Table 5C1C-Intl_VIBE'!AD71</f>
        <v>0</v>
      </c>
      <c r="I70" s="355">
        <f>-'Table 5C1D-NOMMA'!AA71-'Table 5C1D-NOMMA'!AD71</f>
        <v>0</v>
      </c>
      <c r="J70" s="355">
        <f>-'Table 5C1E-LFNO'!AC71-'Table 5C1E-LFNO'!AF71</f>
        <v>0</v>
      </c>
      <c r="K70" s="355">
        <f>-'Table 5C1F-Lake Charles Charter'!AA71-'Table 5C1F-Lake Charles Charter'!AD71</f>
        <v>0</v>
      </c>
      <c r="L70" s="355">
        <f>-'Table 5C1G-JS Clark Academy'!AA71-'Table 5C1G-JS Clark Academy'!AD71</f>
        <v>0</v>
      </c>
      <c r="M70" s="355">
        <f>-'Table 5C1H-Southwest LA Charter'!AA71-'Table 5C1H-Southwest LA Charter'!AD71</f>
        <v>0</v>
      </c>
      <c r="N70" s="355">
        <f>-'Table 5C2 - LA Virtual Admy'!AB69-'Table 5C2 - LA Virtual Admy'!AE69</f>
        <v>0</v>
      </c>
      <c r="O70" s="355">
        <f>-'Table 5C3 - LA Connections EBR'!AB69-'Table 5C3 - LA Connections EBR'!AE69</f>
        <v>-8884.8000000000011</v>
      </c>
      <c r="P70" s="355">
        <f>-'Table 5E_OJJ'!AB71-'Table 5E_OJJ'!AC71</f>
        <v>-4764.3277009247422</v>
      </c>
      <c r="Q70" s="355">
        <f t="shared" ref="Q70:Q74" si="14">SUM(D70:P70)</f>
        <v>-21053.127700924742</v>
      </c>
      <c r="R70" s="740">
        <f t="shared" si="13"/>
        <v>43916364.872299075</v>
      </c>
      <c r="X70"/>
      <c r="AG70"/>
    </row>
    <row r="71" spans="1:33">
      <c r="A71" s="135">
        <v>66</v>
      </c>
      <c r="B71" s="301" t="s">
        <v>166</v>
      </c>
      <c r="C71" s="311">
        <f>'Table 2_State with Midyear Adjs'!AS72</f>
        <v>14103793</v>
      </c>
      <c r="D71" s="356"/>
      <c r="E71" s="356"/>
      <c r="F71" s="356">
        <f>-'Table 5C1A-Madison Prep'!AA72-'Table 5C1A-Madison Prep'!AD72</f>
        <v>0</v>
      </c>
      <c r="G71" s="356">
        <f>-'Table 5C1B-DArbonne'!AA72-'Table 5C1B-DArbonne'!AD72</f>
        <v>0</v>
      </c>
      <c r="H71" s="356">
        <f>-'Table 5C1C-Intl_VIBE'!AA72-'Table 5C1C-Intl_VIBE'!AD72</f>
        <v>0</v>
      </c>
      <c r="I71" s="356">
        <f>-'Table 5C1D-NOMMA'!AA72-'Table 5C1D-NOMMA'!AD72</f>
        <v>0</v>
      </c>
      <c r="J71" s="356">
        <f>-'Table 5C1E-LFNO'!AC72-'Table 5C1E-LFNO'!AF72</f>
        <v>0</v>
      </c>
      <c r="K71" s="356">
        <f>-'Table 5C1F-Lake Charles Charter'!AA72-'Table 5C1F-Lake Charles Charter'!AD72</f>
        <v>0</v>
      </c>
      <c r="L71" s="356">
        <f>-'Table 5C1G-JS Clark Academy'!AA72-'Table 5C1G-JS Clark Academy'!AD72</f>
        <v>0</v>
      </c>
      <c r="M71" s="356">
        <f>-'Table 5C1H-Southwest LA Charter'!AA72-'Table 5C1H-Southwest LA Charter'!AD72</f>
        <v>0</v>
      </c>
      <c r="N71" s="356">
        <f>-'Table 5C2 - LA Virtual Admy'!AB70-'Table 5C2 - LA Virtual Admy'!AE70</f>
        <v>-6350.4000000000015</v>
      </c>
      <c r="O71" s="356">
        <f>-'Table 5C3 - LA Connections EBR'!AB70-'Table 5C3 - LA Connections EBR'!AE70</f>
        <v>-3175.2000000000003</v>
      </c>
      <c r="P71" s="356">
        <f>-'Table 5E_OJJ'!AB72-'Table 5E_OJJ'!AC72</f>
        <v>-24.927967259920109</v>
      </c>
      <c r="Q71" s="356">
        <f t="shared" si="14"/>
        <v>-9550.5279672599227</v>
      </c>
      <c r="R71" s="742">
        <f t="shared" si="13"/>
        <v>14094242.472032741</v>
      </c>
      <c r="X71"/>
      <c r="AG71"/>
    </row>
    <row r="72" spans="1:33">
      <c r="A72" s="349">
        <v>67</v>
      </c>
      <c r="B72" s="302" t="s">
        <v>33</v>
      </c>
      <c r="C72" s="309">
        <f>'Table 2_State with Midyear Adjs'!AS73</f>
        <v>29520347</v>
      </c>
      <c r="D72" s="354"/>
      <c r="E72" s="354"/>
      <c r="F72" s="354">
        <f>-'Table 5C1A-Madison Prep'!AA73-'Table 5C1A-Madison Prep'!AD73</f>
        <v>-12637.5</v>
      </c>
      <c r="G72" s="354">
        <f>-'Table 5C1B-DArbonne'!AA73-'Table 5C1B-DArbonne'!AD73</f>
        <v>0</v>
      </c>
      <c r="H72" s="354">
        <f>-'Table 5C1C-Intl_VIBE'!AA73-'Table 5C1C-Intl_VIBE'!AD73</f>
        <v>0</v>
      </c>
      <c r="I72" s="354">
        <f>-'Table 5C1D-NOMMA'!AA73-'Table 5C1D-NOMMA'!AD73</f>
        <v>0</v>
      </c>
      <c r="J72" s="354">
        <f>-'Table 5C1E-LFNO'!AC73-'Table 5C1E-LFNO'!AF73</f>
        <v>0</v>
      </c>
      <c r="K72" s="354">
        <f>-'Table 5C1F-Lake Charles Charter'!AA73-'Table 5C1F-Lake Charles Charter'!AD73</f>
        <v>0</v>
      </c>
      <c r="L72" s="354">
        <f>-'Table 5C1G-JS Clark Academy'!AA73-'Table 5C1G-JS Clark Academy'!AD73</f>
        <v>0</v>
      </c>
      <c r="M72" s="354">
        <f>-'Table 5C1H-Southwest LA Charter'!AA73-'Table 5C1H-Southwest LA Charter'!AD73</f>
        <v>0</v>
      </c>
      <c r="N72" s="354">
        <f>-'Table 5C2 - LA Virtual Admy'!AB71-'Table 5C2 - LA Virtual Admy'!AE71</f>
        <v>-6824.25</v>
      </c>
      <c r="O72" s="354">
        <f>-'Table 5C3 - LA Connections EBR'!AB71-'Table 5C3 - LA Connections EBR'!AE71</f>
        <v>-6824.25</v>
      </c>
      <c r="P72" s="354">
        <f>-'Table 5E_OJJ'!AB73-'Table 5E_OJJ'!AC73</f>
        <v>-221.12387361917067</v>
      </c>
      <c r="Q72" s="354">
        <f t="shared" si="14"/>
        <v>-26507.12387361917</v>
      </c>
      <c r="R72" s="739">
        <f t="shared" si="13"/>
        <v>29493839.876126382</v>
      </c>
      <c r="X72"/>
      <c r="AG72"/>
    </row>
    <row r="73" spans="1:33">
      <c r="A73" s="101">
        <v>68</v>
      </c>
      <c r="B73" s="299" t="s">
        <v>31</v>
      </c>
      <c r="C73" s="309">
        <f>'Table 2_State with Midyear Adjs'!AS74</f>
        <v>11322557</v>
      </c>
      <c r="D73" s="354"/>
      <c r="E73" s="354"/>
      <c r="F73" s="354">
        <f>-'Table 5C1A-Madison Prep'!AA74-'Table 5C1A-Madison Prep'!AD74</f>
        <v>-11236</v>
      </c>
      <c r="G73" s="354">
        <f>-'Table 5C1B-DArbonne'!AA74-'Table 5C1B-DArbonne'!AD74</f>
        <v>0</v>
      </c>
      <c r="H73" s="354">
        <f>-'Table 5C1C-Intl_VIBE'!AA74-'Table 5C1C-Intl_VIBE'!AD74</f>
        <v>0</v>
      </c>
      <c r="I73" s="354">
        <f>-'Table 5C1D-NOMMA'!AA74-'Table 5C1D-NOMMA'!AD74</f>
        <v>0</v>
      </c>
      <c r="J73" s="354">
        <f>-'Table 5C1E-LFNO'!AC74-'Table 5C1E-LFNO'!AF74</f>
        <v>0</v>
      </c>
      <c r="K73" s="354">
        <f>-'Table 5C1F-Lake Charles Charter'!AA74-'Table 5C1F-Lake Charles Charter'!AD74</f>
        <v>0</v>
      </c>
      <c r="L73" s="354">
        <f>-'Table 5C1G-JS Clark Academy'!AA74-'Table 5C1G-JS Clark Academy'!AD74</f>
        <v>0</v>
      </c>
      <c r="M73" s="354">
        <f>-'Table 5C1H-Southwest LA Charter'!AA74-'Table 5C1H-Southwest LA Charter'!AD74</f>
        <v>0</v>
      </c>
      <c r="N73" s="354">
        <f>-'Table 5C2 - LA Virtual Admy'!AB72-'Table 5C2 - LA Virtual Admy'!AE72</f>
        <v>-8848.35</v>
      </c>
      <c r="O73" s="354">
        <f>-'Table 5C3 - LA Connections EBR'!AB72-'Table 5C3 - LA Connections EBR'!AE72</f>
        <v>-13904.55</v>
      </c>
      <c r="P73" s="354">
        <f>-'Table 5E_OJJ'!AB74-'Table 5E_OJJ'!AC74</f>
        <v>0</v>
      </c>
      <c r="Q73" s="354">
        <f t="shared" si="14"/>
        <v>-33988.899999999994</v>
      </c>
      <c r="R73" s="739">
        <f t="shared" si="13"/>
        <v>11288568.1</v>
      </c>
      <c r="X73"/>
      <c r="AG73"/>
    </row>
    <row r="74" spans="1:33">
      <c r="A74" s="102">
        <v>69</v>
      </c>
      <c r="B74" s="300" t="s">
        <v>229</v>
      </c>
      <c r="C74" s="318">
        <f>'Table 2_State with Midyear Adjs'!AS75</f>
        <v>26115727</v>
      </c>
      <c r="D74" s="355"/>
      <c r="E74" s="355"/>
      <c r="F74" s="355">
        <f>-'Table 5C1A-Madison Prep'!AA75-'Table 5C1A-Madison Prep'!AD75</f>
        <v>0</v>
      </c>
      <c r="G74" s="355">
        <f>-'Table 5C1B-DArbonne'!AA75-'Table 5C1B-DArbonne'!AD75</f>
        <v>0</v>
      </c>
      <c r="H74" s="355">
        <f>-'Table 5C1C-Intl_VIBE'!AA75-'Table 5C1C-Intl_VIBE'!AD75</f>
        <v>0</v>
      </c>
      <c r="I74" s="355">
        <f>-'Table 5C1D-NOMMA'!AA75-'Table 5C1D-NOMMA'!AD75</f>
        <v>0</v>
      </c>
      <c r="J74" s="355">
        <f>-'Table 5C1E-LFNO'!AC75-'Table 5C1E-LFNO'!AF75</f>
        <v>0</v>
      </c>
      <c r="K74" s="355">
        <f>-'Table 5C1F-Lake Charles Charter'!AA75-'Table 5C1F-Lake Charles Charter'!AD75</f>
        <v>0</v>
      </c>
      <c r="L74" s="355">
        <f>-'Table 5C1G-JS Clark Academy'!AA75-'Table 5C1G-JS Clark Academy'!AD75</f>
        <v>0</v>
      </c>
      <c r="M74" s="355">
        <f>-'Table 5C1H-Southwest LA Charter'!AA75-'Table 5C1H-Southwest LA Charter'!AD75</f>
        <v>0</v>
      </c>
      <c r="N74" s="355">
        <f>-'Table 5C2 - LA Virtual Admy'!AB73-'Table 5C2 - LA Virtual Admy'!AE73</f>
        <v>-19474.650000000001</v>
      </c>
      <c r="O74" s="355">
        <f>-'Table 5C3 - LA Connections EBR'!AB73-'Table 5C3 - LA Connections EBR'!AE73</f>
        <v>-2996.1</v>
      </c>
      <c r="P74" s="355">
        <f>-'Table 5E_OJJ'!AB75-'Table 5E_OJJ'!AC75</f>
        <v>0</v>
      </c>
      <c r="Q74" s="355">
        <f t="shared" si="14"/>
        <v>-22470.75</v>
      </c>
      <c r="R74" s="740">
        <f t="shared" si="13"/>
        <v>26093256.25</v>
      </c>
      <c r="X74"/>
      <c r="AG74"/>
    </row>
    <row r="75" spans="1:33" ht="13.5" thickBot="1">
      <c r="A75" s="414"/>
      <c r="B75" s="415" t="s">
        <v>167</v>
      </c>
      <c r="C75" s="743">
        <f t="shared" ref="C75:R75" si="15">SUM(C6:C74)</f>
        <v>3238587386</v>
      </c>
      <c r="D75" s="743">
        <f t="shared" si="15"/>
        <v>-17353304.5</v>
      </c>
      <c r="E75" s="743">
        <f t="shared" si="15"/>
        <v>-122138001.5</v>
      </c>
      <c r="F75" s="743">
        <f t="shared" si="15"/>
        <v>-1465960</v>
      </c>
      <c r="G75" s="743">
        <f t="shared" si="15"/>
        <v>-1536389</v>
      </c>
      <c r="H75" s="743">
        <f t="shared" si="15"/>
        <v>-1837782.5</v>
      </c>
      <c r="I75" s="743">
        <f t="shared" si="15"/>
        <v>-1153741.5</v>
      </c>
      <c r="J75" s="743">
        <f t="shared" si="15"/>
        <v>-1049615</v>
      </c>
      <c r="K75" s="743">
        <f t="shared" si="15"/>
        <v>-3368767.5</v>
      </c>
      <c r="L75" s="743">
        <f t="shared" si="15"/>
        <v>-409850.5</v>
      </c>
      <c r="M75" s="743">
        <f t="shared" si="15"/>
        <v>-2392264.5</v>
      </c>
      <c r="N75" s="743">
        <f t="shared" si="15"/>
        <v>-4739691.1500000004</v>
      </c>
      <c r="O75" s="743">
        <f t="shared" si="15"/>
        <v>-4752688.4999999991</v>
      </c>
      <c r="P75" s="743">
        <f t="shared" si="15"/>
        <v>-1145868.5988770276</v>
      </c>
      <c r="Q75" s="743">
        <f>SUM(Q6:Q74)</f>
        <v>-163343924.74887699</v>
      </c>
      <c r="R75" s="744">
        <f t="shared" si="15"/>
        <v>3075243461.2511225</v>
      </c>
      <c r="X75"/>
      <c r="AG75"/>
    </row>
    <row r="76" spans="1:33" ht="13.5" thickTop="1">
      <c r="A76" s="421"/>
      <c r="B76" s="424"/>
      <c r="C76" s="1393"/>
      <c r="D76" s="1393"/>
      <c r="E76" s="1393"/>
      <c r="F76" s="1393"/>
      <c r="G76" s="1393"/>
      <c r="H76" s="1393"/>
      <c r="I76" s="1393"/>
      <c r="J76" s="1393"/>
      <c r="K76" s="1393"/>
      <c r="L76" s="1393"/>
      <c r="M76" s="1393"/>
      <c r="N76" s="1393"/>
      <c r="O76" s="1393"/>
      <c r="P76" s="1394"/>
      <c r="Q76" s="1393"/>
      <c r="R76" s="1393"/>
      <c r="X76"/>
      <c r="AG76"/>
    </row>
    <row r="77" spans="1:33">
      <c r="P77" s="1690"/>
      <c r="T77" s="99"/>
      <c r="U77" s="99"/>
      <c r="V77" s="99"/>
      <c r="W77" s="99"/>
      <c r="X77" s="99"/>
      <c r="Y77" s="99"/>
      <c r="Z77" s="99"/>
      <c r="AA77" s="99"/>
      <c r="AB77" s="99"/>
      <c r="AE77" s="99"/>
    </row>
    <row r="78" spans="1:33">
      <c r="A78" s="854"/>
      <c r="C78" s="854"/>
      <c r="D78" s="854"/>
      <c r="E78" s="854"/>
      <c r="R78" s="49"/>
    </row>
    <row r="79" spans="1:33">
      <c r="T79" s="49"/>
      <c r="U79" s="49"/>
      <c r="V79" s="49"/>
      <c r="W79" s="49"/>
      <c r="Y79" s="49"/>
      <c r="Z79" s="49"/>
      <c r="AA79" s="49"/>
      <c r="AB79" s="49"/>
      <c r="AE79" s="49"/>
    </row>
    <row r="80" spans="1:33">
      <c r="B80" s="35"/>
      <c r="C80" s="35"/>
      <c r="D80" s="1834"/>
      <c r="E80" s="1834"/>
      <c r="F80" s="1834"/>
      <c r="G80" s="1834"/>
      <c r="H80" s="1834"/>
      <c r="I80" s="1834"/>
    </row>
    <row r="81" spans="2:9">
      <c r="B81" s="35"/>
      <c r="C81" s="1721"/>
      <c r="D81" s="1834"/>
      <c r="E81" s="1834"/>
      <c r="F81" s="1834"/>
      <c r="G81" s="1834"/>
      <c r="H81" s="1834"/>
      <c r="I81" s="1834"/>
    </row>
    <row r="82" spans="2:9">
      <c r="B82" s="35"/>
      <c r="C82" s="35"/>
      <c r="D82" s="1834"/>
      <c r="E82" s="1834"/>
      <c r="F82" s="1834"/>
      <c r="G82" s="1834"/>
      <c r="H82" s="1834"/>
      <c r="I82" s="1834"/>
    </row>
  </sheetData>
  <mergeCells count="19">
    <mergeCell ref="D80:I82"/>
    <mergeCell ref="K1:K4"/>
    <mergeCell ref="F1:F4"/>
    <mergeCell ref="G1:G4"/>
    <mergeCell ref="H1:H4"/>
    <mergeCell ref="I1:I4"/>
    <mergeCell ref="J1:J4"/>
    <mergeCell ref="A1:A4"/>
    <mergeCell ref="B1:B4"/>
    <mergeCell ref="C1:C4"/>
    <mergeCell ref="D1:D4"/>
    <mergeCell ref="E1:E4"/>
    <mergeCell ref="R1:R4"/>
    <mergeCell ref="L1:L4"/>
    <mergeCell ref="M1:M4"/>
    <mergeCell ref="N1:N4"/>
    <mergeCell ref="O1:O4"/>
    <mergeCell ref="P1:P4"/>
    <mergeCell ref="Q1:Q4"/>
  </mergeCells>
  <printOptions horizontalCentered="1"/>
  <pageMargins left="0.25" right="0.25" top="1.01" bottom="1.18" header="0.3" footer="0.97"/>
  <pageSetup paperSize="5" scale="70" firstPageNumber="7" orientation="portrait" useFirstPageNumber="1" r:id="rId1"/>
  <headerFooter>
    <oddHeader xml:space="preserve">&amp;L&amp;"Arial,Bold"&amp;14Table 2A-1:  Revised FY2012-13 Budget Letter (May 2013)
MFP Transfer Amount (Annual)
</oddHeader>
    <oddFooter>&amp;R&amp;P</oddFooter>
  </headerFooter>
  <colBreaks count="2" manualBreakCount="2">
    <brk id="5" max="74" man="1"/>
    <brk id="15" max="7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"/>
  <sheetViews>
    <sheetView view="pageBreakPreview" zoomScale="90" zoomScaleNormal="70" zoomScaleSheetLayoutView="90" workbookViewId="0">
      <pane xSplit="2" ySplit="4" topLeftCell="C5" activePane="bottomRight" state="frozen"/>
      <selection activeCell="AP8" sqref="AP8:AP75"/>
      <selection pane="topRight" activeCell="AP8" sqref="AP8:AP75"/>
      <selection pane="bottomLeft" activeCell="AP8" sqref="AP8:AP75"/>
      <selection pane="bottomRight" activeCell="B1" sqref="B1:B4"/>
    </sheetView>
  </sheetViews>
  <sheetFormatPr defaultRowHeight="12.75"/>
  <cols>
    <col min="1" max="1" width="3.42578125" bestFit="1" customWidth="1"/>
    <col min="2" max="2" width="18.7109375" bestFit="1" customWidth="1"/>
    <col min="3" max="3" width="13.85546875" bestFit="1" customWidth="1"/>
    <col min="4" max="4" width="12.140625" bestFit="1" customWidth="1"/>
    <col min="5" max="5" width="13.42578125" bestFit="1" customWidth="1"/>
    <col min="6" max="6" width="13" customWidth="1"/>
    <col min="7" max="7" width="12.85546875" customWidth="1"/>
    <col min="8" max="9" width="13" customWidth="1"/>
    <col min="10" max="10" width="11.7109375" hidden="1" customWidth="1"/>
    <col min="11" max="11" width="13" customWidth="1"/>
    <col min="12" max="12" width="12.7109375" customWidth="1"/>
    <col min="13" max="14" width="13" customWidth="1"/>
    <col min="15" max="15" width="12.85546875" bestFit="1" customWidth="1"/>
    <col min="16" max="16" width="13.140625" customWidth="1"/>
    <col min="17" max="17" width="12" customWidth="1"/>
    <col min="18" max="18" width="13.85546875" bestFit="1" customWidth="1"/>
    <col min="19" max="20" width="12.7109375" bestFit="1" customWidth="1"/>
    <col min="21" max="23" width="13.140625" bestFit="1" customWidth="1"/>
    <col min="24" max="25" width="13" customWidth="1"/>
    <col min="26" max="26" width="12.85546875" customWidth="1"/>
    <col min="27" max="27" width="14.140625" customWidth="1"/>
    <col min="28" max="28" width="13.85546875" customWidth="1"/>
    <col min="29" max="29" width="13.140625" customWidth="1"/>
    <col min="30" max="31" width="12.85546875" customWidth="1"/>
    <col min="32" max="32" width="13.85546875" bestFit="1" customWidth="1"/>
    <col min="33" max="33" width="1.140625" customWidth="1"/>
    <col min="39" max="39" width="9.140625" style="49"/>
    <col min="48" max="48" width="9.140625" style="47"/>
  </cols>
  <sheetData>
    <row r="1" spans="1:48" ht="12.75" customHeight="1">
      <c r="A1" s="1812" t="s">
        <v>595</v>
      </c>
      <c r="B1" s="1812" t="s">
        <v>275</v>
      </c>
      <c r="C1" s="1805" t="s">
        <v>1402</v>
      </c>
      <c r="D1" s="1810" t="s">
        <v>1156</v>
      </c>
      <c r="E1" s="1810" t="s">
        <v>1326</v>
      </c>
      <c r="F1" s="1810" t="s">
        <v>1157</v>
      </c>
      <c r="G1" s="1810" t="s">
        <v>1158</v>
      </c>
      <c r="H1" s="1810" t="s">
        <v>1159</v>
      </c>
      <c r="I1" s="1810" t="s">
        <v>1160</v>
      </c>
      <c r="J1" s="1810" t="s">
        <v>664</v>
      </c>
      <c r="K1" s="1810" t="s">
        <v>1161</v>
      </c>
      <c r="L1" s="1810" t="s">
        <v>1162</v>
      </c>
      <c r="M1" s="1810" t="s">
        <v>1163</v>
      </c>
      <c r="N1" s="1810" t="s">
        <v>1164</v>
      </c>
      <c r="O1" s="1810" t="s">
        <v>1165</v>
      </c>
      <c r="P1" s="1810" t="s">
        <v>1166</v>
      </c>
      <c r="Q1" s="1828" t="s">
        <v>1147</v>
      </c>
      <c r="R1" s="1825" t="s">
        <v>1099</v>
      </c>
      <c r="S1" s="1810" t="s">
        <v>1432</v>
      </c>
      <c r="T1" s="1810" t="s">
        <v>1433</v>
      </c>
      <c r="U1" s="1810" t="s">
        <v>1434</v>
      </c>
      <c r="V1" s="1810" t="s">
        <v>1435</v>
      </c>
      <c r="W1" s="1810" t="s">
        <v>1436</v>
      </c>
      <c r="X1" s="1810" t="s">
        <v>1437</v>
      </c>
      <c r="Y1" s="1810" t="s">
        <v>1438</v>
      </c>
      <c r="Z1" s="1810" t="s">
        <v>1439</v>
      </c>
      <c r="AA1" s="1810" t="s">
        <v>1440</v>
      </c>
      <c r="AB1" s="1810" t="s">
        <v>1441</v>
      </c>
      <c r="AC1" s="1810" t="s">
        <v>1442</v>
      </c>
      <c r="AD1" s="1810" t="s">
        <v>1443</v>
      </c>
      <c r="AE1" s="1810" t="s">
        <v>1444</v>
      </c>
      <c r="AF1" s="1825" t="s">
        <v>1445</v>
      </c>
      <c r="AG1" s="47"/>
      <c r="AM1"/>
      <c r="AV1"/>
    </row>
    <row r="2" spans="1:48">
      <c r="A2" s="1807"/>
      <c r="B2" s="1807"/>
      <c r="C2" s="1805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829"/>
      <c r="R2" s="1826"/>
      <c r="S2" s="1799"/>
      <c r="T2" s="1799"/>
      <c r="U2" s="1799"/>
      <c r="V2" s="1799"/>
      <c r="W2" s="1799"/>
      <c r="X2" s="1799"/>
      <c r="Y2" s="1799"/>
      <c r="Z2" s="1799"/>
      <c r="AA2" s="1799"/>
      <c r="AB2" s="1799"/>
      <c r="AC2" s="1799"/>
      <c r="AD2" s="1799"/>
      <c r="AE2" s="1799"/>
      <c r="AF2" s="1826"/>
      <c r="AG2" s="47"/>
      <c r="AM2"/>
      <c r="AV2"/>
    </row>
    <row r="3" spans="1:48" ht="24" customHeight="1">
      <c r="A3" s="1807"/>
      <c r="B3" s="1807"/>
      <c r="C3" s="1805"/>
      <c r="D3" s="1799"/>
      <c r="E3" s="1799"/>
      <c r="F3" s="1799"/>
      <c r="G3" s="1799"/>
      <c r="H3" s="1799"/>
      <c r="I3" s="1799"/>
      <c r="J3" s="1799"/>
      <c r="K3" s="1799"/>
      <c r="L3" s="1799"/>
      <c r="M3" s="1799"/>
      <c r="N3" s="1799"/>
      <c r="O3" s="1799"/>
      <c r="P3" s="1799"/>
      <c r="Q3" s="1829"/>
      <c r="R3" s="1826"/>
      <c r="S3" s="1799"/>
      <c r="T3" s="1799"/>
      <c r="U3" s="1799"/>
      <c r="V3" s="1799"/>
      <c r="W3" s="1799"/>
      <c r="X3" s="1799"/>
      <c r="Y3" s="1799"/>
      <c r="Z3" s="1799"/>
      <c r="AA3" s="1799"/>
      <c r="AB3" s="1799"/>
      <c r="AC3" s="1799"/>
      <c r="AD3" s="1799"/>
      <c r="AE3" s="1799"/>
      <c r="AF3" s="1826"/>
      <c r="AG3" s="734"/>
      <c r="AM3"/>
      <c r="AV3"/>
    </row>
    <row r="4" spans="1:48" ht="109.5" customHeight="1">
      <c r="A4" s="1808"/>
      <c r="B4" s="1808"/>
      <c r="C4" s="1805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30"/>
      <c r="R4" s="1827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1800"/>
      <c r="AE4" s="1800"/>
      <c r="AF4" s="1827"/>
      <c r="AG4" s="734"/>
      <c r="AM4"/>
      <c r="AV4"/>
    </row>
    <row r="5" spans="1:48" s="738" customFormat="1">
      <c r="A5" s="735"/>
      <c r="B5" s="736"/>
      <c r="C5" s="737">
        <v>1</v>
      </c>
      <c r="D5" s="737">
        <f t="shared" ref="D5:H5" si="0">C5+1</f>
        <v>2</v>
      </c>
      <c r="E5" s="737">
        <f t="shared" si="0"/>
        <v>3</v>
      </c>
      <c r="F5" s="737">
        <f t="shared" si="0"/>
        <v>4</v>
      </c>
      <c r="G5" s="737">
        <f t="shared" si="0"/>
        <v>5</v>
      </c>
      <c r="H5" s="737">
        <f t="shared" si="0"/>
        <v>6</v>
      </c>
      <c r="I5" s="737">
        <f t="shared" ref="I5" si="1">H5+1</f>
        <v>7</v>
      </c>
      <c r="J5" s="737">
        <f t="shared" ref="J5" si="2">I5+1</f>
        <v>8</v>
      </c>
      <c r="K5" s="737">
        <f>J5</f>
        <v>8</v>
      </c>
      <c r="L5" s="737">
        <f t="shared" ref="L5" si="3">K5+1</f>
        <v>9</v>
      </c>
      <c r="M5" s="737">
        <f t="shared" ref="M5" si="4">L5+1</f>
        <v>10</v>
      </c>
      <c r="N5" s="737">
        <f t="shared" ref="N5" si="5">M5+1</f>
        <v>11</v>
      </c>
      <c r="O5" s="737">
        <f t="shared" ref="O5" si="6">N5+1</f>
        <v>12</v>
      </c>
      <c r="P5" s="737">
        <f t="shared" ref="P5" si="7">O5+1</f>
        <v>13</v>
      </c>
      <c r="Q5" s="737">
        <f t="shared" ref="Q5" si="8">P5+1</f>
        <v>14</v>
      </c>
      <c r="R5" s="737">
        <f t="shared" ref="R5" si="9">Q5+1</f>
        <v>15</v>
      </c>
      <c r="S5" s="737">
        <f t="shared" ref="S5" si="10">R5+1</f>
        <v>16</v>
      </c>
      <c r="T5" s="737">
        <f t="shared" ref="T5" si="11">S5+1</f>
        <v>17</v>
      </c>
      <c r="U5" s="737">
        <f t="shared" ref="U5" si="12">T5+1</f>
        <v>18</v>
      </c>
      <c r="V5" s="737">
        <f t="shared" ref="V5" si="13">U5+1</f>
        <v>19</v>
      </c>
      <c r="W5" s="737">
        <f t="shared" ref="W5" si="14">V5+1</f>
        <v>20</v>
      </c>
      <c r="X5" s="737">
        <f t="shared" ref="X5" si="15">W5+1</f>
        <v>21</v>
      </c>
      <c r="Y5" s="737">
        <f t="shared" ref="Y5" si="16">X5+1</f>
        <v>22</v>
      </c>
      <c r="Z5" s="737">
        <f t="shared" ref="Z5" si="17">Y5+1</f>
        <v>23</v>
      </c>
      <c r="AA5" s="737">
        <f t="shared" ref="AA5" si="18">Z5+1</f>
        <v>24</v>
      </c>
      <c r="AB5" s="737">
        <f t="shared" ref="AB5" si="19">AA5+1</f>
        <v>25</v>
      </c>
      <c r="AC5" s="737">
        <f t="shared" ref="AC5" si="20">AB5+1</f>
        <v>26</v>
      </c>
      <c r="AD5" s="737">
        <f t="shared" ref="AD5" si="21">AC5+1</f>
        <v>27</v>
      </c>
      <c r="AE5" s="737">
        <f t="shared" ref="AE5" si="22">AD5+1</f>
        <v>28</v>
      </c>
      <c r="AF5" s="737">
        <f t="shared" ref="AF5" si="23">AE5+1</f>
        <v>29</v>
      </c>
      <c r="AG5" s="737">
        <f t="shared" ref="AG5" si="24">AF5+1</f>
        <v>30</v>
      </c>
    </row>
    <row r="6" spans="1:48">
      <c r="A6" s="101">
        <v>1</v>
      </c>
      <c r="B6" s="299" t="s">
        <v>102</v>
      </c>
      <c r="C6" s="309">
        <f>'Table 2_State with Midyear Adjs'!AQ7</f>
        <v>4608302</v>
      </c>
      <c r="D6" s="354"/>
      <c r="E6" s="354"/>
      <c r="F6" s="354">
        <f>-'Table 5C1A-Madison Prep'!AH7</f>
        <v>0</v>
      </c>
      <c r="G6" s="354">
        <f>-'Table 5C1B-DArbonne'!AH7</f>
        <v>0</v>
      </c>
      <c r="H6" s="354">
        <f>-'Table 5C1C-Intl_VIBE'!AH7</f>
        <v>0</v>
      </c>
      <c r="I6" s="354">
        <f>-'Table 5C1D-NOMMA'!AH7</f>
        <v>0</v>
      </c>
      <c r="J6" s="354"/>
      <c r="K6" s="354">
        <f>-'Table 5C1E-LFNO'!AJ7</f>
        <v>0</v>
      </c>
      <c r="L6" s="354">
        <f>-'Table 5C1F-Lake Charles Charter'!AH7</f>
        <v>0</v>
      </c>
      <c r="M6" s="354">
        <f>-'Table 5C1G-JS Clark Academy'!AH7</f>
        <v>0</v>
      </c>
      <c r="N6" s="354">
        <f>-'Table 5C1H-Southwest LA Charter'!AH7</f>
        <v>0</v>
      </c>
      <c r="O6" s="354">
        <f>-'Table 5C2 - LA Virtual Admy'!AI5</f>
        <v>-1624</v>
      </c>
      <c r="P6" s="354">
        <f>-'Table 5C3 - LA Connections EBR'!AI5</f>
        <v>-9226</v>
      </c>
      <c r="Q6" s="354">
        <f>-'Table 5E_OJJ'!AG7</f>
        <v>-391</v>
      </c>
      <c r="R6" s="739">
        <f t="shared" ref="R6:R37" si="25">SUM(C6:Q6)</f>
        <v>4597061</v>
      </c>
      <c r="S6" s="354"/>
      <c r="T6" s="354"/>
      <c r="U6" s="354"/>
      <c r="V6" s="354">
        <f>'Table 5C1A-Madison Prep'!AO7</f>
        <v>0</v>
      </c>
      <c r="W6" s="354">
        <f>'Table 5C1B-DArbonne'!AO7</f>
        <v>0</v>
      </c>
      <c r="X6" s="354">
        <f>'Table 5C1C-Intl_VIBE'!AO7</f>
        <v>0</v>
      </c>
      <c r="Y6" s="354">
        <f>'Table 5C1D-NOMMA'!AO7</f>
        <v>0</v>
      </c>
      <c r="Z6" s="354">
        <f>'Table 5C1E-LFNO'!AQ7</f>
        <v>0</v>
      </c>
      <c r="AA6" s="356">
        <f>'Table 5C1F-Lake Charles Charter'!AO7</f>
        <v>0</v>
      </c>
      <c r="AB6" s="354">
        <f>'Table 5C1G-JS Clark Academy'!AO7</f>
        <v>0</v>
      </c>
      <c r="AC6" s="354">
        <f>'Table 5C1H-Southwest LA Charter'!AO7</f>
        <v>0</v>
      </c>
      <c r="AD6" s="354">
        <f>'Table 5C2 - LA Virtual Admy'!AP5</f>
        <v>0</v>
      </c>
      <c r="AE6" s="354">
        <f>'Table 5C3 - LA Connections EBR'!AP5</f>
        <v>0</v>
      </c>
      <c r="AF6" s="739">
        <f t="shared" ref="AF6:AF37" si="26">SUM(R6:AE6)</f>
        <v>4597061</v>
      </c>
      <c r="AG6" s="47"/>
      <c r="AM6"/>
      <c r="AV6"/>
    </row>
    <row r="7" spans="1:48">
      <c r="A7" s="101">
        <v>2</v>
      </c>
      <c r="B7" s="299" t="s">
        <v>103</v>
      </c>
      <c r="C7" s="309">
        <f>'Table 2_State with Midyear Adjs'!AQ8</f>
        <v>2456313</v>
      </c>
      <c r="D7" s="354"/>
      <c r="E7" s="354"/>
      <c r="F7" s="354">
        <f>-'Table 5C1A-Madison Prep'!AH8</f>
        <v>0</v>
      </c>
      <c r="G7" s="354">
        <f>-'Table 5C1B-DArbonne'!AH8</f>
        <v>0</v>
      </c>
      <c r="H7" s="354">
        <f>-'Table 5C1C-Intl_VIBE'!AH8</f>
        <v>0</v>
      </c>
      <c r="I7" s="354">
        <f>-'Table 5C1D-NOMMA'!AH8</f>
        <v>0</v>
      </c>
      <c r="J7" s="354"/>
      <c r="K7" s="354">
        <f>-'Table 5C1E-LFNO'!AJ8</f>
        <v>0</v>
      </c>
      <c r="L7" s="354">
        <f>-'Table 5C1F-Lake Charles Charter'!AH8</f>
        <v>0</v>
      </c>
      <c r="M7" s="354">
        <f>-'Table 5C1G-JS Clark Academy'!AH8</f>
        <v>0</v>
      </c>
      <c r="N7" s="354">
        <f>-'Table 5C1H-Southwest LA Charter'!AH8</f>
        <v>0</v>
      </c>
      <c r="O7" s="354">
        <f>-'Table 5C2 - LA Virtual Admy'!AI6</f>
        <v>-218</v>
      </c>
      <c r="P7" s="354">
        <f>-'Table 5C3 - LA Connections EBR'!AI6</f>
        <v>-1846</v>
      </c>
      <c r="Q7" s="354">
        <f>-'Table 5E_OJJ'!AG8</f>
        <v>0</v>
      </c>
      <c r="R7" s="739">
        <f t="shared" si="25"/>
        <v>2454249</v>
      </c>
      <c r="S7" s="354"/>
      <c r="T7" s="354"/>
      <c r="U7" s="354"/>
      <c r="V7" s="354">
        <f>'Table 5C1A-Madison Prep'!AO8</f>
        <v>0</v>
      </c>
      <c r="W7" s="354">
        <f>'Table 5C1B-DArbonne'!AO8</f>
        <v>0</v>
      </c>
      <c r="X7" s="354">
        <f>'Table 5C1C-Intl_VIBE'!AO8</f>
        <v>0</v>
      </c>
      <c r="Y7" s="354">
        <f>'Table 5C1D-NOMMA'!AO8</f>
        <v>0</v>
      </c>
      <c r="Z7" s="354">
        <f>'Table 5C1E-LFNO'!AQ8</f>
        <v>0</v>
      </c>
      <c r="AA7" s="354">
        <f>'Table 5C1F-Lake Charles Charter'!AO8</f>
        <v>0</v>
      </c>
      <c r="AB7" s="354">
        <f>'Table 5C1G-JS Clark Academy'!AO8</f>
        <v>0</v>
      </c>
      <c r="AC7" s="354">
        <f>'Table 5C1H-Southwest LA Charter'!AO8</f>
        <v>0</v>
      </c>
      <c r="AD7" s="354">
        <f>'Table 5C2 - LA Virtual Admy'!AP6</f>
        <v>0</v>
      </c>
      <c r="AE7" s="354">
        <f>'Table 5C3 - LA Connections EBR'!AP6</f>
        <v>0</v>
      </c>
      <c r="AF7" s="739">
        <f t="shared" si="26"/>
        <v>2454249</v>
      </c>
      <c r="AG7" s="47"/>
      <c r="AM7"/>
      <c r="AV7"/>
    </row>
    <row r="8" spans="1:48">
      <c r="A8" s="101">
        <v>3</v>
      </c>
      <c r="B8" s="299" t="s">
        <v>104</v>
      </c>
      <c r="C8" s="309">
        <f>'Table 2_State with Midyear Adjs'!AQ9</f>
        <v>8972668</v>
      </c>
      <c r="D8" s="354"/>
      <c r="E8" s="354"/>
      <c r="F8" s="354">
        <f>-'Table 5C1A-Madison Prep'!AH9</f>
        <v>0</v>
      </c>
      <c r="G8" s="354">
        <f>-'Table 5C1B-DArbonne'!AH9</f>
        <v>0</v>
      </c>
      <c r="H8" s="354">
        <f>-'Table 5C1C-Intl_VIBE'!AH9</f>
        <v>0</v>
      </c>
      <c r="I8" s="354">
        <f>-'Table 5C1D-NOMMA'!AH9</f>
        <v>0</v>
      </c>
      <c r="J8" s="354"/>
      <c r="K8" s="354">
        <f>-'Table 5C1E-LFNO'!AJ9</f>
        <v>0</v>
      </c>
      <c r="L8" s="354">
        <f>-'Table 5C1F-Lake Charles Charter'!AH9</f>
        <v>0</v>
      </c>
      <c r="M8" s="354">
        <f>-'Table 5C1G-JS Clark Academy'!AH9</f>
        <v>0</v>
      </c>
      <c r="N8" s="354">
        <f>-'Table 5C1H-Southwest LA Charter'!AH9</f>
        <v>0</v>
      </c>
      <c r="O8" s="354">
        <f>-'Table 5C2 - LA Virtual Admy'!AI7</f>
        <v>-11991</v>
      </c>
      <c r="P8" s="354">
        <f>-'Table 5C3 - LA Connections EBR'!AI7</f>
        <v>-21444</v>
      </c>
      <c r="Q8" s="354">
        <f>-'Table 5E_OJJ'!AG9</f>
        <v>-530</v>
      </c>
      <c r="R8" s="739">
        <f t="shared" si="25"/>
        <v>8938703</v>
      </c>
      <c r="S8" s="354"/>
      <c r="T8" s="354"/>
      <c r="U8" s="354"/>
      <c r="V8" s="354">
        <f>'Table 5C1A-Madison Prep'!AO9</f>
        <v>0</v>
      </c>
      <c r="W8" s="354">
        <f>'Table 5C1B-DArbonne'!AO9</f>
        <v>0</v>
      </c>
      <c r="X8" s="354">
        <f>'Table 5C1C-Intl_VIBE'!AO9</f>
        <v>0</v>
      </c>
      <c r="Y8" s="354">
        <f>'Table 5C1D-NOMMA'!AO9</f>
        <v>0</v>
      </c>
      <c r="Z8" s="354">
        <f>'Table 5C1E-LFNO'!AQ9</f>
        <v>0</v>
      </c>
      <c r="AA8" s="354">
        <f>'Table 5C1F-Lake Charles Charter'!AO9</f>
        <v>0</v>
      </c>
      <c r="AB8" s="354">
        <f>'Table 5C1G-JS Clark Academy'!AO9</f>
        <v>0</v>
      </c>
      <c r="AC8" s="354">
        <f>'Table 5C1H-Southwest LA Charter'!AO9</f>
        <v>0</v>
      </c>
      <c r="AD8" s="354">
        <f>'Table 5C2 - LA Virtual Admy'!AP7</f>
        <v>-1</v>
      </c>
      <c r="AE8" s="354">
        <f>'Table 5C3 - LA Connections EBR'!AP7</f>
        <v>-1</v>
      </c>
      <c r="AF8" s="739">
        <f t="shared" si="26"/>
        <v>8938701</v>
      </c>
      <c r="AG8" s="47"/>
      <c r="AM8"/>
      <c r="AV8"/>
    </row>
    <row r="9" spans="1:48">
      <c r="A9" s="101">
        <v>4</v>
      </c>
      <c r="B9" s="299" t="s">
        <v>105</v>
      </c>
      <c r="C9" s="309">
        <f>'Table 2_State with Midyear Adjs'!AQ10</f>
        <v>1942168</v>
      </c>
      <c r="D9" s="354"/>
      <c r="E9" s="354"/>
      <c r="F9" s="354">
        <f>-'Table 5C1A-Madison Prep'!AH10</f>
        <v>0</v>
      </c>
      <c r="G9" s="354">
        <f>-'Table 5C1B-DArbonne'!AH10</f>
        <v>0</v>
      </c>
      <c r="H9" s="354">
        <f>-'Table 5C1C-Intl_VIBE'!AH10</f>
        <v>0</v>
      </c>
      <c r="I9" s="354">
        <f>-'Table 5C1D-NOMMA'!AH10</f>
        <v>0</v>
      </c>
      <c r="J9" s="354"/>
      <c r="K9" s="354">
        <f>-'Table 5C1E-LFNO'!AJ10</f>
        <v>0</v>
      </c>
      <c r="L9" s="354">
        <f>-'Table 5C1F-Lake Charles Charter'!AH10</f>
        <v>0</v>
      </c>
      <c r="M9" s="354">
        <f>-'Table 5C1G-JS Clark Academy'!AH10</f>
        <v>0</v>
      </c>
      <c r="N9" s="354">
        <f>-'Table 5C1H-Southwest LA Charter'!AH10</f>
        <v>0</v>
      </c>
      <c r="O9" s="354">
        <f>-'Table 5C2 - LA Virtual Admy'!AI8</f>
        <v>-852</v>
      </c>
      <c r="P9" s="354">
        <f>-'Table 5C3 - LA Connections EBR'!AI8</f>
        <v>-2540</v>
      </c>
      <c r="Q9" s="354">
        <f>-'Table 5E_OJJ'!AG10</f>
        <v>-181</v>
      </c>
      <c r="R9" s="739">
        <f t="shared" si="25"/>
        <v>1938595</v>
      </c>
      <c r="S9" s="354"/>
      <c r="T9" s="354"/>
      <c r="U9" s="354"/>
      <c r="V9" s="354">
        <f>'Table 5C1A-Madison Prep'!AO10</f>
        <v>0</v>
      </c>
      <c r="W9" s="354">
        <f>'Table 5C1B-DArbonne'!AO10</f>
        <v>0</v>
      </c>
      <c r="X9" s="354">
        <f>'Table 5C1C-Intl_VIBE'!AO10</f>
        <v>0</v>
      </c>
      <c r="Y9" s="354">
        <f>'Table 5C1D-NOMMA'!AO10</f>
        <v>0</v>
      </c>
      <c r="Z9" s="354">
        <f>'Table 5C1E-LFNO'!AQ10</f>
        <v>0</v>
      </c>
      <c r="AA9" s="354">
        <f>'Table 5C1F-Lake Charles Charter'!AO10</f>
        <v>0</v>
      </c>
      <c r="AB9" s="354">
        <f>'Table 5C1G-JS Clark Academy'!AO10</f>
        <v>0</v>
      </c>
      <c r="AC9" s="354">
        <f>'Table 5C1H-Southwest LA Charter'!AO10</f>
        <v>0</v>
      </c>
      <c r="AD9" s="354">
        <f>'Table 5C2 - LA Virtual Admy'!AP8</f>
        <v>0</v>
      </c>
      <c r="AE9" s="354">
        <f>'Table 5C3 - LA Connections EBR'!AP8</f>
        <v>-1</v>
      </c>
      <c r="AF9" s="739">
        <f t="shared" si="26"/>
        <v>1938594</v>
      </c>
      <c r="AG9" s="47"/>
      <c r="AM9"/>
      <c r="AV9"/>
    </row>
    <row r="10" spans="1:48">
      <c r="A10" s="102">
        <v>5</v>
      </c>
      <c r="B10" s="300" t="s">
        <v>106</v>
      </c>
      <c r="C10" s="318">
        <f>'Table 2_State with Midyear Adjs'!AQ11</f>
        <v>3160232</v>
      </c>
      <c r="D10" s="355"/>
      <c r="E10" s="355"/>
      <c r="F10" s="355">
        <f>-'Table 5C1A-Madison Prep'!AH11</f>
        <v>0</v>
      </c>
      <c r="G10" s="355">
        <f>-'Table 5C1B-DArbonne'!AH11</f>
        <v>0</v>
      </c>
      <c r="H10" s="355">
        <f>-'Table 5C1C-Intl_VIBE'!AH11</f>
        <v>0</v>
      </c>
      <c r="I10" s="355">
        <f>-'Table 5C1D-NOMMA'!AH11</f>
        <v>0</v>
      </c>
      <c r="J10" s="355"/>
      <c r="K10" s="355">
        <f>-'Table 5C1E-LFNO'!AJ11</f>
        <v>0</v>
      </c>
      <c r="L10" s="355">
        <f>-'Table 5C1F-Lake Charles Charter'!AH11</f>
        <v>0</v>
      </c>
      <c r="M10" s="355">
        <f>-'Table 5C1G-JS Clark Academy'!AH11</f>
        <v>0</v>
      </c>
      <c r="N10" s="355">
        <f>-'Table 5C1H-Southwest LA Charter'!AH11</f>
        <v>0</v>
      </c>
      <c r="O10" s="355">
        <f>-'Table 5C2 - LA Virtual Admy'!AI9</f>
        <v>-4032</v>
      </c>
      <c r="P10" s="355">
        <f>-'Table 5C3 - LA Connections EBR'!AI9</f>
        <v>-6465</v>
      </c>
      <c r="Q10" s="355">
        <f>-'Table 5E_OJJ'!AG11</f>
        <v>-697</v>
      </c>
      <c r="R10" s="740">
        <f t="shared" si="25"/>
        <v>3149038</v>
      </c>
      <c r="S10" s="355"/>
      <c r="T10" s="355"/>
      <c r="U10" s="355"/>
      <c r="V10" s="355">
        <f>'Table 5C1A-Madison Prep'!AO11</f>
        <v>0</v>
      </c>
      <c r="W10" s="355">
        <f>'Table 5C1B-DArbonne'!AO11</f>
        <v>0</v>
      </c>
      <c r="X10" s="355">
        <f>'Table 5C1C-Intl_VIBE'!AO11</f>
        <v>0</v>
      </c>
      <c r="Y10" s="355">
        <f>'Table 5C1D-NOMMA'!AO11</f>
        <v>0</v>
      </c>
      <c r="Z10" s="355">
        <f>'Table 5C1E-LFNO'!AQ11</f>
        <v>0</v>
      </c>
      <c r="AA10" s="355">
        <f>'Table 5C1F-Lake Charles Charter'!AO11</f>
        <v>0</v>
      </c>
      <c r="AB10" s="355">
        <f>'Table 5C1G-JS Clark Academy'!AO11</f>
        <v>0</v>
      </c>
      <c r="AC10" s="355">
        <f>'Table 5C1H-Southwest LA Charter'!AO11</f>
        <v>0</v>
      </c>
      <c r="AD10" s="355">
        <f>'Table 5C2 - LA Virtual Admy'!AP9</f>
        <v>-8</v>
      </c>
      <c r="AE10" s="355">
        <f>'Table 5C3 - LA Connections EBR'!AP9</f>
        <v>-7</v>
      </c>
      <c r="AF10" s="740">
        <f t="shared" si="26"/>
        <v>3149023</v>
      </c>
      <c r="AG10" s="47"/>
      <c r="AM10"/>
      <c r="AV10"/>
    </row>
    <row r="11" spans="1:48">
      <c r="A11" s="101">
        <v>6</v>
      </c>
      <c r="B11" s="299" t="s">
        <v>107</v>
      </c>
      <c r="C11" s="309">
        <f>'Table 2_State with Midyear Adjs'!AQ12</f>
        <v>3057465</v>
      </c>
      <c r="D11" s="354"/>
      <c r="E11" s="354"/>
      <c r="F11" s="354">
        <f>-'Table 5C1A-Madison Prep'!AH12</f>
        <v>0</v>
      </c>
      <c r="G11" s="354">
        <f>-'Table 5C1B-DArbonne'!AH12</f>
        <v>0</v>
      </c>
      <c r="H11" s="354">
        <f>-'Table 5C1C-Intl_VIBE'!AH12</f>
        <v>0</v>
      </c>
      <c r="I11" s="354">
        <f>-'Table 5C1D-NOMMA'!AH12</f>
        <v>0</v>
      </c>
      <c r="J11" s="354"/>
      <c r="K11" s="354">
        <f>-'Table 5C1E-LFNO'!AJ12</f>
        <v>0</v>
      </c>
      <c r="L11" s="354">
        <f>-'Table 5C1F-Lake Charles Charter'!AH12</f>
        <v>0</v>
      </c>
      <c r="M11" s="354">
        <f>-'Table 5C1G-JS Clark Academy'!AH12</f>
        <v>0</v>
      </c>
      <c r="N11" s="354">
        <f>-'Table 5C1H-Southwest LA Charter'!AH12</f>
        <v>0</v>
      </c>
      <c r="O11" s="354">
        <f>-'Table 5C2 - LA Virtual Admy'!AI10</f>
        <v>-4186</v>
      </c>
      <c r="P11" s="354">
        <f>-'Table 5C3 - LA Connections EBR'!AI10</f>
        <v>-10005</v>
      </c>
      <c r="Q11" s="354">
        <f>-'Table 5E_OJJ'!AG12</f>
        <v>-466</v>
      </c>
      <c r="R11" s="739">
        <f t="shared" si="25"/>
        <v>3042808</v>
      </c>
      <c r="S11" s="354"/>
      <c r="T11" s="354"/>
      <c r="U11" s="354"/>
      <c r="V11" s="354">
        <f>'Table 5C1A-Madison Prep'!AO12</f>
        <v>0</v>
      </c>
      <c r="W11" s="354">
        <f>'Table 5C1B-DArbonne'!AO12</f>
        <v>0</v>
      </c>
      <c r="X11" s="354">
        <f>'Table 5C1C-Intl_VIBE'!AO12</f>
        <v>0</v>
      </c>
      <c r="Y11" s="354">
        <f>'Table 5C1D-NOMMA'!AO12</f>
        <v>0</v>
      </c>
      <c r="Z11" s="354">
        <f>'Table 5C1E-LFNO'!AQ12</f>
        <v>0</v>
      </c>
      <c r="AA11" s="354">
        <f>'Table 5C1F-Lake Charles Charter'!AO12</f>
        <v>0</v>
      </c>
      <c r="AB11" s="354">
        <f>'Table 5C1G-JS Clark Academy'!AO12</f>
        <v>0</v>
      </c>
      <c r="AC11" s="354">
        <f>'Table 5C1H-Southwest LA Charter'!AO12</f>
        <v>0</v>
      </c>
      <c r="AD11" s="354">
        <f>'Table 5C2 - LA Virtual Admy'!AP10</f>
        <v>0</v>
      </c>
      <c r="AE11" s="354">
        <f>'Table 5C3 - LA Connections EBR'!AP10</f>
        <v>0</v>
      </c>
      <c r="AF11" s="739">
        <f t="shared" si="26"/>
        <v>3042808</v>
      </c>
      <c r="AG11" s="47"/>
      <c r="AM11"/>
      <c r="AV11"/>
    </row>
    <row r="12" spans="1:48">
      <c r="A12" s="101">
        <v>7</v>
      </c>
      <c r="B12" s="299" t="s">
        <v>108</v>
      </c>
      <c r="C12" s="309">
        <f>'Table 2_State with Midyear Adjs'!AQ13</f>
        <v>440723</v>
      </c>
      <c r="D12" s="354"/>
      <c r="E12" s="354"/>
      <c r="F12" s="354">
        <f>-'Table 5C1A-Madison Prep'!AH13</f>
        <v>0</v>
      </c>
      <c r="G12" s="354">
        <f>-'Table 5C1B-DArbonne'!AH13</f>
        <v>0</v>
      </c>
      <c r="H12" s="354">
        <f>-'Table 5C1C-Intl_VIBE'!AH13</f>
        <v>0</v>
      </c>
      <c r="I12" s="354">
        <f>-'Table 5C1D-NOMMA'!AH13</f>
        <v>0</v>
      </c>
      <c r="J12" s="354"/>
      <c r="K12" s="354">
        <f>-'Table 5C1E-LFNO'!AJ13</f>
        <v>0</v>
      </c>
      <c r="L12" s="354">
        <f>-'Table 5C1F-Lake Charles Charter'!AH13</f>
        <v>0</v>
      </c>
      <c r="M12" s="354">
        <f>-'Table 5C1G-JS Clark Academy'!AH13</f>
        <v>0</v>
      </c>
      <c r="N12" s="354">
        <f>-'Table 5C1H-Southwest LA Charter'!AH13</f>
        <v>0</v>
      </c>
      <c r="O12" s="354">
        <f>-'Table 5C2 - LA Virtual Admy'!AI11</f>
        <v>-3124</v>
      </c>
      <c r="P12" s="354">
        <f>-'Table 5C3 - LA Connections EBR'!AI11</f>
        <v>-27631</v>
      </c>
      <c r="Q12" s="354">
        <f>-'Table 5E_OJJ'!AG13</f>
        <v>0</v>
      </c>
      <c r="R12" s="739">
        <f t="shared" si="25"/>
        <v>409968</v>
      </c>
      <c r="S12" s="354"/>
      <c r="T12" s="354"/>
      <c r="U12" s="354"/>
      <c r="V12" s="354">
        <f>'Table 5C1A-Madison Prep'!AO13</f>
        <v>0</v>
      </c>
      <c r="W12" s="354">
        <f>'Table 5C1B-DArbonne'!AO13</f>
        <v>0</v>
      </c>
      <c r="X12" s="354">
        <f>'Table 5C1C-Intl_VIBE'!AO13</f>
        <v>0</v>
      </c>
      <c r="Y12" s="354">
        <f>'Table 5C1D-NOMMA'!AO13</f>
        <v>0</v>
      </c>
      <c r="Z12" s="354">
        <f>'Table 5C1E-LFNO'!AQ13</f>
        <v>0</v>
      </c>
      <c r="AA12" s="354">
        <f>'Table 5C1F-Lake Charles Charter'!AO13</f>
        <v>0</v>
      </c>
      <c r="AB12" s="354">
        <f>'Table 5C1G-JS Clark Academy'!AO13</f>
        <v>0</v>
      </c>
      <c r="AC12" s="354">
        <f>'Table 5C1H-Southwest LA Charter'!AO13</f>
        <v>0</v>
      </c>
      <c r="AD12" s="354">
        <f>'Table 5C2 - LA Virtual Admy'!AP11</f>
        <v>0</v>
      </c>
      <c r="AE12" s="354">
        <f>'Table 5C3 - LA Connections EBR'!AP11</f>
        <v>0</v>
      </c>
      <c r="AF12" s="739">
        <f t="shared" si="26"/>
        <v>409968</v>
      </c>
      <c r="AG12" s="47"/>
      <c r="AM12"/>
      <c r="AV12"/>
    </row>
    <row r="13" spans="1:48">
      <c r="A13" s="101">
        <v>8</v>
      </c>
      <c r="B13" s="299" t="s">
        <v>109</v>
      </c>
      <c r="C13" s="309">
        <f>'Table 2_State with Midyear Adjs'!AQ14</f>
        <v>8946067</v>
      </c>
      <c r="D13" s="354"/>
      <c r="E13" s="354"/>
      <c r="F13" s="354">
        <f>-'Table 5C1A-Madison Prep'!AH14</f>
        <v>0</v>
      </c>
      <c r="G13" s="354">
        <f>-'Table 5C1B-DArbonne'!AH14</f>
        <v>0</v>
      </c>
      <c r="H13" s="354">
        <f>-'Table 5C1C-Intl_VIBE'!AH14</f>
        <v>0</v>
      </c>
      <c r="I13" s="354">
        <f>-'Table 5C1D-NOMMA'!AH14</f>
        <v>0</v>
      </c>
      <c r="J13" s="354"/>
      <c r="K13" s="354">
        <f>-'Table 5C1E-LFNO'!AJ14</f>
        <v>0</v>
      </c>
      <c r="L13" s="354">
        <f>-'Table 5C1F-Lake Charles Charter'!AH14</f>
        <v>0</v>
      </c>
      <c r="M13" s="354">
        <f>-'Table 5C1G-JS Clark Academy'!AH14</f>
        <v>0</v>
      </c>
      <c r="N13" s="354">
        <f>-'Table 5C1H-Southwest LA Charter'!AH14</f>
        <v>0</v>
      </c>
      <c r="O13" s="354">
        <f>-'Table 5C2 - LA Virtual Admy'!AI12</f>
        <v>-7082</v>
      </c>
      <c r="P13" s="354">
        <f>-'Table 5C3 - LA Connections EBR'!AI12</f>
        <v>-40605</v>
      </c>
      <c r="Q13" s="354">
        <f>-'Table 5E_OJJ'!AG14</f>
        <v>-1542</v>
      </c>
      <c r="R13" s="739">
        <f t="shared" si="25"/>
        <v>8896838</v>
      </c>
      <c r="S13" s="354"/>
      <c r="T13" s="354"/>
      <c r="U13" s="354"/>
      <c r="V13" s="354">
        <f>'Table 5C1A-Madison Prep'!AO14</f>
        <v>0</v>
      </c>
      <c r="W13" s="354">
        <f>'Table 5C1B-DArbonne'!AO14</f>
        <v>0</v>
      </c>
      <c r="X13" s="354">
        <f>'Table 5C1C-Intl_VIBE'!AO14</f>
        <v>0</v>
      </c>
      <c r="Y13" s="354">
        <f>'Table 5C1D-NOMMA'!AO14</f>
        <v>0</v>
      </c>
      <c r="Z13" s="354">
        <f>'Table 5C1E-LFNO'!AQ14</f>
        <v>0</v>
      </c>
      <c r="AA13" s="354">
        <f>'Table 5C1F-Lake Charles Charter'!AO14</f>
        <v>0</v>
      </c>
      <c r="AB13" s="354">
        <f>'Table 5C1G-JS Clark Academy'!AO14</f>
        <v>0</v>
      </c>
      <c r="AC13" s="354">
        <f>'Table 5C1H-Southwest LA Charter'!AO14</f>
        <v>0</v>
      </c>
      <c r="AD13" s="354">
        <f>'Table 5C2 - LA Virtual Admy'!AP12</f>
        <v>0</v>
      </c>
      <c r="AE13" s="354">
        <f>'Table 5C3 - LA Connections EBR'!AP12</f>
        <v>0</v>
      </c>
      <c r="AF13" s="739">
        <f t="shared" si="26"/>
        <v>8896838</v>
      </c>
      <c r="AG13" s="47"/>
      <c r="AM13"/>
      <c r="AV13"/>
    </row>
    <row r="14" spans="1:48">
      <c r="A14" s="101">
        <v>9</v>
      </c>
      <c r="B14" s="299" t="s">
        <v>110</v>
      </c>
      <c r="C14" s="309">
        <f>'Table 2_State with Midyear Adjs'!AQ15</f>
        <v>16900277</v>
      </c>
      <c r="D14" s="354">
        <f>-'Table 5B2_RSD_LA'!AL30</f>
        <v>-241450.78000000003</v>
      </c>
      <c r="E14" s="354"/>
      <c r="F14" s="354">
        <f>-'Table 5C1A-Madison Prep'!AH15</f>
        <v>0</v>
      </c>
      <c r="G14" s="354">
        <f>-'Table 5C1B-DArbonne'!AH15</f>
        <v>0</v>
      </c>
      <c r="H14" s="354">
        <f>-'Table 5C1C-Intl_VIBE'!AH15</f>
        <v>0</v>
      </c>
      <c r="I14" s="354">
        <f>-'Table 5C1D-NOMMA'!AH15</f>
        <v>0</v>
      </c>
      <c r="J14" s="354"/>
      <c r="K14" s="354">
        <f>-'Table 5C1E-LFNO'!AJ15</f>
        <v>0</v>
      </c>
      <c r="L14" s="354">
        <f>-'Table 5C1F-Lake Charles Charter'!AH15</f>
        <v>754</v>
      </c>
      <c r="M14" s="354">
        <f>-'Table 5C1G-JS Clark Academy'!AH15</f>
        <v>0</v>
      </c>
      <c r="N14" s="354">
        <f>-'Table 5C1H-Southwest LA Charter'!AH15</f>
        <v>0</v>
      </c>
      <c r="O14" s="354">
        <f>-'Table 5C2 - LA Virtual Admy'!AI13</f>
        <v>-25235</v>
      </c>
      <c r="P14" s="354">
        <f>-'Table 5C3 - LA Connections EBR'!AI13</f>
        <v>-35350</v>
      </c>
      <c r="Q14" s="354">
        <f>-'Table 5E_OJJ'!AG15</f>
        <v>-9335</v>
      </c>
      <c r="R14" s="739">
        <f t="shared" si="25"/>
        <v>16589660.220000001</v>
      </c>
      <c r="S14" s="354">
        <f>-'Table 5B2_RSD_LA'!AC53</f>
        <v>-81.269999999996799</v>
      </c>
      <c r="T14" s="354">
        <f>-'Table 5B2_RSD_LA'!AD53</f>
        <v>-11.610000000000582</v>
      </c>
      <c r="U14" s="354"/>
      <c r="V14" s="354">
        <f>'Table 5C1A-Madison Prep'!AO15</f>
        <v>0</v>
      </c>
      <c r="W14" s="354">
        <f>'Table 5C1B-DArbonne'!AO15</f>
        <v>0</v>
      </c>
      <c r="X14" s="354">
        <f>'Table 5C1C-Intl_VIBE'!AO15</f>
        <v>0</v>
      </c>
      <c r="Y14" s="354">
        <f>'Table 5C1D-NOMMA'!AO15</f>
        <v>0</v>
      </c>
      <c r="Z14" s="354">
        <f>'Table 5C1E-LFNO'!AQ15</f>
        <v>0</v>
      </c>
      <c r="AA14" s="354">
        <f>'Table 5C1F-Lake Charles Charter'!AO15</f>
        <v>0</v>
      </c>
      <c r="AB14" s="354">
        <f>'Table 5C1G-JS Clark Academy'!AO15</f>
        <v>0</v>
      </c>
      <c r="AC14" s="354">
        <f>'Table 5C1H-Southwest LA Charter'!AO15</f>
        <v>0</v>
      </c>
      <c r="AD14" s="354">
        <f>'Table 5C2 - LA Virtual Admy'!AP13</f>
        <v>-2</v>
      </c>
      <c r="AE14" s="354">
        <f>'Table 5C3 - LA Connections EBR'!AP13</f>
        <v>-1</v>
      </c>
      <c r="AF14" s="739">
        <f t="shared" si="26"/>
        <v>16589564.340000002</v>
      </c>
      <c r="AG14" s="47"/>
      <c r="AM14"/>
      <c r="AV14"/>
    </row>
    <row r="15" spans="1:48">
      <c r="A15" s="102">
        <v>10</v>
      </c>
      <c r="B15" s="300" t="s">
        <v>111</v>
      </c>
      <c r="C15" s="318">
        <f>'Table 2_State with Midyear Adjs'!AQ16</f>
        <v>12590875</v>
      </c>
      <c r="D15" s="355"/>
      <c r="E15" s="355"/>
      <c r="F15" s="355">
        <f>-'Table 5C1A-Madison Prep'!AH16</f>
        <v>0</v>
      </c>
      <c r="G15" s="355">
        <f>-'Table 5C1B-DArbonne'!AH16</f>
        <v>0</v>
      </c>
      <c r="H15" s="355">
        <f>-'Table 5C1C-Intl_VIBE'!AH16</f>
        <v>0</v>
      </c>
      <c r="I15" s="355">
        <f>-'Table 5C1D-NOMMA'!AH16</f>
        <v>0</v>
      </c>
      <c r="J15" s="355"/>
      <c r="K15" s="355">
        <f>-'Table 5C1E-LFNO'!AJ16</f>
        <v>0</v>
      </c>
      <c r="L15" s="355">
        <f>-'Table 5C1F-Lake Charles Charter'!AH16</f>
        <v>-385638.79062499991</v>
      </c>
      <c r="M15" s="355">
        <f>-'Table 5C1G-JS Clark Academy'!AH16</f>
        <v>0</v>
      </c>
      <c r="N15" s="355">
        <f>-'Table 5C1H-Southwest LA Charter'!AH16</f>
        <v>-271433.38437499991</v>
      </c>
      <c r="O15" s="355">
        <f>-'Table 5C2 - LA Virtual Admy'!AI14</f>
        <v>-15167</v>
      </c>
      <c r="P15" s="355">
        <f>-'Table 5C3 - LA Connections EBR'!AI14</f>
        <v>-36843</v>
      </c>
      <c r="Q15" s="355">
        <f>-'Table 5E_OJJ'!AG16</f>
        <v>-2465</v>
      </c>
      <c r="R15" s="740">
        <f t="shared" si="25"/>
        <v>11879327.824999999</v>
      </c>
      <c r="S15" s="355"/>
      <c r="T15" s="355"/>
      <c r="U15" s="355"/>
      <c r="V15" s="355">
        <f>'Table 5C1A-Madison Prep'!AO16</f>
        <v>0</v>
      </c>
      <c r="W15" s="355">
        <f>'Table 5C1B-DArbonne'!AO16</f>
        <v>0</v>
      </c>
      <c r="X15" s="355">
        <f>'Table 5C1C-Intl_VIBE'!AO16</f>
        <v>0</v>
      </c>
      <c r="Y15" s="355">
        <f>'Table 5C1D-NOMMA'!AO16</f>
        <v>0</v>
      </c>
      <c r="Z15" s="355">
        <f>'Table 5C1E-LFNO'!AQ16</f>
        <v>0</v>
      </c>
      <c r="AA15" s="355">
        <f>'Table 5C1F-Lake Charles Charter'!AO16</f>
        <v>-7.6650000000008731</v>
      </c>
      <c r="AB15" s="355">
        <f>'Table 5C1G-JS Clark Academy'!AO16</f>
        <v>0</v>
      </c>
      <c r="AC15" s="355">
        <f>'Table 5C1H-Southwest LA Charter'!AO16</f>
        <v>-5.4149999999999636</v>
      </c>
      <c r="AD15" s="355">
        <f>'Table 5C2 - LA Virtual Admy'!AP14</f>
        <v>0</v>
      </c>
      <c r="AE15" s="355">
        <f>'Table 5C3 - LA Connections EBR'!AP14</f>
        <v>0</v>
      </c>
      <c r="AF15" s="740">
        <f t="shared" si="26"/>
        <v>11879314.745000001</v>
      </c>
      <c r="AG15" s="47"/>
      <c r="AM15"/>
      <c r="AV15"/>
    </row>
    <row r="16" spans="1:48">
      <c r="A16" s="101">
        <v>11</v>
      </c>
      <c r="B16" s="299" t="s">
        <v>112</v>
      </c>
      <c r="C16" s="309">
        <f>'Table 2_State with Midyear Adjs'!AQ17</f>
        <v>973311</v>
      </c>
      <c r="D16" s="354"/>
      <c r="E16" s="354"/>
      <c r="F16" s="354">
        <f>-'Table 5C1A-Madison Prep'!AH17</f>
        <v>0</v>
      </c>
      <c r="G16" s="354">
        <f>-'Table 5C1B-DArbonne'!AH17</f>
        <v>0</v>
      </c>
      <c r="H16" s="354">
        <f>-'Table 5C1C-Intl_VIBE'!AH17</f>
        <v>0</v>
      </c>
      <c r="I16" s="354">
        <f>-'Table 5C1D-NOMMA'!AH17</f>
        <v>0</v>
      </c>
      <c r="J16" s="354"/>
      <c r="K16" s="354">
        <f>-'Table 5C1E-LFNO'!AJ17</f>
        <v>0</v>
      </c>
      <c r="L16" s="354">
        <f>-'Table 5C1F-Lake Charles Charter'!AH17</f>
        <v>0</v>
      </c>
      <c r="M16" s="354">
        <f>-'Table 5C1G-JS Clark Academy'!AH17</f>
        <v>0</v>
      </c>
      <c r="N16" s="354">
        <f>-'Table 5C1H-Southwest LA Charter'!AH17</f>
        <v>0</v>
      </c>
      <c r="O16" s="354">
        <f>-'Table 5C2 - LA Virtual Admy'!AI15</f>
        <v>-2299</v>
      </c>
      <c r="P16" s="354">
        <f>-'Table 5C3 - LA Connections EBR'!AI15</f>
        <v>-1168</v>
      </c>
      <c r="Q16" s="354">
        <f>-'Table 5E_OJJ'!AG17</f>
        <v>0</v>
      </c>
      <c r="R16" s="739">
        <f t="shared" si="25"/>
        <v>969844</v>
      </c>
      <c r="S16" s="354"/>
      <c r="T16" s="354"/>
      <c r="U16" s="354"/>
      <c r="V16" s="354">
        <f>'Table 5C1A-Madison Prep'!AO17</f>
        <v>0</v>
      </c>
      <c r="W16" s="354">
        <f>'Table 5C1B-DArbonne'!AO17</f>
        <v>0</v>
      </c>
      <c r="X16" s="354">
        <f>'Table 5C1C-Intl_VIBE'!AO17</f>
        <v>0</v>
      </c>
      <c r="Y16" s="354">
        <f>'Table 5C1D-NOMMA'!AO17</f>
        <v>0</v>
      </c>
      <c r="Z16" s="354">
        <f>'Table 5C1E-LFNO'!AQ17</f>
        <v>0</v>
      </c>
      <c r="AA16" s="354">
        <f>'Table 5C1F-Lake Charles Charter'!AO17</f>
        <v>0</v>
      </c>
      <c r="AB16" s="354">
        <f>'Table 5C1G-JS Clark Academy'!AO17</f>
        <v>0</v>
      </c>
      <c r="AC16" s="354">
        <f>'Table 5C1H-Southwest LA Charter'!AO17</f>
        <v>0</v>
      </c>
      <c r="AD16" s="354">
        <f>'Table 5C2 - LA Virtual Admy'!AP15</f>
        <v>0</v>
      </c>
      <c r="AE16" s="354">
        <f>'Table 5C3 - LA Connections EBR'!AP15</f>
        <v>0</v>
      </c>
      <c r="AF16" s="739">
        <f t="shared" si="26"/>
        <v>969844</v>
      </c>
      <c r="AG16" s="47"/>
      <c r="AM16"/>
      <c r="AV16"/>
    </row>
    <row r="17" spans="1:48">
      <c r="A17" s="101">
        <v>12</v>
      </c>
      <c r="B17" s="299" t="s">
        <v>113</v>
      </c>
      <c r="C17" s="309">
        <f>'Table 2_State with Midyear Adjs'!AQ18</f>
        <v>291311</v>
      </c>
      <c r="D17" s="354"/>
      <c r="E17" s="354"/>
      <c r="F17" s="354">
        <f>-'Table 5C1A-Madison Prep'!AH18</f>
        <v>0</v>
      </c>
      <c r="G17" s="354">
        <f>-'Table 5C1B-DArbonne'!AH18</f>
        <v>0</v>
      </c>
      <c r="H17" s="354">
        <f>-'Table 5C1C-Intl_VIBE'!AH18</f>
        <v>0</v>
      </c>
      <c r="I17" s="354">
        <f>-'Table 5C1D-NOMMA'!AH18</f>
        <v>0</v>
      </c>
      <c r="J17" s="354"/>
      <c r="K17" s="354">
        <f>-'Table 5C1E-LFNO'!AJ18</f>
        <v>0</v>
      </c>
      <c r="L17" s="354">
        <f>-'Table 5C1F-Lake Charles Charter'!AH18</f>
        <v>0</v>
      </c>
      <c r="M17" s="354">
        <f>-'Table 5C1G-JS Clark Academy'!AH18</f>
        <v>0</v>
      </c>
      <c r="N17" s="354">
        <f>-'Table 5C1H-Southwest LA Charter'!AH18</f>
        <v>0</v>
      </c>
      <c r="O17" s="354">
        <f>-'Table 5C2 - LA Virtual Admy'!AI16</f>
        <v>0</v>
      </c>
      <c r="P17" s="354">
        <f>-'Table 5C3 - LA Connections EBR'!AI16</f>
        <v>2312</v>
      </c>
      <c r="Q17" s="354">
        <f>-'Table 5E_OJJ'!AG18</f>
        <v>0</v>
      </c>
      <c r="R17" s="739">
        <f t="shared" si="25"/>
        <v>293623</v>
      </c>
      <c r="S17" s="354"/>
      <c r="T17" s="354"/>
      <c r="U17" s="354"/>
      <c r="V17" s="354">
        <f>'Table 5C1A-Madison Prep'!AO18</f>
        <v>0</v>
      </c>
      <c r="W17" s="354">
        <f>'Table 5C1B-DArbonne'!AO18</f>
        <v>0</v>
      </c>
      <c r="X17" s="354">
        <f>'Table 5C1C-Intl_VIBE'!AO18</f>
        <v>0</v>
      </c>
      <c r="Y17" s="354">
        <f>'Table 5C1D-NOMMA'!AO18</f>
        <v>0</v>
      </c>
      <c r="Z17" s="354">
        <f>'Table 5C1E-LFNO'!AQ18</f>
        <v>0</v>
      </c>
      <c r="AA17" s="354">
        <f>'Table 5C1F-Lake Charles Charter'!AO18</f>
        <v>0</v>
      </c>
      <c r="AB17" s="354">
        <f>'Table 5C1G-JS Clark Academy'!AO18</f>
        <v>0</v>
      </c>
      <c r="AC17" s="354">
        <f>'Table 5C1H-Southwest LA Charter'!AO18</f>
        <v>0</v>
      </c>
      <c r="AD17" s="354">
        <f>'Table 5C2 - LA Virtual Admy'!AP16</f>
        <v>0</v>
      </c>
      <c r="AE17" s="354">
        <f>'Table 5C3 - LA Connections EBR'!AP16</f>
        <v>0</v>
      </c>
      <c r="AF17" s="739">
        <f t="shared" si="26"/>
        <v>293623</v>
      </c>
      <c r="AG17" s="47"/>
      <c r="AM17"/>
      <c r="AV17"/>
    </row>
    <row r="18" spans="1:48">
      <c r="A18" s="101">
        <v>13</v>
      </c>
      <c r="B18" s="299" t="s">
        <v>114</v>
      </c>
      <c r="C18" s="309">
        <f>'Table 2_State with Midyear Adjs'!AQ19</f>
        <v>842462</v>
      </c>
      <c r="D18" s="354"/>
      <c r="E18" s="354"/>
      <c r="F18" s="354">
        <f>-'Table 5C1A-Madison Prep'!AH19</f>
        <v>0</v>
      </c>
      <c r="G18" s="354">
        <f>-'Table 5C1B-DArbonne'!AH19</f>
        <v>0</v>
      </c>
      <c r="H18" s="354">
        <f>-'Table 5C1C-Intl_VIBE'!AH19</f>
        <v>0</v>
      </c>
      <c r="I18" s="354">
        <f>-'Table 5C1D-NOMMA'!AH19</f>
        <v>0</v>
      </c>
      <c r="J18" s="354"/>
      <c r="K18" s="354">
        <f>-'Table 5C1E-LFNO'!AJ19</f>
        <v>0</v>
      </c>
      <c r="L18" s="354">
        <f>-'Table 5C1F-Lake Charles Charter'!AH19</f>
        <v>0</v>
      </c>
      <c r="M18" s="354">
        <f>-'Table 5C1G-JS Clark Academy'!AH19</f>
        <v>0</v>
      </c>
      <c r="N18" s="354">
        <f>-'Table 5C1H-Southwest LA Charter'!AH19</f>
        <v>0</v>
      </c>
      <c r="O18" s="354">
        <f>-'Table 5C2 - LA Virtual Admy'!AI17</f>
        <v>-2099</v>
      </c>
      <c r="P18" s="354">
        <f>-'Table 5C3 - LA Connections EBR'!AI17</f>
        <v>-111</v>
      </c>
      <c r="Q18" s="354">
        <f>-'Table 5E_OJJ'!AG19</f>
        <v>0</v>
      </c>
      <c r="R18" s="739">
        <f t="shared" si="25"/>
        <v>840252</v>
      </c>
      <c r="S18" s="354"/>
      <c r="T18" s="354"/>
      <c r="U18" s="354"/>
      <c r="V18" s="354">
        <f>'Table 5C1A-Madison Prep'!AO19</f>
        <v>0</v>
      </c>
      <c r="W18" s="354">
        <f>'Table 5C1B-DArbonne'!AO19</f>
        <v>0</v>
      </c>
      <c r="X18" s="354">
        <f>'Table 5C1C-Intl_VIBE'!AO19</f>
        <v>0</v>
      </c>
      <c r="Y18" s="354">
        <f>'Table 5C1D-NOMMA'!AO19</f>
        <v>0</v>
      </c>
      <c r="Z18" s="354">
        <f>'Table 5C1E-LFNO'!AQ19</f>
        <v>0</v>
      </c>
      <c r="AA18" s="354">
        <f>'Table 5C1F-Lake Charles Charter'!AO19</f>
        <v>0</v>
      </c>
      <c r="AB18" s="354">
        <f>'Table 5C1G-JS Clark Academy'!AO19</f>
        <v>0</v>
      </c>
      <c r="AC18" s="354">
        <f>'Table 5C1H-Southwest LA Charter'!AO19</f>
        <v>0</v>
      </c>
      <c r="AD18" s="354">
        <f>'Table 5C2 - LA Virtual Admy'!AP17</f>
        <v>0</v>
      </c>
      <c r="AE18" s="354">
        <f>'Table 5C3 - LA Connections EBR'!AP17</f>
        <v>0</v>
      </c>
      <c r="AF18" s="739">
        <f t="shared" si="26"/>
        <v>840252</v>
      </c>
      <c r="AG18" s="47"/>
      <c r="AM18"/>
      <c r="AV18"/>
    </row>
    <row r="19" spans="1:48">
      <c r="A19" s="101">
        <v>14</v>
      </c>
      <c r="B19" s="299" t="s">
        <v>115</v>
      </c>
      <c r="C19" s="309">
        <f>'Table 2_State with Midyear Adjs'!AQ20</f>
        <v>885345</v>
      </c>
      <c r="D19" s="354"/>
      <c r="E19" s="354"/>
      <c r="F19" s="354">
        <f>-'Table 5C1A-Madison Prep'!AH20</f>
        <v>0</v>
      </c>
      <c r="G19" s="354">
        <f>-'Table 5C1B-DArbonne'!AH20</f>
        <v>-1374.7062500000002</v>
      </c>
      <c r="H19" s="354">
        <f>-'Table 5C1C-Intl_VIBE'!AH20</f>
        <v>0</v>
      </c>
      <c r="I19" s="354">
        <f>-'Table 5C1D-NOMMA'!AH20</f>
        <v>0</v>
      </c>
      <c r="J19" s="354"/>
      <c r="K19" s="354">
        <f>-'Table 5C1E-LFNO'!AJ20</f>
        <v>0</v>
      </c>
      <c r="L19" s="354">
        <f>-'Table 5C1F-Lake Charles Charter'!AH20</f>
        <v>0</v>
      </c>
      <c r="M19" s="354">
        <f>-'Table 5C1G-JS Clark Academy'!AH20</f>
        <v>0</v>
      </c>
      <c r="N19" s="354">
        <f>-'Table 5C1H-Southwest LA Charter'!AH20</f>
        <v>0</v>
      </c>
      <c r="O19" s="354">
        <f>-'Table 5C2 - LA Virtual Admy'!AI18</f>
        <v>1138</v>
      </c>
      <c r="P19" s="354">
        <f>-'Table 5C3 - LA Connections EBR'!AI18</f>
        <v>-6707</v>
      </c>
      <c r="Q19" s="354">
        <f>-'Table 5E_OJJ'!AG20</f>
        <v>0</v>
      </c>
      <c r="R19" s="739">
        <f t="shared" si="25"/>
        <v>878401.29374999995</v>
      </c>
      <c r="S19" s="354"/>
      <c r="T19" s="354"/>
      <c r="U19" s="354"/>
      <c r="V19" s="354">
        <f>'Table 5C1A-Madison Prep'!AO20</f>
        <v>0</v>
      </c>
      <c r="W19" s="354">
        <f>'Table 5C1B-DArbonne'!AO20</f>
        <v>-7.5000000000002842E-3</v>
      </c>
      <c r="X19" s="354">
        <f>'Table 5C1C-Intl_VIBE'!AO20</f>
        <v>0</v>
      </c>
      <c r="Y19" s="354">
        <f>'Table 5C1D-NOMMA'!AO20</f>
        <v>0</v>
      </c>
      <c r="Z19" s="354">
        <f>'Table 5C1E-LFNO'!AQ20</f>
        <v>0</v>
      </c>
      <c r="AA19" s="354">
        <f>'Table 5C1F-Lake Charles Charter'!AO20</f>
        <v>0</v>
      </c>
      <c r="AB19" s="354">
        <f>'Table 5C1G-JS Clark Academy'!AO20</f>
        <v>0</v>
      </c>
      <c r="AC19" s="354">
        <f>'Table 5C1H-Southwest LA Charter'!AO20</f>
        <v>0</v>
      </c>
      <c r="AD19" s="354">
        <f>'Table 5C2 - LA Virtual Admy'!AP18</f>
        <v>0</v>
      </c>
      <c r="AE19" s="354">
        <f>'Table 5C3 - LA Connections EBR'!AP18</f>
        <v>0</v>
      </c>
      <c r="AF19" s="739">
        <f t="shared" si="26"/>
        <v>878401.28625</v>
      </c>
      <c r="AG19" s="47"/>
      <c r="AM19"/>
      <c r="AV19"/>
    </row>
    <row r="20" spans="1:48">
      <c r="A20" s="102">
        <v>15</v>
      </c>
      <c r="B20" s="300" t="s">
        <v>116</v>
      </c>
      <c r="C20" s="318">
        <f>'Table 2_State with Midyear Adjs'!AQ21</f>
        <v>1820581</v>
      </c>
      <c r="D20" s="355"/>
      <c r="E20" s="355"/>
      <c r="F20" s="355">
        <f>-'Table 5C1A-Madison Prep'!AH21</f>
        <v>0</v>
      </c>
      <c r="G20" s="355">
        <f>-'Table 5C1B-DArbonne'!AH21</f>
        <v>0</v>
      </c>
      <c r="H20" s="355">
        <f>-'Table 5C1C-Intl_VIBE'!AH21</f>
        <v>0</v>
      </c>
      <c r="I20" s="355">
        <f>-'Table 5C1D-NOMMA'!AH21</f>
        <v>0</v>
      </c>
      <c r="J20" s="355"/>
      <c r="K20" s="355">
        <f>-'Table 5C1E-LFNO'!AJ21</f>
        <v>0</v>
      </c>
      <c r="L20" s="355">
        <f>-'Table 5C1F-Lake Charles Charter'!AH21</f>
        <v>0</v>
      </c>
      <c r="M20" s="355">
        <f>-'Table 5C1G-JS Clark Academy'!AH21</f>
        <v>0</v>
      </c>
      <c r="N20" s="355">
        <f>-'Table 5C1H-Southwest LA Charter'!AH21</f>
        <v>0</v>
      </c>
      <c r="O20" s="355">
        <f>-'Table 5C2 - LA Virtual Admy'!AI19</f>
        <v>-533</v>
      </c>
      <c r="P20" s="355">
        <f>-'Table 5C3 - LA Connections EBR'!AI19</f>
        <v>-454</v>
      </c>
      <c r="Q20" s="355">
        <f>-'Table 5E_OJJ'!AG21</f>
        <v>-509</v>
      </c>
      <c r="R20" s="740">
        <f t="shared" si="25"/>
        <v>1819085</v>
      </c>
      <c r="S20" s="355"/>
      <c r="T20" s="355"/>
      <c r="U20" s="355"/>
      <c r="V20" s="355">
        <f>'Table 5C1A-Madison Prep'!AO21</f>
        <v>0</v>
      </c>
      <c r="W20" s="355">
        <f>'Table 5C1B-DArbonne'!AO21</f>
        <v>0</v>
      </c>
      <c r="X20" s="355">
        <f>'Table 5C1C-Intl_VIBE'!AO21</f>
        <v>0</v>
      </c>
      <c r="Y20" s="355">
        <f>'Table 5C1D-NOMMA'!AO21</f>
        <v>0</v>
      </c>
      <c r="Z20" s="355">
        <f>'Table 5C1E-LFNO'!AQ21</f>
        <v>0</v>
      </c>
      <c r="AA20" s="355">
        <f>'Table 5C1F-Lake Charles Charter'!AO21</f>
        <v>0</v>
      </c>
      <c r="AB20" s="355">
        <f>'Table 5C1G-JS Clark Academy'!AO21</f>
        <v>0</v>
      </c>
      <c r="AC20" s="355">
        <f>'Table 5C1H-Southwest LA Charter'!AO21</f>
        <v>0</v>
      </c>
      <c r="AD20" s="355">
        <f>'Table 5C2 - LA Virtual Admy'!AP19</f>
        <v>0</v>
      </c>
      <c r="AE20" s="355">
        <f>'Table 5C3 - LA Connections EBR'!AP19</f>
        <v>0</v>
      </c>
      <c r="AF20" s="740">
        <f t="shared" si="26"/>
        <v>1819085</v>
      </c>
      <c r="AG20" s="47"/>
      <c r="AM20"/>
      <c r="AV20"/>
    </row>
    <row r="21" spans="1:48">
      <c r="A21" s="101">
        <v>16</v>
      </c>
      <c r="B21" s="299" t="s">
        <v>117</v>
      </c>
      <c r="C21" s="309">
        <f>'Table 2_State with Midyear Adjs'!AQ22</f>
        <v>961023</v>
      </c>
      <c r="D21" s="354"/>
      <c r="E21" s="354"/>
      <c r="F21" s="354">
        <f>-'Table 5C1A-Madison Prep'!AH22</f>
        <v>0</v>
      </c>
      <c r="G21" s="354">
        <f>-'Table 5C1B-DArbonne'!AH22</f>
        <v>0</v>
      </c>
      <c r="H21" s="354">
        <f>-'Table 5C1C-Intl_VIBE'!AH22</f>
        <v>0</v>
      </c>
      <c r="I21" s="354">
        <f>-'Table 5C1D-NOMMA'!AH22</f>
        <v>0</v>
      </c>
      <c r="J21" s="354"/>
      <c r="K21" s="354">
        <f>-'Table 5C1E-LFNO'!AJ22</f>
        <v>0</v>
      </c>
      <c r="L21" s="354">
        <f>-'Table 5C1F-Lake Charles Charter'!AH22</f>
        <v>0</v>
      </c>
      <c r="M21" s="354">
        <f>-'Table 5C1G-JS Clark Academy'!AH22</f>
        <v>0</v>
      </c>
      <c r="N21" s="354">
        <f>-'Table 5C1H-Southwest LA Charter'!AH22</f>
        <v>0</v>
      </c>
      <c r="O21" s="354">
        <f>-'Table 5C2 - LA Virtual Admy'!AI20</f>
        <v>-5457</v>
      </c>
      <c r="P21" s="354">
        <f>-'Table 5C3 - LA Connections EBR'!AI20</f>
        <v>-17941</v>
      </c>
      <c r="Q21" s="354">
        <f>-'Table 5E_OJJ'!AG22</f>
        <v>-1106</v>
      </c>
      <c r="R21" s="739">
        <f t="shared" si="25"/>
        <v>936519</v>
      </c>
      <c r="S21" s="354"/>
      <c r="T21" s="354"/>
      <c r="U21" s="354"/>
      <c r="V21" s="354">
        <f>'Table 5C1A-Madison Prep'!AO22</f>
        <v>0</v>
      </c>
      <c r="W21" s="354">
        <f>'Table 5C1B-DArbonne'!AO22</f>
        <v>0</v>
      </c>
      <c r="X21" s="354">
        <f>'Table 5C1C-Intl_VIBE'!AO22</f>
        <v>0</v>
      </c>
      <c r="Y21" s="354">
        <f>'Table 5C1D-NOMMA'!AO22</f>
        <v>0</v>
      </c>
      <c r="Z21" s="354">
        <f>'Table 5C1E-LFNO'!AQ22</f>
        <v>0</v>
      </c>
      <c r="AA21" s="354">
        <f>'Table 5C1F-Lake Charles Charter'!AO22</f>
        <v>0</v>
      </c>
      <c r="AB21" s="354">
        <f>'Table 5C1G-JS Clark Academy'!AO22</f>
        <v>0</v>
      </c>
      <c r="AC21" s="354">
        <f>'Table 5C1H-Southwest LA Charter'!AO22</f>
        <v>0</v>
      </c>
      <c r="AD21" s="354">
        <f>'Table 5C2 - LA Virtual Admy'!AP20</f>
        <v>-1</v>
      </c>
      <c r="AE21" s="354">
        <f>'Table 5C3 - LA Connections EBR'!AP20</f>
        <v>0</v>
      </c>
      <c r="AF21" s="739">
        <f t="shared" si="26"/>
        <v>936518</v>
      </c>
      <c r="AG21" s="47"/>
      <c r="AM21"/>
      <c r="AV21"/>
    </row>
    <row r="22" spans="1:48">
      <c r="A22" s="101">
        <v>17</v>
      </c>
      <c r="B22" s="299" t="s">
        <v>118</v>
      </c>
      <c r="C22" s="309">
        <f>'Table 2_State with Midyear Adjs'!AQ23</f>
        <v>15559762</v>
      </c>
      <c r="D22" s="354">
        <f>-'Table 5B2_RSD_LA'!AL18</f>
        <v>-837029.08000000007</v>
      </c>
      <c r="E22" s="354"/>
      <c r="F22" s="354">
        <f>-'Table 5C1A-Madison Prep'!AH23</f>
        <v>-118318.354375</v>
      </c>
      <c r="G22" s="354">
        <f>-'Table 5C1B-DArbonne'!AH23</f>
        <v>0</v>
      </c>
      <c r="H22" s="354">
        <f>-'Table 5C1C-Intl_VIBE'!AH23</f>
        <v>0</v>
      </c>
      <c r="I22" s="354">
        <f>-'Table 5C1D-NOMMA'!AH23</f>
        <v>0</v>
      </c>
      <c r="J22" s="354"/>
      <c r="K22" s="354">
        <f>-'Table 5C1E-LFNO'!AJ23</f>
        <v>0</v>
      </c>
      <c r="L22" s="354">
        <f>-'Table 5C1F-Lake Charles Charter'!AH23</f>
        <v>0</v>
      </c>
      <c r="M22" s="354">
        <f>-'Table 5C1G-JS Clark Academy'!AH23</f>
        <v>0</v>
      </c>
      <c r="N22" s="354">
        <f>-'Table 5C1H-Southwest LA Charter'!AH23</f>
        <v>0</v>
      </c>
      <c r="O22" s="354">
        <f>-'Table 5C2 - LA Virtual Admy'!AI21</f>
        <v>-29040</v>
      </c>
      <c r="P22" s="354">
        <f>-'Table 5C3 - LA Connections EBR'!AI21</f>
        <v>-95486</v>
      </c>
      <c r="Q22" s="354">
        <f>-'Table 5E_OJJ'!AG23</f>
        <v>-14737</v>
      </c>
      <c r="R22" s="739">
        <f t="shared" si="25"/>
        <v>14465151.565625001</v>
      </c>
      <c r="S22" s="354">
        <f>-'Table 5B2_RSD_LA'!Y53</f>
        <v>-445.375</v>
      </c>
      <c r="T22" s="354">
        <f>-'Table 5B2_RSD_LA'!Z53</f>
        <v>-63.625</v>
      </c>
      <c r="U22" s="354"/>
      <c r="V22" s="354">
        <f>'Table 5C1A-Madison Prep'!AO23</f>
        <v>-27.0625</v>
      </c>
      <c r="W22" s="354">
        <f>'Table 5C1B-DArbonne'!AO23</f>
        <v>0</v>
      </c>
      <c r="X22" s="354">
        <f>'Table 5C1C-Intl_VIBE'!AO23</f>
        <v>0</v>
      </c>
      <c r="Y22" s="354">
        <f>'Table 5C1D-NOMMA'!AO23</f>
        <v>0</v>
      </c>
      <c r="Z22" s="354">
        <f>'Table 5C1E-LFNO'!AQ23</f>
        <v>0</v>
      </c>
      <c r="AA22" s="354">
        <f>'Table 5C1F-Lake Charles Charter'!AO23</f>
        <v>0</v>
      </c>
      <c r="AB22" s="354">
        <f>'Table 5C1G-JS Clark Academy'!AO23</f>
        <v>0</v>
      </c>
      <c r="AC22" s="354">
        <f>'Table 5C1H-Southwest LA Charter'!AO23</f>
        <v>0</v>
      </c>
      <c r="AD22" s="354">
        <f>'Table 5C2 - LA Virtual Admy'!AP21</f>
        <v>-9</v>
      </c>
      <c r="AE22" s="354">
        <f>'Table 5C3 - LA Connections EBR'!AP21</f>
        <v>-10</v>
      </c>
      <c r="AF22" s="739">
        <f t="shared" si="26"/>
        <v>14464596.503125001</v>
      </c>
      <c r="AG22" s="47"/>
      <c r="AM22"/>
      <c r="AV22"/>
    </row>
    <row r="23" spans="1:48">
      <c r="A23" s="101">
        <v>18</v>
      </c>
      <c r="B23" s="299" t="s">
        <v>119</v>
      </c>
      <c r="C23" s="309">
        <f>'Table 2_State with Midyear Adjs'!AQ24</f>
        <v>593780</v>
      </c>
      <c r="D23" s="354"/>
      <c r="E23" s="354"/>
      <c r="F23" s="354">
        <f>-'Table 5C1A-Madison Prep'!AH24</f>
        <v>0</v>
      </c>
      <c r="G23" s="354">
        <f>-'Table 5C1B-DArbonne'!AH24</f>
        <v>0</v>
      </c>
      <c r="H23" s="354">
        <f>-'Table 5C1C-Intl_VIBE'!AH24</f>
        <v>0</v>
      </c>
      <c r="I23" s="354">
        <f>-'Table 5C1D-NOMMA'!AH24</f>
        <v>0</v>
      </c>
      <c r="J23" s="354"/>
      <c r="K23" s="354">
        <f>-'Table 5C1E-LFNO'!AJ24</f>
        <v>0</v>
      </c>
      <c r="L23" s="354">
        <f>-'Table 5C1F-Lake Charles Charter'!AH24</f>
        <v>0</v>
      </c>
      <c r="M23" s="354">
        <f>-'Table 5C1G-JS Clark Academy'!AH24</f>
        <v>0</v>
      </c>
      <c r="N23" s="354">
        <f>-'Table 5C1H-Southwest LA Charter'!AH24</f>
        <v>0</v>
      </c>
      <c r="O23" s="354">
        <f>-'Table 5C2 - LA Virtual Admy'!AI22</f>
        <v>-146</v>
      </c>
      <c r="P23" s="354">
        <f>-'Table 5C3 - LA Connections EBR'!AI22</f>
        <v>0</v>
      </c>
      <c r="Q23" s="354">
        <f>-'Table 5E_OJJ'!AG24</f>
        <v>-259</v>
      </c>
      <c r="R23" s="739">
        <f t="shared" si="25"/>
        <v>593375</v>
      </c>
      <c r="S23" s="354"/>
      <c r="T23" s="354"/>
      <c r="U23" s="354"/>
      <c r="V23" s="354">
        <f>'Table 5C1A-Madison Prep'!AO24</f>
        <v>0</v>
      </c>
      <c r="W23" s="354">
        <f>'Table 5C1B-DArbonne'!AO24</f>
        <v>0</v>
      </c>
      <c r="X23" s="354">
        <f>'Table 5C1C-Intl_VIBE'!AO24</f>
        <v>0</v>
      </c>
      <c r="Y23" s="354">
        <f>'Table 5C1D-NOMMA'!AO24</f>
        <v>0</v>
      </c>
      <c r="Z23" s="354">
        <f>'Table 5C1E-LFNO'!AQ24</f>
        <v>0</v>
      </c>
      <c r="AA23" s="354">
        <f>'Table 5C1F-Lake Charles Charter'!AO24</f>
        <v>0</v>
      </c>
      <c r="AB23" s="354">
        <f>'Table 5C1G-JS Clark Academy'!AO24</f>
        <v>0</v>
      </c>
      <c r="AC23" s="354">
        <f>'Table 5C1H-Southwest LA Charter'!AO24</f>
        <v>0</v>
      </c>
      <c r="AD23" s="354">
        <f>'Table 5C2 - LA Virtual Admy'!AP22</f>
        <v>0</v>
      </c>
      <c r="AE23" s="354">
        <f>'Table 5C3 - LA Connections EBR'!AP22</f>
        <v>0</v>
      </c>
      <c r="AF23" s="739">
        <f t="shared" si="26"/>
        <v>593375</v>
      </c>
      <c r="AG23" s="47"/>
      <c r="AM23"/>
      <c r="AV23"/>
    </row>
    <row r="24" spans="1:48">
      <c r="A24" s="101">
        <v>19</v>
      </c>
      <c r="B24" s="299" t="s">
        <v>120</v>
      </c>
      <c r="C24" s="309">
        <f>'Table 2_State with Midyear Adjs'!AQ25</f>
        <v>943071</v>
      </c>
      <c r="D24" s="354"/>
      <c r="E24" s="354"/>
      <c r="F24" s="354">
        <f>-'Table 5C1A-Madison Prep'!AH25</f>
        <v>360</v>
      </c>
      <c r="G24" s="354">
        <f>-'Table 5C1B-DArbonne'!AH25</f>
        <v>0</v>
      </c>
      <c r="H24" s="354">
        <f>-'Table 5C1C-Intl_VIBE'!AH25</f>
        <v>0</v>
      </c>
      <c r="I24" s="354">
        <f>-'Table 5C1D-NOMMA'!AH25</f>
        <v>0</v>
      </c>
      <c r="J24" s="354"/>
      <c r="K24" s="354">
        <f>-'Table 5C1E-LFNO'!AJ25</f>
        <v>0</v>
      </c>
      <c r="L24" s="354">
        <f>-'Table 5C1F-Lake Charles Charter'!AH25</f>
        <v>0</v>
      </c>
      <c r="M24" s="354">
        <f>-'Table 5C1G-JS Clark Academy'!AH25</f>
        <v>0</v>
      </c>
      <c r="N24" s="354">
        <f>-'Table 5C1H-Southwest LA Charter'!AH25</f>
        <v>0</v>
      </c>
      <c r="O24" s="354">
        <f>-'Table 5C2 - LA Virtual Admy'!AI23</f>
        <v>-1133</v>
      </c>
      <c r="P24" s="354">
        <f>-'Table 5C3 - LA Connections EBR'!AI23</f>
        <v>-1814</v>
      </c>
      <c r="Q24" s="354">
        <f>-'Table 5E_OJJ'!AG25</f>
        <v>-63</v>
      </c>
      <c r="R24" s="739">
        <f t="shared" si="25"/>
        <v>940421</v>
      </c>
      <c r="S24" s="354"/>
      <c r="T24" s="354"/>
      <c r="U24" s="354"/>
      <c r="V24" s="354">
        <f>'Table 5C1A-Madison Prep'!AO25</f>
        <v>0</v>
      </c>
      <c r="W24" s="354">
        <f>'Table 5C1B-DArbonne'!AO25</f>
        <v>0</v>
      </c>
      <c r="X24" s="354">
        <f>'Table 5C1C-Intl_VIBE'!AO25</f>
        <v>0</v>
      </c>
      <c r="Y24" s="354">
        <f>'Table 5C1D-NOMMA'!AO25</f>
        <v>0</v>
      </c>
      <c r="Z24" s="354">
        <f>'Table 5C1E-LFNO'!AQ25</f>
        <v>0</v>
      </c>
      <c r="AA24" s="354">
        <f>'Table 5C1F-Lake Charles Charter'!AO25</f>
        <v>0</v>
      </c>
      <c r="AB24" s="354">
        <f>'Table 5C1G-JS Clark Academy'!AO25</f>
        <v>0</v>
      </c>
      <c r="AC24" s="354">
        <f>'Table 5C1H-Southwest LA Charter'!AO25</f>
        <v>0</v>
      </c>
      <c r="AD24" s="354">
        <f>'Table 5C2 - LA Virtual Admy'!AP23</f>
        <v>0</v>
      </c>
      <c r="AE24" s="354">
        <f>'Table 5C3 - LA Connections EBR'!AP23</f>
        <v>-1</v>
      </c>
      <c r="AF24" s="739">
        <f t="shared" si="26"/>
        <v>940420</v>
      </c>
      <c r="AG24" s="47"/>
      <c r="AM24"/>
      <c r="AV24"/>
    </row>
    <row r="25" spans="1:48">
      <c r="A25" s="102">
        <v>20</v>
      </c>
      <c r="B25" s="300" t="s">
        <v>121</v>
      </c>
      <c r="C25" s="318">
        <f>'Table 2_State with Midyear Adjs'!AQ26</f>
        <v>3071729</v>
      </c>
      <c r="D25" s="355"/>
      <c r="E25" s="355"/>
      <c r="F25" s="355">
        <f>-'Table 5C1A-Madison Prep'!AH26</f>
        <v>0</v>
      </c>
      <c r="G25" s="355">
        <f>-'Table 5C1B-DArbonne'!AH26</f>
        <v>0</v>
      </c>
      <c r="H25" s="355">
        <f>-'Table 5C1C-Intl_VIBE'!AH26</f>
        <v>0</v>
      </c>
      <c r="I25" s="355">
        <f>-'Table 5C1D-NOMMA'!AH26</f>
        <v>0</v>
      </c>
      <c r="J25" s="355"/>
      <c r="K25" s="355">
        <f>-'Table 5C1E-LFNO'!AJ26</f>
        <v>0</v>
      </c>
      <c r="L25" s="355">
        <f>-'Table 5C1F-Lake Charles Charter'!AH26</f>
        <v>0</v>
      </c>
      <c r="M25" s="355">
        <f>-'Table 5C1G-JS Clark Academy'!AH26</f>
        <v>0</v>
      </c>
      <c r="N25" s="355">
        <f>-'Table 5C1H-Southwest LA Charter'!AH26</f>
        <v>0</v>
      </c>
      <c r="O25" s="355">
        <f>-'Table 5C2 - LA Virtual Admy'!AI24</f>
        <v>-1155</v>
      </c>
      <c r="P25" s="355">
        <f>-'Table 5C3 - LA Connections EBR'!AI24</f>
        <v>-3330</v>
      </c>
      <c r="Q25" s="355">
        <f>-'Table 5E_OJJ'!AG26</f>
        <v>-909</v>
      </c>
      <c r="R25" s="740">
        <f t="shared" si="25"/>
        <v>3066335</v>
      </c>
      <c r="S25" s="355"/>
      <c r="T25" s="355"/>
      <c r="U25" s="355"/>
      <c r="V25" s="355">
        <f>'Table 5C1A-Madison Prep'!AO26</f>
        <v>0</v>
      </c>
      <c r="W25" s="355">
        <f>'Table 5C1B-DArbonne'!AO26</f>
        <v>0</v>
      </c>
      <c r="X25" s="355">
        <f>'Table 5C1C-Intl_VIBE'!AO26</f>
        <v>0</v>
      </c>
      <c r="Y25" s="355">
        <f>'Table 5C1D-NOMMA'!AO26</f>
        <v>0</v>
      </c>
      <c r="Z25" s="355">
        <f>'Table 5C1E-LFNO'!AQ26</f>
        <v>0</v>
      </c>
      <c r="AA25" s="355">
        <f>'Table 5C1F-Lake Charles Charter'!AO26</f>
        <v>0</v>
      </c>
      <c r="AB25" s="355">
        <f>'Table 5C1G-JS Clark Academy'!AO26</f>
        <v>0</v>
      </c>
      <c r="AC25" s="355">
        <f>'Table 5C1H-Southwest LA Charter'!AO26</f>
        <v>0</v>
      </c>
      <c r="AD25" s="355">
        <f>'Table 5C2 - LA Virtual Admy'!AP24</f>
        <v>0</v>
      </c>
      <c r="AE25" s="355">
        <f>'Table 5C3 - LA Connections EBR'!AP24</f>
        <v>0</v>
      </c>
      <c r="AF25" s="740">
        <f t="shared" si="26"/>
        <v>3066335</v>
      </c>
      <c r="AG25" s="47"/>
      <c r="AM25"/>
      <c r="AV25"/>
    </row>
    <row r="26" spans="1:48">
      <c r="A26" s="101">
        <v>21</v>
      </c>
      <c r="B26" s="299" t="s">
        <v>122</v>
      </c>
      <c r="C26" s="309">
        <f>'Table 2_State with Midyear Adjs'!AQ27</f>
        <v>1774841</v>
      </c>
      <c r="D26" s="354"/>
      <c r="E26" s="354"/>
      <c r="F26" s="354">
        <f>-'Table 5C1A-Madison Prep'!AH27</f>
        <v>0</v>
      </c>
      <c r="G26" s="354">
        <f>-'Table 5C1B-DArbonne'!AH27</f>
        <v>0</v>
      </c>
      <c r="H26" s="354">
        <f>-'Table 5C1C-Intl_VIBE'!AH27</f>
        <v>0</v>
      </c>
      <c r="I26" s="354">
        <f>-'Table 5C1D-NOMMA'!AH27</f>
        <v>0</v>
      </c>
      <c r="J26" s="354"/>
      <c r="K26" s="354">
        <f>-'Table 5C1E-LFNO'!AJ27</f>
        <v>0</v>
      </c>
      <c r="L26" s="354">
        <f>-'Table 5C1F-Lake Charles Charter'!AH27</f>
        <v>0</v>
      </c>
      <c r="M26" s="354">
        <f>-'Table 5C1G-JS Clark Academy'!AH27</f>
        <v>0</v>
      </c>
      <c r="N26" s="354">
        <f>-'Table 5C1H-Southwest LA Charter'!AH27</f>
        <v>0</v>
      </c>
      <c r="O26" s="354">
        <f>-'Table 5C2 - LA Virtual Admy'!AI25</f>
        <v>-613</v>
      </c>
      <c r="P26" s="354">
        <f>-'Table 5C3 - LA Connections EBR'!AI25</f>
        <v>-2257</v>
      </c>
      <c r="Q26" s="354">
        <f>-'Table 5E_OJJ'!AG27</f>
        <v>-804</v>
      </c>
      <c r="R26" s="739">
        <f t="shared" si="25"/>
        <v>1771167</v>
      </c>
      <c r="S26" s="354"/>
      <c r="T26" s="354"/>
      <c r="U26" s="354"/>
      <c r="V26" s="354">
        <f>'Table 5C1A-Madison Prep'!AO27</f>
        <v>0</v>
      </c>
      <c r="W26" s="354">
        <f>'Table 5C1B-DArbonne'!AO27</f>
        <v>0</v>
      </c>
      <c r="X26" s="354">
        <f>'Table 5C1C-Intl_VIBE'!AO27</f>
        <v>0</v>
      </c>
      <c r="Y26" s="354">
        <f>'Table 5C1D-NOMMA'!AO27</f>
        <v>0</v>
      </c>
      <c r="Z26" s="354">
        <f>'Table 5C1E-LFNO'!AQ27</f>
        <v>0</v>
      </c>
      <c r="AA26" s="354">
        <f>'Table 5C1F-Lake Charles Charter'!AO27</f>
        <v>0</v>
      </c>
      <c r="AB26" s="354">
        <f>'Table 5C1G-JS Clark Academy'!AO27</f>
        <v>0</v>
      </c>
      <c r="AC26" s="354">
        <f>'Table 5C1H-Southwest LA Charter'!AO27</f>
        <v>0</v>
      </c>
      <c r="AD26" s="354">
        <f>'Table 5C2 - LA Virtual Admy'!AP25</f>
        <v>0</v>
      </c>
      <c r="AE26" s="354">
        <f>'Table 5C3 - LA Connections EBR'!AP25</f>
        <v>-2</v>
      </c>
      <c r="AF26" s="739">
        <f t="shared" si="26"/>
        <v>1771165</v>
      </c>
      <c r="AG26" s="47"/>
      <c r="AM26"/>
      <c r="AV26"/>
    </row>
    <row r="27" spans="1:48">
      <c r="A27" s="101">
        <v>22</v>
      </c>
      <c r="B27" s="299" t="s">
        <v>123</v>
      </c>
      <c r="C27" s="309">
        <f>'Table 2_State with Midyear Adjs'!AQ28</f>
        <v>1779176</v>
      </c>
      <c r="D27" s="354"/>
      <c r="E27" s="354"/>
      <c r="F27" s="354">
        <f>-'Table 5C1A-Madison Prep'!AH28</f>
        <v>0</v>
      </c>
      <c r="G27" s="354">
        <f>-'Table 5C1B-DArbonne'!AH28</f>
        <v>0</v>
      </c>
      <c r="H27" s="354">
        <f>-'Table 5C1C-Intl_VIBE'!AH28</f>
        <v>0</v>
      </c>
      <c r="I27" s="354">
        <f>-'Table 5C1D-NOMMA'!AH28</f>
        <v>0</v>
      </c>
      <c r="J27" s="354"/>
      <c r="K27" s="354">
        <f>-'Table 5C1E-LFNO'!AJ28</f>
        <v>0</v>
      </c>
      <c r="L27" s="354">
        <f>-'Table 5C1F-Lake Charles Charter'!AH28</f>
        <v>0</v>
      </c>
      <c r="M27" s="354">
        <f>-'Table 5C1G-JS Clark Academy'!AH28</f>
        <v>0</v>
      </c>
      <c r="N27" s="354">
        <f>-'Table 5C1H-Southwest LA Charter'!AH28</f>
        <v>0</v>
      </c>
      <c r="O27" s="354">
        <f>-'Table 5C2 - LA Virtual Admy'!AI26</f>
        <v>-135</v>
      </c>
      <c r="P27" s="354">
        <f>-'Table 5C3 - LA Connections EBR'!AI26</f>
        <v>-492</v>
      </c>
      <c r="Q27" s="354">
        <f>-'Table 5E_OJJ'!AG28</f>
        <v>-29</v>
      </c>
      <c r="R27" s="739">
        <f t="shared" si="25"/>
        <v>1778520</v>
      </c>
      <c r="S27" s="354"/>
      <c r="T27" s="354"/>
      <c r="U27" s="354"/>
      <c r="V27" s="354">
        <f>'Table 5C1A-Madison Prep'!AO28</f>
        <v>0</v>
      </c>
      <c r="W27" s="354">
        <f>'Table 5C1B-DArbonne'!AO28</f>
        <v>0</v>
      </c>
      <c r="X27" s="354">
        <f>'Table 5C1C-Intl_VIBE'!AO28</f>
        <v>0</v>
      </c>
      <c r="Y27" s="354">
        <f>'Table 5C1D-NOMMA'!AO28</f>
        <v>0</v>
      </c>
      <c r="Z27" s="354">
        <f>'Table 5C1E-LFNO'!AQ28</f>
        <v>0</v>
      </c>
      <c r="AA27" s="354">
        <f>'Table 5C1F-Lake Charles Charter'!AO28</f>
        <v>0</v>
      </c>
      <c r="AB27" s="354">
        <f>'Table 5C1G-JS Clark Academy'!AO28</f>
        <v>0</v>
      </c>
      <c r="AC27" s="354">
        <f>'Table 5C1H-Southwest LA Charter'!AO28</f>
        <v>0</v>
      </c>
      <c r="AD27" s="354">
        <f>'Table 5C2 - LA Virtual Admy'!AP26</f>
        <v>0</v>
      </c>
      <c r="AE27" s="354">
        <f>'Table 5C3 - LA Connections EBR'!AP26</f>
        <v>0</v>
      </c>
      <c r="AF27" s="739">
        <f t="shared" si="26"/>
        <v>1778520</v>
      </c>
      <c r="AG27" s="47"/>
      <c r="AM27"/>
      <c r="AV27"/>
    </row>
    <row r="28" spans="1:48">
      <c r="A28" s="101">
        <v>23</v>
      </c>
      <c r="B28" s="299" t="s">
        <v>124</v>
      </c>
      <c r="C28" s="309">
        <f>'Table 2_State with Midyear Adjs'!AQ29</f>
        <v>6508126</v>
      </c>
      <c r="D28" s="354"/>
      <c r="E28" s="354"/>
      <c r="F28" s="354">
        <f>-'Table 5C1A-Madison Prep'!AH29</f>
        <v>0</v>
      </c>
      <c r="G28" s="354">
        <f>-'Table 5C1B-DArbonne'!AH29</f>
        <v>0</v>
      </c>
      <c r="H28" s="354">
        <f>-'Table 5C1C-Intl_VIBE'!AH29</f>
        <v>0</v>
      </c>
      <c r="I28" s="354">
        <f>-'Table 5C1D-NOMMA'!AH29</f>
        <v>0</v>
      </c>
      <c r="J28" s="354"/>
      <c r="K28" s="354">
        <f>-'Table 5C1E-LFNO'!AJ29</f>
        <v>0</v>
      </c>
      <c r="L28" s="354">
        <f>-'Table 5C1F-Lake Charles Charter'!AH29</f>
        <v>0</v>
      </c>
      <c r="M28" s="354">
        <f>-'Table 5C1G-JS Clark Academy'!AH29</f>
        <v>0</v>
      </c>
      <c r="N28" s="354">
        <f>-'Table 5C1H-Southwest LA Charter'!AH29</f>
        <v>0</v>
      </c>
      <c r="O28" s="354">
        <f>-'Table 5C2 - LA Virtual Admy'!AI27</f>
        <v>-2323</v>
      </c>
      <c r="P28" s="354">
        <f>-'Table 5C3 - LA Connections EBR'!AI27</f>
        <v>-12712</v>
      </c>
      <c r="Q28" s="354">
        <f>-'Table 5E_OJJ'!AG29</f>
        <v>-1643</v>
      </c>
      <c r="R28" s="739">
        <f t="shared" si="25"/>
        <v>6491448</v>
      </c>
      <c r="S28" s="354"/>
      <c r="T28" s="354"/>
      <c r="U28" s="354"/>
      <c r="V28" s="354">
        <f>'Table 5C1A-Madison Prep'!AO29</f>
        <v>0</v>
      </c>
      <c r="W28" s="354">
        <f>'Table 5C1B-DArbonne'!AO29</f>
        <v>0</v>
      </c>
      <c r="X28" s="354">
        <f>'Table 5C1C-Intl_VIBE'!AO29</f>
        <v>0</v>
      </c>
      <c r="Y28" s="354">
        <f>'Table 5C1D-NOMMA'!AO29</f>
        <v>0</v>
      </c>
      <c r="Z28" s="354">
        <f>'Table 5C1E-LFNO'!AQ29</f>
        <v>0</v>
      </c>
      <c r="AA28" s="354">
        <f>'Table 5C1F-Lake Charles Charter'!AO29</f>
        <v>0</v>
      </c>
      <c r="AB28" s="354">
        <f>'Table 5C1G-JS Clark Academy'!AO29</f>
        <v>0</v>
      </c>
      <c r="AC28" s="354">
        <f>'Table 5C1H-Southwest LA Charter'!AO29</f>
        <v>0</v>
      </c>
      <c r="AD28" s="354">
        <f>'Table 5C2 - LA Virtual Admy'!AP27</f>
        <v>0</v>
      </c>
      <c r="AE28" s="354">
        <f>'Table 5C3 - LA Connections EBR'!AP27</f>
        <v>-1</v>
      </c>
      <c r="AF28" s="739">
        <f t="shared" si="26"/>
        <v>6491447</v>
      </c>
      <c r="AG28" s="47"/>
      <c r="AM28"/>
      <c r="AV28"/>
    </row>
    <row r="29" spans="1:48">
      <c r="A29" s="101">
        <v>24</v>
      </c>
      <c r="B29" s="299" t="s">
        <v>125</v>
      </c>
      <c r="C29" s="309">
        <f>'Table 2_State with Midyear Adjs'!AQ30</f>
        <v>1412582</v>
      </c>
      <c r="D29" s="354"/>
      <c r="E29" s="354"/>
      <c r="F29" s="354">
        <f>-'Table 5C1A-Madison Prep'!AH30</f>
        <v>78.5</v>
      </c>
      <c r="G29" s="354">
        <f>-'Table 5C1B-DArbonne'!AH30</f>
        <v>0</v>
      </c>
      <c r="H29" s="354">
        <f>-'Table 5C1C-Intl_VIBE'!AH30</f>
        <v>0</v>
      </c>
      <c r="I29" s="354">
        <f>-'Table 5C1D-NOMMA'!AH30</f>
        <v>0</v>
      </c>
      <c r="J29" s="354"/>
      <c r="K29" s="354">
        <f>-'Table 5C1E-LFNO'!AJ30</f>
        <v>0</v>
      </c>
      <c r="L29" s="354">
        <f>-'Table 5C1F-Lake Charles Charter'!AH30</f>
        <v>0</v>
      </c>
      <c r="M29" s="354">
        <f>-'Table 5C1G-JS Clark Academy'!AH30</f>
        <v>0</v>
      </c>
      <c r="N29" s="354">
        <f>-'Table 5C1H-Southwest LA Charter'!AH30</f>
        <v>0</v>
      </c>
      <c r="O29" s="354">
        <f>-'Table 5C2 - LA Virtual Admy'!AI28</f>
        <v>-7293</v>
      </c>
      <c r="P29" s="354">
        <f>-'Table 5C3 - LA Connections EBR'!AI28</f>
        <v>-3930</v>
      </c>
      <c r="Q29" s="354">
        <f>-'Table 5E_OJJ'!AG30</f>
        <v>-821</v>
      </c>
      <c r="R29" s="739">
        <f t="shared" si="25"/>
        <v>1400616.5</v>
      </c>
      <c r="S29" s="354"/>
      <c r="T29" s="354"/>
      <c r="U29" s="354"/>
      <c r="V29" s="354">
        <f>'Table 5C1A-Madison Prep'!AO30</f>
        <v>0</v>
      </c>
      <c r="W29" s="354">
        <f>'Table 5C1B-DArbonne'!AO30</f>
        <v>0</v>
      </c>
      <c r="X29" s="354">
        <f>'Table 5C1C-Intl_VIBE'!AO30</f>
        <v>0</v>
      </c>
      <c r="Y29" s="354">
        <f>'Table 5C1D-NOMMA'!AO30</f>
        <v>0</v>
      </c>
      <c r="Z29" s="354">
        <f>'Table 5C1E-LFNO'!AQ30</f>
        <v>0</v>
      </c>
      <c r="AA29" s="354">
        <f>'Table 5C1F-Lake Charles Charter'!AO30</f>
        <v>0</v>
      </c>
      <c r="AB29" s="354">
        <f>'Table 5C1G-JS Clark Academy'!AO30</f>
        <v>0</v>
      </c>
      <c r="AC29" s="354">
        <f>'Table 5C1H-Southwest LA Charter'!AO30</f>
        <v>0</v>
      </c>
      <c r="AD29" s="354">
        <f>'Table 5C2 - LA Virtual Admy'!AP28</f>
        <v>-1</v>
      </c>
      <c r="AE29" s="354">
        <f>'Table 5C3 - LA Connections EBR'!AP28</f>
        <v>0</v>
      </c>
      <c r="AF29" s="739">
        <f t="shared" si="26"/>
        <v>1400615.5</v>
      </c>
      <c r="AG29" s="47"/>
      <c r="AM29"/>
      <c r="AV29"/>
    </row>
    <row r="30" spans="1:48">
      <c r="A30" s="102">
        <v>25</v>
      </c>
      <c r="B30" s="300" t="s">
        <v>126</v>
      </c>
      <c r="C30" s="318">
        <f>'Table 2_State with Midyear Adjs'!AQ31</f>
        <v>856119</v>
      </c>
      <c r="D30" s="355"/>
      <c r="E30" s="355"/>
      <c r="F30" s="355">
        <f>-'Table 5C1A-Madison Prep'!AH31</f>
        <v>0</v>
      </c>
      <c r="G30" s="355">
        <f>-'Table 5C1B-DArbonne'!AH31</f>
        <v>0</v>
      </c>
      <c r="H30" s="355">
        <f>-'Table 5C1C-Intl_VIBE'!AH31</f>
        <v>0</v>
      </c>
      <c r="I30" s="355">
        <f>-'Table 5C1D-NOMMA'!AH31</f>
        <v>0</v>
      </c>
      <c r="J30" s="355"/>
      <c r="K30" s="355">
        <f>-'Table 5C1E-LFNO'!AJ31</f>
        <v>0</v>
      </c>
      <c r="L30" s="355">
        <f>-'Table 5C1F-Lake Charles Charter'!AH31</f>
        <v>0</v>
      </c>
      <c r="M30" s="355">
        <f>-'Table 5C1G-JS Clark Academy'!AH31</f>
        <v>0</v>
      </c>
      <c r="N30" s="355">
        <f>-'Table 5C1H-Southwest LA Charter'!AH31</f>
        <v>0</v>
      </c>
      <c r="O30" s="355">
        <f>-'Table 5C2 - LA Virtual Admy'!AI29</f>
        <v>-1703</v>
      </c>
      <c r="P30" s="355">
        <f>-'Table 5C3 - LA Connections EBR'!AI29</f>
        <v>-4822</v>
      </c>
      <c r="Q30" s="355">
        <f>-'Table 5E_OJJ'!AG31</f>
        <v>-141</v>
      </c>
      <c r="R30" s="740">
        <f t="shared" si="25"/>
        <v>849453</v>
      </c>
      <c r="S30" s="355"/>
      <c r="T30" s="355"/>
      <c r="U30" s="355"/>
      <c r="V30" s="355">
        <f>'Table 5C1A-Madison Prep'!AO31</f>
        <v>0</v>
      </c>
      <c r="W30" s="355">
        <f>'Table 5C1B-DArbonne'!AO31</f>
        <v>0</v>
      </c>
      <c r="X30" s="355">
        <f>'Table 5C1C-Intl_VIBE'!AO31</f>
        <v>0</v>
      </c>
      <c r="Y30" s="355">
        <f>'Table 5C1D-NOMMA'!AO31</f>
        <v>0</v>
      </c>
      <c r="Z30" s="355">
        <f>'Table 5C1E-LFNO'!AQ31</f>
        <v>0</v>
      </c>
      <c r="AA30" s="355">
        <f>'Table 5C1F-Lake Charles Charter'!AO31</f>
        <v>0</v>
      </c>
      <c r="AB30" s="355">
        <f>'Table 5C1G-JS Clark Academy'!AO31</f>
        <v>0</v>
      </c>
      <c r="AC30" s="355">
        <f>'Table 5C1H-Southwest LA Charter'!AO31</f>
        <v>0</v>
      </c>
      <c r="AD30" s="355">
        <f>'Table 5C2 - LA Virtual Admy'!AP29</f>
        <v>0</v>
      </c>
      <c r="AE30" s="355">
        <f>'Table 5C3 - LA Connections EBR'!AP29</f>
        <v>0</v>
      </c>
      <c r="AF30" s="740">
        <f t="shared" si="26"/>
        <v>849453</v>
      </c>
      <c r="AG30" s="47"/>
      <c r="AM30"/>
      <c r="AV30"/>
    </row>
    <row r="31" spans="1:48">
      <c r="A31" s="101">
        <v>26</v>
      </c>
      <c r="B31" s="299" t="s">
        <v>127</v>
      </c>
      <c r="C31" s="309">
        <f>'Table 2_State with Midyear Adjs'!AQ32</f>
        <v>16097002</v>
      </c>
      <c r="D31" s="354"/>
      <c r="E31" s="354"/>
      <c r="F31" s="354">
        <f>-'Table 5C1A-Madison Prep'!AH32</f>
        <v>0</v>
      </c>
      <c r="G31" s="354">
        <f>-'Table 5C1B-DArbonne'!AH32</f>
        <v>0</v>
      </c>
      <c r="H31" s="354">
        <f>-'Table 5C1C-Intl_VIBE'!AH32</f>
        <v>-18619.942500000005</v>
      </c>
      <c r="I31" s="354">
        <f>-'Table 5C1D-NOMMA'!AH32</f>
        <v>-58792.729999999981</v>
      </c>
      <c r="J31" s="354"/>
      <c r="K31" s="354">
        <f>-'Table 5C1E-LFNO'!AJ32</f>
        <v>-31741.367499999993</v>
      </c>
      <c r="L31" s="354">
        <f>-'Table 5C1F-Lake Charles Charter'!AH32</f>
        <v>0</v>
      </c>
      <c r="M31" s="354">
        <f>-'Table 5C1G-JS Clark Academy'!AH32</f>
        <v>0</v>
      </c>
      <c r="N31" s="354">
        <f>-'Table 5C1H-Southwest LA Charter'!AH32</f>
        <v>0</v>
      </c>
      <c r="O31" s="354">
        <f>-'Table 5C2 - LA Virtual Admy'!AI30</f>
        <v>-32991</v>
      </c>
      <c r="P31" s="354">
        <f>-'Table 5C3 - LA Connections EBR'!AI30</f>
        <v>-91096</v>
      </c>
      <c r="Q31" s="354">
        <f>-'Table 5E_OJJ'!AG32</f>
        <v>-14444</v>
      </c>
      <c r="R31" s="739">
        <f t="shared" si="25"/>
        <v>15849316.959999999</v>
      </c>
      <c r="S31" s="354"/>
      <c r="T31" s="354"/>
      <c r="U31" s="354"/>
      <c r="V31" s="354">
        <f>'Table 5C1A-Madison Prep'!AO32</f>
        <v>0</v>
      </c>
      <c r="W31" s="354">
        <f>'Table 5C1B-DArbonne'!AO32</f>
        <v>0</v>
      </c>
      <c r="X31" s="354">
        <f>'Table 5C1C-Intl_VIBE'!AO32</f>
        <v>-10.809999999999945</v>
      </c>
      <c r="Y31" s="354">
        <f>'Table 5C1D-NOMMA'!AO32</f>
        <v>-27.539999999999964</v>
      </c>
      <c r="Z31" s="354">
        <f>'Table 5C1E-LFNO'!AQ32</f>
        <v>-13.514999999999986</v>
      </c>
      <c r="AA31" s="354">
        <f>'Table 5C1F-Lake Charles Charter'!AO32</f>
        <v>0</v>
      </c>
      <c r="AB31" s="354">
        <f>'Table 5C1G-JS Clark Academy'!AO32</f>
        <v>0</v>
      </c>
      <c r="AC31" s="354">
        <f>'Table 5C1H-Southwest LA Charter'!AO32</f>
        <v>0</v>
      </c>
      <c r="AD31" s="354">
        <f>'Table 5C2 - LA Virtual Admy'!AP30</f>
        <v>-24</v>
      </c>
      <c r="AE31" s="354">
        <f>'Table 5C3 - LA Connections EBR'!AP30</f>
        <v>-24</v>
      </c>
      <c r="AF31" s="739">
        <f t="shared" si="26"/>
        <v>15849217.094999999</v>
      </c>
      <c r="AG31" s="47"/>
      <c r="AM31"/>
      <c r="AV31"/>
    </row>
    <row r="32" spans="1:48">
      <c r="A32" s="101">
        <v>27</v>
      </c>
      <c r="B32" s="299" t="s">
        <v>128</v>
      </c>
      <c r="C32" s="309">
        <f>'Table 2_State with Midyear Adjs'!AQ33</f>
        <v>3013640</v>
      </c>
      <c r="D32" s="354"/>
      <c r="E32" s="354"/>
      <c r="F32" s="354">
        <f>-'Table 5C1A-Madison Prep'!AH33</f>
        <v>0</v>
      </c>
      <c r="G32" s="354">
        <f>-'Table 5C1B-DArbonne'!AH33</f>
        <v>0</v>
      </c>
      <c r="H32" s="354">
        <f>-'Table 5C1C-Intl_VIBE'!AH33</f>
        <v>0</v>
      </c>
      <c r="I32" s="354">
        <f>-'Table 5C1D-NOMMA'!AH33</f>
        <v>0</v>
      </c>
      <c r="J32" s="354"/>
      <c r="K32" s="354">
        <f>-'Table 5C1E-LFNO'!AJ33</f>
        <v>0</v>
      </c>
      <c r="L32" s="354">
        <f>-'Table 5C1F-Lake Charles Charter'!AH33</f>
        <v>2044</v>
      </c>
      <c r="M32" s="354">
        <f>-'Table 5C1G-JS Clark Academy'!AH33</f>
        <v>0</v>
      </c>
      <c r="N32" s="354">
        <f>-'Table 5C1H-Southwest LA Charter'!AH33</f>
        <v>-3087.5349999999999</v>
      </c>
      <c r="O32" s="354">
        <f>-'Table 5C2 - LA Virtual Admy'!AI31</f>
        <v>-221</v>
      </c>
      <c r="P32" s="354">
        <f>-'Table 5C3 - LA Connections EBR'!AI31</f>
        <v>-2440</v>
      </c>
      <c r="Q32" s="354">
        <f>-'Table 5E_OJJ'!AG33</f>
        <v>-673</v>
      </c>
      <c r="R32" s="739">
        <f t="shared" si="25"/>
        <v>3009262.4649999999</v>
      </c>
      <c r="S32" s="354"/>
      <c r="T32" s="354"/>
      <c r="U32" s="354"/>
      <c r="V32" s="354">
        <f>'Table 5C1A-Madison Prep'!AO33</f>
        <v>0</v>
      </c>
      <c r="W32" s="354">
        <f>'Table 5C1B-DArbonne'!AO33</f>
        <v>0</v>
      </c>
      <c r="X32" s="354">
        <f>'Table 5C1C-Intl_VIBE'!AO33</f>
        <v>0</v>
      </c>
      <c r="Y32" s="354">
        <f>'Table 5C1D-NOMMA'!AO33</f>
        <v>0</v>
      </c>
      <c r="Z32" s="354">
        <f>'Table 5C1E-LFNO'!AQ33</f>
        <v>0</v>
      </c>
      <c r="AA32" s="354">
        <f>'Table 5C1F-Lake Charles Charter'!AO33</f>
        <v>0</v>
      </c>
      <c r="AB32" s="354">
        <f>'Table 5C1G-JS Clark Academy'!AO33</f>
        <v>0</v>
      </c>
      <c r="AC32" s="354">
        <f>'Table 5C1H-Southwest LA Charter'!AO33</f>
        <v>-1.9999999999999574E-2</v>
      </c>
      <c r="AD32" s="354">
        <f>'Table 5C2 - LA Virtual Admy'!AP31</f>
        <v>0</v>
      </c>
      <c r="AE32" s="354">
        <f>'Table 5C3 - LA Connections EBR'!AP31</f>
        <v>0</v>
      </c>
      <c r="AF32" s="739">
        <f t="shared" si="26"/>
        <v>3009262.4449999998</v>
      </c>
      <c r="AG32" s="47"/>
      <c r="AM32"/>
      <c r="AV32"/>
    </row>
    <row r="33" spans="1:48">
      <c r="A33" s="101">
        <v>28</v>
      </c>
      <c r="B33" s="299" t="s">
        <v>129</v>
      </c>
      <c r="C33" s="309">
        <f>'Table 2_State with Midyear Adjs'!AQ34</f>
        <v>10437828</v>
      </c>
      <c r="D33" s="354"/>
      <c r="E33" s="354"/>
      <c r="F33" s="354">
        <f>-'Table 5C1A-Madison Prep'!AH34</f>
        <v>0</v>
      </c>
      <c r="G33" s="354">
        <f>-'Table 5C1B-DArbonne'!AH34</f>
        <v>0</v>
      </c>
      <c r="H33" s="354">
        <f>-'Table 5C1C-Intl_VIBE'!AH34</f>
        <v>0</v>
      </c>
      <c r="I33" s="354">
        <f>-'Table 5C1D-NOMMA'!AH34</f>
        <v>0</v>
      </c>
      <c r="J33" s="354"/>
      <c r="K33" s="354">
        <f>-'Table 5C1E-LFNO'!AJ34</f>
        <v>0</v>
      </c>
      <c r="L33" s="354">
        <f>-'Table 5C1F-Lake Charles Charter'!AH34</f>
        <v>0</v>
      </c>
      <c r="M33" s="354">
        <f>-'Table 5C1G-JS Clark Academy'!AH34</f>
        <v>-1335.3274999999999</v>
      </c>
      <c r="N33" s="354">
        <f>-'Table 5C1H-Southwest LA Charter'!AH34</f>
        <v>0</v>
      </c>
      <c r="O33" s="354">
        <f>-'Table 5C2 - LA Virtual Admy'!AI32</f>
        <v>-13443</v>
      </c>
      <c r="P33" s="354">
        <f>-'Table 5C3 - LA Connections EBR'!AI32</f>
        <v>-32369</v>
      </c>
      <c r="Q33" s="354">
        <f>-'Table 5E_OJJ'!AG34</f>
        <v>-2570</v>
      </c>
      <c r="R33" s="739">
        <f t="shared" si="25"/>
        <v>10388110.672499999</v>
      </c>
      <c r="S33" s="354"/>
      <c r="T33" s="354"/>
      <c r="U33" s="354"/>
      <c r="V33" s="354">
        <f>'Table 5C1A-Madison Prep'!AO34</f>
        <v>0</v>
      </c>
      <c r="W33" s="354">
        <f>'Table 5C1B-DArbonne'!AO34</f>
        <v>0</v>
      </c>
      <c r="X33" s="354">
        <f>'Table 5C1C-Intl_VIBE'!AO34</f>
        <v>0</v>
      </c>
      <c r="Y33" s="354">
        <f>'Table 5C1D-NOMMA'!AO34</f>
        <v>0</v>
      </c>
      <c r="Z33" s="354">
        <f>'Table 5C1E-LFNO'!AQ34</f>
        <v>0</v>
      </c>
      <c r="AA33" s="354">
        <f>'Table 5C1F-Lake Charles Charter'!AO34</f>
        <v>0</v>
      </c>
      <c r="AB33" s="354">
        <f>'Table 5C1G-JS Clark Academy'!AO34</f>
        <v>-3.7499999999999645E-2</v>
      </c>
      <c r="AC33" s="354">
        <f>'Table 5C1H-Southwest LA Charter'!AO34</f>
        <v>0</v>
      </c>
      <c r="AD33" s="354">
        <f>'Table 5C2 - LA Virtual Admy'!AP32</f>
        <v>-1</v>
      </c>
      <c r="AE33" s="354">
        <f>'Table 5C3 - LA Connections EBR'!AP32</f>
        <v>-1</v>
      </c>
      <c r="AF33" s="739">
        <f t="shared" si="26"/>
        <v>10388108.635</v>
      </c>
      <c r="AG33" s="47"/>
      <c r="AM33"/>
      <c r="AV33"/>
    </row>
    <row r="34" spans="1:48">
      <c r="A34" s="101">
        <v>29</v>
      </c>
      <c r="B34" s="299" t="s">
        <v>130</v>
      </c>
      <c r="C34" s="309">
        <f>'Table 2_State with Midyear Adjs'!AQ35</f>
        <v>5762979</v>
      </c>
      <c r="D34" s="354"/>
      <c r="E34" s="354"/>
      <c r="F34" s="354">
        <f>-'Table 5C1A-Madison Prep'!AH35</f>
        <v>0</v>
      </c>
      <c r="G34" s="354">
        <f>-'Table 5C1B-DArbonne'!AH35</f>
        <v>0</v>
      </c>
      <c r="H34" s="354">
        <f>-'Table 5C1C-Intl_VIBE'!AH35</f>
        <v>0</v>
      </c>
      <c r="I34" s="354">
        <f>-'Table 5C1D-NOMMA'!AH35</f>
        <v>0</v>
      </c>
      <c r="J34" s="354"/>
      <c r="K34" s="354">
        <f>-'Table 5C1E-LFNO'!AJ35</f>
        <v>0</v>
      </c>
      <c r="L34" s="354">
        <f>-'Table 5C1F-Lake Charles Charter'!AH35</f>
        <v>0</v>
      </c>
      <c r="M34" s="354">
        <f>-'Table 5C1G-JS Clark Academy'!AH35</f>
        <v>0</v>
      </c>
      <c r="N34" s="354">
        <f>-'Table 5C1H-Southwest LA Charter'!AH35</f>
        <v>0</v>
      </c>
      <c r="O34" s="354">
        <f>-'Table 5C2 - LA Virtual Admy'!AI33</f>
        <v>-2930</v>
      </c>
      <c r="P34" s="354">
        <f>-'Table 5C3 - LA Connections EBR'!AI33</f>
        <v>-12232</v>
      </c>
      <c r="Q34" s="354">
        <f>-'Table 5E_OJJ'!AG35</f>
        <v>-5608</v>
      </c>
      <c r="R34" s="739">
        <f t="shared" si="25"/>
        <v>5742209</v>
      </c>
      <c r="S34" s="354"/>
      <c r="T34" s="354"/>
      <c r="U34" s="354"/>
      <c r="V34" s="354">
        <f>'Table 5C1A-Madison Prep'!AO35</f>
        <v>0</v>
      </c>
      <c r="W34" s="354">
        <f>'Table 5C1B-DArbonne'!AO35</f>
        <v>0</v>
      </c>
      <c r="X34" s="354">
        <f>'Table 5C1C-Intl_VIBE'!AO35</f>
        <v>0</v>
      </c>
      <c r="Y34" s="354">
        <f>'Table 5C1D-NOMMA'!AO35</f>
        <v>0</v>
      </c>
      <c r="Z34" s="354">
        <f>'Table 5C1E-LFNO'!AQ35</f>
        <v>0</v>
      </c>
      <c r="AA34" s="354">
        <f>'Table 5C1F-Lake Charles Charter'!AO35</f>
        <v>0</v>
      </c>
      <c r="AB34" s="354">
        <f>'Table 5C1G-JS Clark Academy'!AO35</f>
        <v>0</v>
      </c>
      <c r="AC34" s="354">
        <f>'Table 5C1H-Southwest LA Charter'!AO35</f>
        <v>0</v>
      </c>
      <c r="AD34" s="354">
        <f>'Table 5C2 - LA Virtual Admy'!AP33</f>
        <v>-1</v>
      </c>
      <c r="AE34" s="354">
        <f>'Table 5C3 - LA Connections EBR'!AP33</f>
        <v>-1</v>
      </c>
      <c r="AF34" s="739">
        <f t="shared" si="26"/>
        <v>5742207</v>
      </c>
      <c r="AG34" s="47"/>
      <c r="AM34"/>
      <c r="AV34"/>
    </row>
    <row r="35" spans="1:48">
      <c r="A35" s="102">
        <v>30</v>
      </c>
      <c r="B35" s="300" t="s">
        <v>131</v>
      </c>
      <c r="C35" s="318">
        <f>'Table 2_State with Midyear Adjs'!AQ36</f>
        <v>1366305</v>
      </c>
      <c r="D35" s="355"/>
      <c r="E35" s="355"/>
      <c r="F35" s="355">
        <f>-'Table 5C1A-Madison Prep'!AH36</f>
        <v>0</v>
      </c>
      <c r="G35" s="355">
        <f>-'Table 5C1B-DArbonne'!AH36</f>
        <v>0</v>
      </c>
      <c r="H35" s="355">
        <f>-'Table 5C1C-Intl_VIBE'!AH36</f>
        <v>0</v>
      </c>
      <c r="I35" s="355">
        <f>-'Table 5C1D-NOMMA'!AH36</f>
        <v>0</v>
      </c>
      <c r="J35" s="355"/>
      <c r="K35" s="355">
        <f>-'Table 5C1E-LFNO'!AJ36</f>
        <v>0</v>
      </c>
      <c r="L35" s="355">
        <f>-'Table 5C1F-Lake Charles Charter'!AH36</f>
        <v>0</v>
      </c>
      <c r="M35" s="355">
        <f>-'Table 5C1G-JS Clark Academy'!AH36</f>
        <v>0</v>
      </c>
      <c r="N35" s="355">
        <f>-'Table 5C1H-Southwest LA Charter'!AH36</f>
        <v>0</v>
      </c>
      <c r="O35" s="355">
        <f>-'Table 5C2 - LA Virtual Admy'!AI34</f>
        <v>-1329</v>
      </c>
      <c r="P35" s="355">
        <f>-'Table 5C3 - LA Connections EBR'!AI34</f>
        <v>348</v>
      </c>
      <c r="Q35" s="355">
        <f>-'Table 5E_OJJ'!AG36</f>
        <v>0</v>
      </c>
      <c r="R35" s="740">
        <f t="shared" si="25"/>
        <v>1365324</v>
      </c>
      <c r="S35" s="355"/>
      <c r="T35" s="355"/>
      <c r="U35" s="355"/>
      <c r="V35" s="355">
        <f>'Table 5C1A-Madison Prep'!AO36</f>
        <v>0</v>
      </c>
      <c r="W35" s="355">
        <f>'Table 5C1B-DArbonne'!AO36</f>
        <v>0</v>
      </c>
      <c r="X35" s="355">
        <f>'Table 5C1C-Intl_VIBE'!AO36</f>
        <v>0</v>
      </c>
      <c r="Y35" s="355">
        <f>'Table 5C1D-NOMMA'!AO36</f>
        <v>0</v>
      </c>
      <c r="Z35" s="355">
        <f>'Table 5C1E-LFNO'!AQ36</f>
        <v>0</v>
      </c>
      <c r="AA35" s="355">
        <f>'Table 5C1F-Lake Charles Charter'!AO36</f>
        <v>0</v>
      </c>
      <c r="AB35" s="355">
        <f>'Table 5C1G-JS Clark Academy'!AO36</f>
        <v>0</v>
      </c>
      <c r="AC35" s="355">
        <f>'Table 5C1H-Southwest LA Charter'!AO36</f>
        <v>0</v>
      </c>
      <c r="AD35" s="355">
        <f>'Table 5C2 - LA Virtual Admy'!AP34</f>
        <v>0</v>
      </c>
      <c r="AE35" s="355">
        <f>'Table 5C3 - LA Connections EBR'!AP34</f>
        <v>0</v>
      </c>
      <c r="AF35" s="740">
        <f t="shared" si="26"/>
        <v>1365324</v>
      </c>
      <c r="AG35" s="47"/>
      <c r="AM35"/>
      <c r="AV35"/>
    </row>
    <row r="36" spans="1:48">
      <c r="A36" s="101">
        <v>31</v>
      </c>
      <c r="B36" s="299" t="s">
        <v>132</v>
      </c>
      <c r="C36" s="309">
        <f>'Table 2_State with Midyear Adjs'!AQ37</f>
        <v>2692680</v>
      </c>
      <c r="D36" s="354"/>
      <c r="E36" s="354"/>
      <c r="F36" s="354">
        <f>-'Table 5C1A-Madison Prep'!AH37</f>
        <v>0</v>
      </c>
      <c r="G36" s="354">
        <f>-'Table 5C1B-DArbonne'!AH37</f>
        <v>-2327.1031250000015</v>
      </c>
      <c r="H36" s="354">
        <f>-'Table 5C1C-Intl_VIBE'!AH37</f>
        <v>0</v>
      </c>
      <c r="I36" s="354">
        <f>-'Table 5C1D-NOMMA'!AH37</f>
        <v>0</v>
      </c>
      <c r="J36" s="354"/>
      <c r="K36" s="354">
        <f>-'Table 5C1E-LFNO'!AJ37</f>
        <v>0</v>
      </c>
      <c r="L36" s="354">
        <f>-'Table 5C1F-Lake Charles Charter'!AH37</f>
        <v>0</v>
      </c>
      <c r="M36" s="354">
        <f>-'Table 5C1G-JS Clark Academy'!AH37</f>
        <v>0</v>
      </c>
      <c r="N36" s="354">
        <f>-'Table 5C1H-Southwest LA Charter'!AH37</f>
        <v>0</v>
      </c>
      <c r="O36" s="354">
        <f>-'Table 5C2 - LA Virtual Admy'!AI35</f>
        <v>0</v>
      </c>
      <c r="P36" s="354">
        <f>-'Table 5C3 - LA Connections EBR'!AI35</f>
        <v>-4090</v>
      </c>
      <c r="Q36" s="354">
        <f>-'Table 5E_OJJ'!AG37</f>
        <v>-432</v>
      </c>
      <c r="R36" s="739">
        <f t="shared" si="25"/>
        <v>2685830.8968750001</v>
      </c>
      <c r="S36" s="354"/>
      <c r="T36" s="354"/>
      <c r="U36" s="354"/>
      <c r="V36" s="354">
        <f>'Table 5C1A-Madison Prep'!AO37</f>
        <v>0</v>
      </c>
      <c r="W36" s="354">
        <f>'Table 5C1B-DArbonne'!AO37</f>
        <v>-0.75</v>
      </c>
      <c r="X36" s="354">
        <f>'Table 5C1C-Intl_VIBE'!AO37</f>
        <v>0</v>
      </c>
      <c r="Y36" s="354">
        <f>'Table 5C1D-NOMMA'!AO37</f>
        <v>0</v>
      </c>
      <c r="Z36" s="354">
        <f>'Table 5C1E-LFNO'!AQ37</f>
        <v>0</v>
      </c>
      <c r="AA36" s="354">
        <f>'Table 5C1F-Lake Charles Charter'!AO37</f>
        <v>0</v>
      </c>
      <c r="AB36" s="354">
        <f>'Table 5C1G-JS Clark Academy'!AO37</f>
        <v>0</v>
      </c>
      <c r="AC36" s="354">
        <f>'Table 5C1H-Southwest LA Charter'!AO37</f>
        <v>0</v>
      </c>
      <c r="AD36" s="354">
        <f>'Table 5C2 - LA Virtual Admy'!AP35</f>
        <v>0</v>
      </c>
      <c r="AE36" s="354">
        <f>'Table 5C3 - LA Connections EBR'!AP35</f>
        <v>-1</v>
      </c>
      <c r="AF36" s="739">
        <f t="shared" si="26"/>
        <v>2685829.1468750001</v>
      </c>
      <c r="AG36" s="47"/>
      <c r="AM36"/>
      <c r="AV36"/>
    </row>
    <row r="37" spans="1:48">
      <c r="A37" s="101">
        <v>32</v>
      </c>
      <c r="B37" s="299" t="s">
        <v>133</v>
      </c>
      <c r="C37" s="309">
        <f>'Table 2_State with Midyear Adjs'!AQ38</f>
        <v>13031730</v>
      </c>
      <c r="D37" s="354"/>
      <c r="E37" s="354"/>
      <c r="F37" s="354">
        <f>-'Table 5C1A-Madison Prep'!AH38</f>
        <v>15</v>
      </c>
      <c r="G37" s="354">
        <f>-'Table 5C1B-DArbonne'!AH38</f>
        <v>0</v>
      </c>
      <c r="H37" s="354">
        <f>-'Table 5C1C-Intl_VIBE'!AH38</f>
        <v>0</v>
      </c>
      <c r="I37" s="354">
        <f>-'Table 5C1D-NOMMA'!AH38</f>
        <v>314.5</v>
      </c>
      <c r="J37" s="354"/>
      <c r="K37" s="354">
        <f>-'Table 5C1E-LFNO'!AJ38</f>
        <v>0</v>
      </c>
      <c r="L37" s="354">
        <f>-'Table 5C1F-Lake Charles Charter'!AH38</f>
        <v>0</v>
      </c>
      <c r="M37" s="354">
        <f>-'Table 5C1G-JS Clark Academy'!AH38</f>
        <v>0</v>
      </c>
      <c r="N37" s="354">
        <f>-'Table 5C1H-Southwest LA Charter'!AH38</f>
        <v>0</v>
      </c>
      <c r="O37" s="354">
        <f>-'Table 5C2 - LA Virtual Admy'!AI36</f>
        <v>-3655</v>
      </c>
      <c r="P37" s="354">
        <f>-'Table 5C3 - LA Connections EBR'!AI36</f>
        <v>-25577</v>
      </c>
      <c r="Q37" s="354">
        <f>-'Table 5E_OJJ'!AG38</f>
        <v>-525</v>
      </c>
      <c r="R37" s="739">
        <f t="shared" si="25"/>
        <v>13002302.5</v>
      </c>
      <c r="S37" s="354"/>
      <c r="T37" s="354"/>
      <c r="U37" s="354"/>
      <c r="V37" s="354">
        <f>'Table 5C1A-Madison Prep'!AO38</f>
        <v>0</v>
      </c>
      <c r="W37" s="354">
        <f>'Table 5C1B-DArbonne'!AO38</f>
        <v>0</v>
      </c>
      <c r="X37" s="354">
        <f>'Table 5C1C-Intl_VIBE'!AO38</f>
        <v>0</v>
      </c>
      <c r="Y37" s="354">
        <f>'Table 5C1D-NOMMA'!AO38</f>
        <v>0</v>
      </c>
      <c r="Z37" s="354">
        <f>'Table 5C1E-LFNO'!AQ38</f>
        <v>0</v>
      </c>
      <c r="AA37" s="354">
        <f>'Table 5C1F-Lake Charles Charter'!AO38</f>
        <v>0</v>
      </c>
      <c r="AB37" s="354">
        <f>'Table 5C1G-JS Clark Academy'!AO38</f>
        <v>0</v>
      </c>
      <c r="AC37" s="354">
        <f>'Table 5C1H-Southwest LA Charter'!AO38</f>
        <v>0</v>
      </c>
      <c r="AD37" s="354">
        <f>'Table 5C2 - LA Virtual Admy'!AP36</f>
        <v>0</v>
      </c>
      <c r="AE37" s="354">
        <f>'Table 5C3 - LA Connections EBR'!AP36</f>
        <v>0</v>
      </c>
      <c r="AF37" s="739">
        <f t="shared" si="26"/>
        <v>13002302.5</v>
      </c>
      <c r="AG37" s="47"/>
      <c r="AM37"/>
      <c r="AV37"/>
    </row>
    <row r="38" spans="1:48">
      <c r="A38" s="101">
        <v>33</v>
      </c>
      <c r="B38" s="299" t="s">
        <v>134</v>
      </c>
      <c r="C38" s="309">
        <f>'Table 2_State with Midyear Adjs'!AQ39</f>
        <v>972783</v>
      </c>
      <c r="D38" s="354"/>
      <c r="E38" s="354"/>
      <c r="F38" s="354">
        <f>-'Table 5C1A-Madison Prep'!AH39</f>
        <v>0</v>
      </c>
      <c r="G38" s="354">
        <f>-'Table 5C1B-DArbonne'!AH39</f>
        <v>0</v>
      </c>
      <c r="H38" s="354">
        <f>-'Table 5C1C-Intl_VIBE'!AH39</f>
        <v>0</v>
      </c>
      <c r="I38" s="354">
        <f>-'Table 5C1D-NOMMA'!AH39</f>
        <v>0</v>
      </c>
      <c r="J38" s="354"/>
      <c r="K38" s="354">
        <f>-'Table 5C1E-LFNO'!AJ39</f>
        <v>0</v>
      </c>
      <c r="L38" s="354">
        <f>-'Table 5C1F-Lake Charles Charter'!AH39</f>
        <v>0</v>
      </c>
      <c r="M38" s="354">
        <f>-'Table 5C1G-JS Clark Academy'!AH39</f>
        <v>0</v>
      </c>
      <c r="N38" s="354">
        <f>-'Table 5C1H-Southwest LA Charter'!AH39</f>
        <v>0</v>
      </c>
      <c r="O38" s="354">
        <f>-'Table 5C2 - LA Virtual Admy'!AI37</f>
        <v>-252</v>
      </c>
      <c r="P38" s="354">
        <f>-'Table 5C3 - LA Connections EBR'!AI37</f>
        <v>-1606</v>
      </c>
      <c r="Q38" s="354">
        <f>-'Table 5E_OJJ'!AG39</f>
        <v>-1688</v>
      </c>
      <c r="R38" s="739">
        <f t="shared" ref="R38:R69" si="27">SUM(C38:Q38)</f>
        <v>969237</v>
      </c>
      <c r="S38" s="354"/>
      <c r="T38" s="354"/>
      <c r="U38" s="354"/>
      <c r="V38" s="354">
        <f>'Table 5C1A-Madison Prep'!AO39</f>
        <v>0</v>
      </c>
      <c r="W38" s="354">
        <f>'Table 5C1B-DArbonne'!AO39</f>
        <v>0</v>
      </c>
      <c r="X38" s="354">
        <f>'Table 5C1C-Intl_VIBE'!AO39</f>
        <v>0</v>
      </c>
      <c r="Y38" s="354">
        <f>'Table 5C1D-NOMMA'!AO39</f>
        <v>0</v>
      </c>
      <c r="Z38" s="354">
        <f>'Table 5C1E-LFNO'!AQ39</f>
        <v>0</v>
      </c>
      <c r="AA38" s="354">
        <f>'Table 5C1F-Lake Charles Charter'!AO39</f>
        <v>0</v>
      </c>
      <c r="AB38" s="354">
        <f>'Table 5C1G-JS Clark Academy'!AO39</f>
        <v>0</v>
      </c>
      <c r="AC38" s="354">
        <f>'Table 5C1H-Southwest LA Charter'!AO39</f>
        <v>0</v>
      </c>
      <c r="AD38" s="354">
        <f>'Table 5C2 - LA Virtual Admy'!AP37</f>
        <v>-1</v>
      </c>
      <c r="AE38" s="354">
        <f>'Table 5C3 - LA Connections EBR'!AP37</f>
        <v>-2</v>
      </c>
      <c r="AF38" s="739">
        <f t="shared" ref="AF38:AF69" si="28">SUM(R38:AE38)</f>
        <v>969234</v>
      </c>
      <c r="AG38" s="47"/>
      <c r="AM38"/>
      <c r="AV38"/>
    </row>
    <row r="39" spans="1:48">
      <c r="A39" s="101">
        <v>34</v>
      </c>
      <c r="B39" s="299" t="s">
        <v>135</v>
      </c>
      <c r="C39" s="309">
        <f>'Table 2_State with Midyear Adjs'!AQ40</f>
        <v>2305414</v>
      </c>
      <c r="D39" s="354"/>
      <c r="E39" s="354"/>
      <c r="F39" s="354">
        <f>-'Table 5C1A-Madison Prep'!AH40</f>
        <v>0</v>
      </c>
      <c r="G39" s="354">
        <f>-'Table 5C1B-DArbonne'!AH40</f>
        <v>0</v>
      </c>
      <c r="H39" s="354">
        <f>-'Table 5C1C-Intl_VIBE'!AH40</f>
        <v>0</v>
      </c>
      <c r="I39" s="354">
        <f>-'Table 5C1D-NOMMA'!AH40</f>
        <v>0</v>
      </c>
      <c r="J39" s="354"/>
      <c r="K39" s="354">
        <f>-'Table 5C1E-LFNO'!AJ40</f>
        <v>0</v>
      </c>
      <c r="L39" s="354">
        <f>-'Table 5C1F-Lake Charles Charter'!AH40</f>
        <v>0</v>
      </c>
      <c r="M39" s="354">
        <f>-'Table 5C1G-JS Clark Academy'!AH40</f>
        <v>0</v>
      </c>
      <c r="N39" s="354">
        <f>-'Table 5C1H-Southwest LA Charter'!AH40</f>
        <v>0</v>
      </c>
      <c r="O39" s="354">
        <f>-'Table 5C2 - LA Virtual Admy'!AI38</f>
        <v>-2431</v>
      </c>
      <c r="P39" s="354">
        <f>-'Table 5C3 - LA Connections EBR'!AI38</f>
        <v>-4468</v>
      </c>
      <c r="Q39" s="354">
        <f>-'Table 5E_OJJ'!AG40</f>
        <v>-489</v>
      </c>
      <c r="R39" s="739">
        <f t="shared" si="27"/>
        <v>2298026</v>
      </c>
      <c r="S39" s="354"/>
      <c r="T39" s="354"/>
      <c r="U39" s="354"/>
      <c r="V39" s="354">
        <f>'Table 5C1A-Madison Prep'!AO40</f>
        <v>0</v>
      </c>
      <c r="W39" s="354">
        <f>'Table 5C1B-DArbonne'!AO40</f>
        <v>0</v>
      </c>
      <c r="X39" s="354">
        <f>'Table 5C1C-Intl_VIBE'!AO40</f>
        <v>0</v>
      </c>
      <c r="Y39" s="354">
        <f>'Table 5C1D-NOMMA'!AO40</f>
        <v>0</v>
      </c>
      <c r="Z39" s="354">
        <f>'Table 5C1E-LFNO'!AQ40</f>
        <v>0</v>
      </c>
      <c r="AA39" s="354">
        <f>'Table 5C1F-Lake Charles Charter'!AO40</f>
        <v>0</v>
      </c>
      <c r="AB39" s="354">
        <f>'Table 5C1G-JS Clark Academy'!AO40</f>
        <v>0</v>
      </c>
      <c r="AC39" s="354">
        <f>'Table 5C1H-Southwest LA Charter'!AO40</f>
        <v>0</v>
      </c>
      <c r="AD39" s="354">
        <f>'Table 5C2 - LA Virtual Admy'!AP38</f>
        <v>-1</v>
      </c>
      <c r="AE39" s="354">
        <f>'Table 5C3 - LA Connections EBR'!AP38</f>
        <v>0</v>
      </c>
      <c r="AF39" s="739">
        <f t="shared" si="28"/>
        <v>2298025</v>
      </c>
      <c r="AG39" s="47"/>
      <c r="AM39"/>
      <c r="AV39"/>
    </row>
    <row r="40" spans="1:48">
      <c r="A40" s="102">
        <v>35</v>
      </c>
      <c r="B40" s="300" t="s">
        <v>136</v>
      </c>
      <c r="C40" s="318">
        <f>'Table 2_State with Midyear Adjs'!AQ41</f>
        <v>2958980</v>
      </c>
      <c r="D40" s="355"/>
      <c r="E40" s="355"/>
      <c r="F40" s="355">
        <f>-'Table 5C1A-Madison Prep'!AH41</f>
        <v>0</v>
      </c>
      <c r="G40" s="355">
        <f>-'Table 5C1B-DArbonne'!AH41</f>
        <v>0</v>
      </c>
      <c r="H40" s="355">
        <f>-'Table 5C1C-Intl_VIBE'!AH41</f>
        <v>0</v>
      </c>
      <c r="I40" s="355">
        <f>-'Table 5C1D-NOMMA'!AH41</f>
        <v>0</v>
      </c>
      <c r="J40" s="355"/>
      <c r="K40" s="355">
        <f>-'Table 5C1E-LFNO'!AJ41</f>
        <v>0</v>
      </c>
      <c r="L40" s="355">
        <f>-'Table 5C1F-Lake Charles Charter'!AH41</f>
        <v>0</v>
      </c>
      <c r="M40" s="355">
        <f>-'Table 5C1G-JS Clark Academy'!AH41</f>
        <v>0</v>
      </c>
      <c r="N40" s="355">
        <f>-'Table 5C1H-Southwest LA Charter'!AH41</f>
        <v>0</v>
      </c>
      <c r="O40" s="355">
        <f>-'Table 5C2 - LA Virtual Admy'!AI39</f>
        <v>-5643</v>
      </c>
      <c r="P40" s="355">
        <f>-'Table 5C3 - LA Connections EBR'!AI39</f>
        <v>-11901</v>
      </c>
      <c r="Q40" s="355">
        <f>-'Table 5E_OJJ'!AG41</f>
        <v>-402</v>
      </c>
      <c r="R40" s="740">
        <f t="shared" si="27"/>
        <v>2941034</v>
      </c>
      <c r="S40" s="355"/>
      <c r="T40" s="355"/>
      <c r="U40" s="355"/>
      <c r="V40" s="355">
        <f>'Table 5C1A-Madison Prep'!AO41</f>
        <v>0</v>
      </c>
      <c r="W40" s="355">
        <f>'Table 5C1B-DArbonne'!AO41</f>
        <v>0</v>
      </c>
      <c r="X40" s="355">
        <f>'Table 5C1C-Intl_VIBE'!AO41</f>
        <v>0</v>
      </c>
      <c r="Y40" s="355">
        <f>'Table 5C1D-NOMMA'!AO41</f>
        <v>0</v>
      </c>
      <c r="Z40" s="355">
        <f>'Table 5C1E-LFNO'!AQ41</f>
        <v>0</v>
      </c>
      <c r="AA40" s="355">
        <f>'Table 5C1F-Lake Charles Charter'!AO41</f>
        <v>0</v>
      </c>
      <c r="AB40" s="355">
        <f>'Table 5C1G-JS Clark Academy'!AO41</f>
        <v>0</v>
      </c>
      <c r="AC40" s="355">
        <f>'Table 5C1H-Southwest LA Charter'!AO41</f>
        <v>0</v>
      </c>
      <c r="AD40" s="355">
        <f>'Table 5C2 - LA Virtual Admy'!AP39</f>
        <v>0</v>
      </c>
      <c r="AE40" s="355">
        <f>'Table 5C3 - LA Connections EBR'!AP39</f>
        <v>-1</v>
      </c>
      <c r="AF40" s="740">
        <f t="shared" si="28"/>
        <v>2941033</v>
      </c>
      <c r="AG40" s="47"/>
      <c r="AM40"/>
      <c r="AV40"/>
    </row>
    <row r="41" spans="1:48">
      <c r="A41" s="101">
        <v>36</v>
      </c>
      <c r="B41" s="299" t="s">
        <v>137</v>
      </c>
      <c r="C41" s="309">
        <f>'Table 2_State with Midyear Adjs'!AQ42</f>
        <v>8268092</v>
      </c>
      <c r="D41" s="354"/>
      <c r="E41" s="1048">
        <f>-'[6]April 2012-13 Allocation'!$AV$66</f>
        <v>-12685204.505000003</v>
      </c>
      <c r="F41" s="354">
        <f>-'Table 5C1A-Madison Prep'!AH42</f>
        <v>0</v>
      </c>
      <c r="G41" s="354">
        <f>-'Table 5C1B-DArbonne'!AH42</f>
        <v>0</v>
      </c>
      <c r="H41" s="354">
        <f>-'Table 5C1C-Intl_VIBE'!AH42</f>
        <v>-159076.87</v>
      </c>
      <c r="I41" s="354">
        <f>-'Table 5C1D-NOMMA'!AH42</f>
        <v>-55401.184999999998</v>
      </c>
      <c r="J41" s="354"/>
      <c r="K41" s="354">
        <f>-'Table 5C1E-LFNO'!AJ42</f>
        <v>-76132.117499999993</v>
      </c>
      <c r="L41" s="354">
        <f>-'Table 5C1F-Lake Charles Charter'!AH42</f>
        <v>0</v>
      </c>
      <c r="M41" s="354">
        <f>-'Table 5C1G-JS Clark Academy'!AH42</f>
        <v>0</v>
      </c>
      <c r="N41" s="354">
        <f>-'Table 5C1H-Southwest LA Charter'!AH42</f>
        <v>0</v>
      </c>
      <c r="O41" s="354">
        <f>-'Table 5C2 - LA Virtual Admy'!AI40</f>
        <v>-19356</v>
      </c>
      <c r="P41" s="354">
        <f>-'Table 5C3 - LA Connections EBR'!AI40</f>
        <v>-39262</v>
      </c>
      <c r="Q41" s="354">
        <f>-'Table 5E_OJJ'!AG42</f>
        <v>-12633</v>
      </c>
      <c r="R41" s="739">
        <f t="shared" si="27"/>
        <v>-4778973.6775000021</v>
      </c>
      <c r="S41" s="354"/>
      <c r="T41" s="354"/>
      <c r="U41" s="354">
        <f>'[6]April 2012-13 Allocation'!$AO$75</f>
        <v>-16867.802500000165</v>
      </c>
      <c r="V41" s="354">
        <f>'Table 5C1A-Madison Prep'!AO42</f>
        <v>0</v>
      </c>
      <c r="W41" s="354">
        <f>'Table 5C1B-DArbonne'!AO42</f>
        <v>0</v>
      </c>
      <c r="X41" s="354">
        <f>'Table 5C1C-Intl_VIBE'!AO42</f>
        <v>-249.64499999999998</v>
      </c>
      <c r="Y41" s="354">
        <f>'Table 5C1D-NOMMA'!AO42</f>
        <v>-72.872500000000173</v>
      </c>
      <c r="Z41" s="354">
        <f>'Table 5C1E-LFNO'!AQ42</f>
        <v>-103.64875000000006</v>
      </c>
      <c r="AA41" s="354">
        <f>'Table 5C1F-Lake Charles Charter'!AO42</f>
        <v>0</v>
      </c>
      <c r="AB41" s="354">
        <f>'Table 5C1G-JS Clark Academy'!AO42</f>
        <v>0</v>
      </c>
      <c r="AC41" s="354">
        <f>'Table 5C1H-Southwest LA Charter'!AO42</f>
        <v>0</v>
      </c>
      <c r="AD41" s="354">
        <f>'Table 5C2 - LA Virtual Admy'!AP40</f>
        <v>-36</v>
      </c>
      <c r="AE41" s="354">
        <f>'Table 5C3 - LA Connections EBR'!AP40</f>
        <v>-27</v>
      </c>
      <c r="AF41" s="739">
        <f t="shared" si="28"/>
        <v>-4796330.6462500012</v>
      </c>
      <c r="AG41" s="733"/>
      <c r="AI41" s="733"/>
      <c r="AJ41" s="733"/>
      <c r="AK41" s="733"/>
      <c r="AM41"/>
      <c r="AV41"/>
    </row>
    <row r="42" spans="1:48">
      <c r="A42" s="101">
        <v>37</v>
      </c>
      <c r="B42" s="299" t="s">
        <v>138</v>
      </c>
      <c r="C42" s="309">
        <f>'Table 2_State with Midyear Adjs'!AQ43</f>
        <v>10600504</v>
      </c>
      <c r="D42" s="354"/>
      <c r="E42" s="354"/>
      <c r="F42" s="354">
        <f>-'Table 5C1A-Madison Prep'!AH43</f>
        <v>0</v>
      </c>
      <c r="G42" s="354">
        <f>-'Table 5C1B-DArbonne'!AH43</f>
        <v>-2513.8599999999997</v>
      </c>
      <c r="H42" s="354">
        <f>-'Table 5C1C-Intl_VIBE'!AH43</f>
        <v>0</v>
      </c>
      <c r="I42" s="354">
        <f>-'Table 5C1D-NOMMA'!AH43</f>
        <v>0</v>
      </c>
      <c r="J42" s="354"/>
      <c r="K42" s="354">
        <f>-'Table 5C1E-LFNO'!AJ43</f>
        <v>0</v>
      </c>
      <c r="L42" s="354">
        <f>-'Table 5C1F-Lake Charles Charter'!AH43</f>
        <v>0</v>
      </c>
      <c r="M42" s="354">
        <f>-'Table 5C1G-JS Clark Academy'!AH43</f>
        <v>0</v>
      </c>
      <c r="N42" s="354">
        <f>-'Table 5C1H-Southwest LA Charter'!AH43</f>
        <v>0</v>
      </c>
      <c r="O42" s="354">
        <f>-'Table 5C2 - LA Virtual Admy'!AI41</f>
        <v>-9199</v>
      </c>
      <c r="P42" s="354">
        <f>-'Table 5C3 - LA Connections EBR'!AI41</f>
        <v>-9515</v>
      </c>
      <c r="Q42" s="354">
        <f>-'Table 5E_OJJ'!AG43</f>
        <v>-627</v>
      </c>
      <c r="R42" s="739">
        <f t="shared" si="27"/>
        <v>10578649.140000001</v>
      </c>
      <c r="S42" s="354"/>
      <c r="T42" s="354"/>
      <c r="U42" s="354"/>
      <c r="V42" s="354">
        <f>'Table 5C1A-Madison Prep'!AO43</f>
        <v>0</v>
      </c>
      <c r="W42" s="354">
        <f>'Table 5C1B-DArbonne'!AO43</f>
        <v>-0.28999999999999915</v>
      </c>
      <c r="X42" s="354">
        <f>'Table 5C1C-Intl_VIBE'!AO43</f>
        <v>0</v>
      </c>
      <c r="Y42" s="354">
        <f>'Table 5C1D-NOMMA'!AO43</f>
        <v>0</v>
      </c>
      <c r="Z42" s="354">
        <f>'Table 5C1E-LFNO'!AQ43</f>
        <v>0</v>
      </c>
      <c r="AA42" s="354">
        <f>'Table 5C1F-Lake Charles Charter'!AO43</f>
        <v>0</v>
      </c>
      <c r="AB42" s="354">
        <f>'Table 5C1G-JS Clark Academy'!AO43</f>
        <v>0</v>
      </c>
      <c r="AC42" s="354">
        <f>'Table 5C1H-Southwest LA Charter'!AO43</f>
        <v>0</v>
      </c>
      <c r="AD42" s="354">
        <f>'Table 5C2 - LA Virtual Admy'!AP41</f>
        <v>-3</v>
      </c>
      <c r="AE42" s="354">
        <f>'Table 5C3 - LA Connections EBR'!AP41</f>
        <v>-2</v>
      </c>
      <c r="AF42" s="739">
        <f t="shared" si="28"/>
        <v>10578643.850000001</v>
      </c>
      <c r="AG42" s="733"/>
      <c r="AI42" s="733"/>
      <c r="AJ42" s="733"/>
      <c r="AK42" s="733"/>
      <c r="AM42"/>
      <c r="AV42"/>
    </row>
    <row r="43" spans="1:48">
      <c r="A43" s="101">
        <v>38</v>
      </c>
      <c r="B43" s="299" t="s">
        <v>139</v>
      </c>
      <c r="C43" s="309">
        <f>'Table 2_State with Midyear Adjs'!AQ44</f>
        <v>1445708</v>
      </c>
      <c r="D43" s="354"/>
      <c r="E43" s="354"/>
      <c r="F43" s="354">
        <f>-'Table 5C1A-Madison Prep'!AH44</f>
        <v>0</v>
      </c>
      <c r="G43" s="354">
        <f>-'Table 5C1B-DArbonne'!AH44</f>
        <v>0</v>
      </c>
      <c r="H43" s="354">
        <f>-'Table 5C1C-Intl_VIBE'!AH44</f>
        <v>0</v>
      </c>
      <c r="I43" s="354">
        <f>-'Table 5C1D-NOMMA'!AH44</f>
        <v>-10525.68</v>
      </c>
      <c r="J43" s="354"/>
      <c r="K43" s="354">
        <f>-'Table 5C1E-LFNO'!AJ44</f>
        <v>-4468.0049999999992</v>
      </c>
      <c r="L43" s="354">
        <f>-'Table 5C1F-Lake Charles Charter'!AH44</f>
        <v>0</v>
      </c>
      <c r="M43" s="354">
        <f>-'Table 5C1G-JS Clark Academy'!AH44</f>
        <v>0</v>
      </c>
      <c r="N43" s="354">
        <f>-'Table 5C1H-Southwest LA Charter'!AH44</f>
        <v>0</v>
      </c>
      <c r="O43" s="354">
        <f>-'Table 5C2 - LA Virtual Admy'!AI42</f>
        <v>-1234</v>
      </c>
      <c r="P43" s="354">
        <f>-'Table 5C3 - LA Connections EBR'!AI42</f>
        <v>-13680</v>
      </c>
      <c r="Q43" s="354">
        <f>-'Table 5E_OJJ'!AG44</f>
        <v>-269</v>
      </c>
      <c r="R43" s="739">
        <f t="shared" si="27"/>
        <v>1415531.3150000002</v>
      </c>
      <c r="S43" s="354"/>
      <c r="T43" s="354"/>
      <c r="U43" s="354"/>
      <c r="V43" s="354">
        <f>'Table 5C1A-Madison Prep'!AO44</f>
        <v>0</v>
      </c>
      <c r="W43" s="354">
        <f>'Table 5C1B-DArbonne'!AO44</f>
        <v>0</v>
      </c>
      <c r="X43" s="354">
        <f>'Table 5C1C-Intl_VIBE'!AO44</f>
        <v>0</v>
      </c>
      <c r="Y43" s="354">
        <f>'Table 5C1D-NOMMA'!AO44</f>
        <v>-25.159999999999997</v>
      </c>
      <c r="Z43" s="354">
        <f>'Table 5C1E-LFNO'!AQ44</f>
        <v>-9.4349999999999881</v>
      </c>
      <c r="AA43" s="354">
        <f>'Table 5C1F-Lake Charles Charter'!AO44</f>
        <v>0</v>
      </c>
      <c r="AB43" s="354">
        <f>'Table 5C1G-JS Clark Academy'!AO44</f>
        <v>0</v>
      </c>
      <c r="AC43" s="354">
        <f>'Table 5C1H-Southwest LA Charter'!AO44</f>
        <v>0</v>
      </c>
      <c r="AD43" s="354">
        <f>'Table 5C2 - LA Virtual Admy'!AP42</f>
        <v>-11</v>
      </c>
      <c r="AE43" s="354">
        <f>'Table 5C3 - LA Connections EBR'!AP42</f>
        <v>-14</v>
      </c>
      <c r="AF43" s="739">
        <f t="shared" si="28"/>
        <v>1415471.7200000002</v>
      </c>
      <c r="AG43" s="733"/>
      <c r="AI43" s="733"/>
      <c r="AJ43" s="733"/>
      <c r="AK43" s="733"/>
      <c r="AM43"/>
      <c r="AV43"/>
    </row>
    <row r="44" spans="1:48">
      <c r="A44" s="101">
        <v>39</v>
      </c>
      <c r="B44" s="299" t="s">
        <v>140</v>
      </c>
      <c r="C44" s="309">
        <f>'Table 2_State with Midyear Adjs'!AQ45</f>
        <v>1060421</v>
      </c>
      <c r="D44" s="354">
        <f>-'Table 5B2_RSD_LA'!AL23</f>
        <v>-73828.75</v>
      </c>
      <c r="E44" s="354"/>
      <c r="F44" s="354">
        <f>-'Table 5C1A-Madison Prep'!AH45</f>
        <v>0</v>
      </c>
      <c r="G44" s="354">
        <f>-'Table 5C1B-DArbonne'!AH45</f>
        <v>0</v>
      </c>
      <c r="H44" s="354">
        <f>-'Table 5C1C-Intl_VIBE'!AH45</f>
        <v>0</v>
      </c>
      <c r="I44" s="354">
        <f>-'Table 5C1D-NOMMA'!AH45</f>
        <v>0</v>
      </c>
      <c r="J44" s="354"/>
      <c r="K44" s="354">
        <f>-'Table 5C1E-LFNO'!AJ45</f>
        <v>0</v>
      </c>
      <c r="L44" s="354">
        <f>-'Table 5C1F-Lake Charles Charter'!AH45</f>
        <v>0</v>
      </c>
      <c r="M44" s="354">
        <f>-'Table 5C1G-JS Clark Academy'!AH45</f>
        <v>0</v>
      </c>
      <c r="N44" s="354">
        <f>-'Table 5C1H-Southwest LA Charter'!AH45</f>
        <v>0</v>
      </c>
      <c r="O44" s="354">
        <f>-'Table 5C2 - LA Virtual Admy'!AI43</f>
        <v>236</v>
      </c>
      <c r="P44" s="354">
        <f>-'Table 5C3 - LA Connections EBR'!AI43</f>
        <v>-1127</v>
      </c>
      <c r="Q44" s="354">
        <f>-'Table 5E_OJJ'!AG45</f>
        <v>-665</v>
      </c>
      <c r="R44" s="739">
        <f t="shared" si="27"/>
        <v>985036.25</v>
      </c>
      <c r="S44" s="354" t="str">
        <f>'Table 5B2_RSD_LA'!AD23</f>
        <v>N/A</v>
      </c>
      <c r="T44" s="354" t="str">
        <f>'Table 5B2_RSD_LA'!AE23</f>
        <v>N/A</v>
      </c>
      <c r="U44" s="354"/>
      <c r="V44" s="354">
        <f>'Table 5C1A-Madison Prep'!AO45</f>
        <v>0</v>
      </c>
      <c r="W44" s="354">
        <f>'Table 5C1B-DArbonne'!AO45</f>
        <v>0</v>
      </c>
      <c r="X44" s="354">
        <f>'Table 5C1C-Intl_VIBE'!AO45</f>
        <v>0</v>
      </c>
      <c r="Y44" s="354">
        <f>'Table 5C1D-NOMMA'!AO45</f>
        <v>0</v>
      </c>
      <c r="Z44" s="354">
        <f>'Table 5C1E-LFNO'!AQ45</f>
        <v>0</v>
      </c>
      <c r="AA44" s="354">
        <f>'Table 5C1F-Lake Charles Charter'!AO45</f>
        <v>0</v>
      </c>
      <c r="AB44" s="354">
        <f>'Table 5C1G-JS Clark Academy'!AO45</f>
        <v>0</v>
      </c>
      <c r="AC44" s="354">
        <f>'Table 5C1H-Southwest LA Charter'!AO45</f>
        <v>0</v>
      </c>
      <c r="AD44" s="354">
        <f>'Table 5C2 - LA Virtual Admy'!AP43</f>
        <v>0</v>
      </c>
      <c r="AE44" s="354">
        <f>'Table 5C3 - LA Connections EBR'!AP43</f>
        <v>-1</v>
      </c>
      <c r="AF44" s="739">
        <f t="shared" si="28"/>
        <v>985035.25</v>
      </c>
      <c r="AG44" s="741"/>
      <c r="AI44" s="566"/>
      <c r="AJ44" s="566"/>
      <c r="AK44" s="566"/>
      <c r="AM44"/>
      <c r="AV44"/>
    </row>
    <row r="45" spans="1:48">
      <c r="A45" s="102">
        <v>40</v>
      </c>
      <c r="B45" s="300" t="s">
        <v>141</v>
      </c>
      <c r="C45" s="318">
        <f>'Table 2_State with Midyear Adjs'!AQ46</f>
        <v>11025637</v>
      </c>
      <c r="D45" s="355"/>
      <c r="E45" s="355"/>
      <c r="F45" s="355">
        <f>-'Table 5C1A-Madison Prep'!AH46</f>
        <v>0</v>
      </c>
      <c r="G45" s="355">
        <f>-'Table 5C1B-DArbonne'!AH46</f>
        <v>0</v>
      </c>
      <c r="H45" s="355">
        <f>-'Table 5C1C-Intl_VIBE'!AH46</f>
        <v>0</v>
      </c>
      <c r="I45" s="355">
        <f>-'Table 5C1D-NOMMA'!AH46</f>
        <v>0</v>
      </c>
      <c r="J45" s="355"/>
      <c r="K45" s="355">
        <f>-'Table 5C1E-LFNO'!AJ46</f>
        <v>0</v>
      </c>
      <c r="L45" s="355">
        <f>-'Table 5C1F-Lake Charles Charter'!AH46</f>
        <v>0</v>
      </c>
      <c r="M45" s="355">
        <f>-'Table 5C1G-JS Clark Academy'!AH46</f>
        <v>0</v>
      </c>
      <c r="N45" s="355">
        <f>-'Table 5C1H-Southwest LA Charter'!AH46</f>
        <v>0</v>
      </c>
      <c r="O45" s="355">
        <f>-'Table 5C2 - LA Virtual Admy'!AI44</f>
        <v>-6004</v>
      </c>
      <c r="P45" s="355">
        <f>-'Table 5C3 - LA Connections EBR'!AI44</f>
        <v>-2512</v>
      </c>
      <c r="Q45" s="355">
        <f>-'Table 5E_OJJ'!AG46</f>
        <v>-697</v>
      </c>
      <c r="R45" s="740">
        <f t="shared" si="27"/>
        <v>11016424</v>
      </c>
      <c r="S45" s="355"/>
      <c r="T45" s="355"/>
      <c r="U45" s="355"/>
      <c r="V45" s="355">
        <f>'Table 5C1A-Madison Prep'!AO46</f>
        <v>0</v>
      </c>
      <c r="W45" s="355">
        <f>'Table 5C1B-DArbonne'!AO46</f>
        <v>0</v>
      </c>
      <c r="X45" s="355">
        <f>'Table 5C1C-Intl_VIBE'!AO46</f>
        <v>0</v>
      </c>
      <c r="Y45" s="355">
        <f>'Table 5C1D-NOMMA'!AO46</f>
        <v>0</v>
      </c>
      <c r="Z45" s="355">
        <f>'Table 5C1E-LFNO'!AQ46</f>
        <v>0</v>
      </c>
      <c r="AA45" s="355">
        <f>'Table 5C1F-Lake Charles Charter'!AO46</f>
        <v>0</v>
      </c>
      <c r="AB45" s="355">
        <f>'Table 5C1G-JS Clark Academy'!AO46</f>
        <v>0</v>
      </c>
      <c r="AC45" s="355">
        <f>'Table 5C1H-Southwest LA Charter'!AO46</f>
        <v>0</v>
      </c>
      <c r="AD45" s="355">
        <f>'Table 5C2 - LA Virtual Admy'!AP44</f>
        <v>-1</v>
      </c>
      <c r="AE45" s="355">
        <f>'Table 5C3 - LA Connections EBR'!AP44</f>
        <v>-1</v>
      </c>
      <c r="AF45" s="740">
        <f t="shared" si="28"/>
        <v>11016422</v>
      </c>
      <c r="AG45" s="47"/>
      <c r="AM45"/>
      <c r="AV45"/>
    </row>
    <row r="46" spans="1:48">
      <c r="A46" s="101">
        <v>41</v>
      </c>
      <c r="B46" s="299" t="s">
        <v>142</v>
      </c>
      <c r="C46" s="309">
        <f>'Table 2_State with Midyear Adjs'!AQ47</f>
        <v>292203</v>
      </c>
      <c r="D46" s="354"/>
      <c r="E46" s="354"/>
      <c r="F46" s="354">
        <f>-'Table 5C1A-Madison Prep'!AH47</f>
        <v>0</v>
      </c>
      <c r="G46" s="354">
        <f>-'Table 5C1B-DArbonne'!AH47</f>
        <v>0</v>
      </c>
      <c r="H46" s="354">
        <f>-'Table 5C1C-Intl_VIBE'!AH47</f>
        <v>0</v>
      </c>
      <c r="I46" s="354">
        <f>-'Table 5C1D-NOMMA'!AH47</f>
        <v>0</v>
      </c>
      <c r="J46" s="354"/>
      <c r="K46" s="354">
        <f>-'Table 5C1E-LFNO'!AJ47</f>
        <v>0</v>
      </c>
      <c r="L46" s="354">
        <f>-'Table 5C1F-Lake Charles Charter'!AH47</f>
        <v>0</v>
      </c>
      <c r="M46" s="354">
        <f>-'Table 5C1G-JS Clark Academy'!AH47</f>
        <v>0</v>
      </c>
      <c r="N46" s="354">
        <f>-'Table 5C1H-Southwest LA Charter'!AH47</f>
        <v>0</v>
      </c>
      <c r="O46" s="354">
        <f>-'Table 5C2 - LA Virtual Admy'!AI45</f>
        <v>216</v>
      </c>
      <c r="P46" s="354">
        <f>-'Table 5C3 - LA Connections EBR'!AI45</f>
        <v>516</v>
      </c>
      <c r="Q46" s="354">
        <f>-'Table 5E_OJJ'!AG47</f>
        <v>-552</v>
      </c>
      <c r="R46" s="739">
        <f t="shared" si="27"/>
        <v>292383</v>
      </c>
      <c r="S46" s="354"/>
      <c r="T46" s="354"/>
      <c r="U46" s="354"/>
      <c r="V46" s="354">
        <f>'Table 5C1A-Madison Prep'!AO47</f>
        <v>0</v>
      </c>
      <c r="W46" s="354">
        <f>'Table 5C1B-DArbonne'!AO47</f>
        <v>0</v>
      </c>
      <c r="X46" s="354">
        <f>'Table 5C1C-Intl_VIBE'!AO47</f>
        <v>0</v>
      </c>
      <c r="Y46" s="354">
        <f>'Table 5C1D-NOMMA'!AO47</f>
        <v>0</v>
      </c>
      <c r="Z46" s="354">
        <f>'Table 5C1E-LFNO'!AQ47</f>
        <v>0</v>
      </c>
      <c r="AA46" s="354">
        <f>'Table 5C1F-Lake Charles Charter'!AO47</f>
        <v>0</v>
      </c>
      <c r="AB46" s="354">
        <f>'Table 5C1G-JS Clark Academy'!AO47</f>
        <v>0</v>
      </c>
      <c r="AC46" s="354">
        <f>'Table 5C1H-Southwest LA Charter'!AO47</f>
        <v>0</v>
      </c>
      <c r="AD46" s="354">
        <f>'Table 5C2 - LA Virtual Admy'!AP45</f>
        <v>0</v>
      </c>
      <c r="AE46" s="354">
        <f>'Table 5C3 - LA Connections EBR'!AP45</f>
        <v>0</v>
      </c>
      <c r="AF46" s="739">
        <f t="shared" si="28"/>
        <v>292383</v>
      </c>
      <c r="AG46" s="47"/>
      <c r="AM46"/>
      <c r="AV46"/>
    </row>
    <row r="47" spans="1:48">
      <c r="A47" s="101">
        <v>42</v>
      </c>
      <c r="B47" s="299" t="s">
        <v>143</v>
      </c>
      <c r="C47" s="309">
        <f>'Table 2_State with Midyear Adjs'!AQ48</f>
        <v>2074938</v>
      </c>
      <c r="D47" s="354"/>
      <c r="E47" s="354"/>
      <c r="F47" s="354">
        <f>-'Table 5C1A-Madison Prep'!AH48</f>
        <v>0</v>
      </c>
      <c r="G47" s="354">
        <f>-'Table 5C1B-DArbonne'!AH48</f>
        <v>0</v>
      </c>
      <c r="H47" s="354">
        <f>-'Table 5C1C-Intl_VIBE'!AH48</f>
        <v>0</v>
      </c>
      <c r="I47" s="354">
        <f>-'Table 5C1D-NOMMA'!AH48</f>
        <v>0</v>
      </c>
      <c r="J47" s="354"/>
      <c r="K47" s="354">
        <f>-'Table 5C1E-LFNO'!AJ48</f>
        <v>0</v>
      </c>
      <c r="L47" s="354">
        <f>-'Table 5C1F-Lake Charles Charter'!AH48</f>
        <v>0</v>
      </c>
      <c r="M47" s="354">
        <f>-'Table 5C1G-JS Clark Academy'!AH48</f>
        <v>0</v>
      </c>
      <c r="N47" s="354">
        <f>-'Table 5C1H-Southwest LA Charter'!AH48</f>
        <v>0</v>
      </c>
      <c r="O47" s="354">
        <f>-'Table 5C2 - LA Virtual Admy'!AI46</f>
        <v>-2212</v>
      </c>
      <c r="P47" s="354">
        <f>-'Table 5C3 - LA Connections EBR'!AI46</f>
        <v>-1800</v>
      </c>
      <c r="Q47" s="354">
        <f>-'Table 5E_OJJ'!AG48</f>
        <v>-1010</v>
      </c>
      <c r="R47" s="739">
        <f t="shared" si="27"/>
        <v>2069916</v>
      </c>
      <c r="S47" s="354"/>
      <c r="T47" s="354"/>
      <c r="U47" s="354"/>
      <c r="V47" s="354">
        <f>'Table 5C1A-Madison Prep'!AO48</f>
        <v>0</v>
      </c>
      <c r="W47" s="354">
        <f>'Table 5C1B-DArbonne'!AO48</f>
        <v>0</v>
      </c>
      <c r="X47" s="354">
        <f>'Table 5C1C-Intl_VIBE'!AO48</f>
        <v>0</v>
      </c>
      <c r="Y47" s="354">
        <f>'Table 5C1D-NOMMA'!AO48</f>
        <v>0</v>
      </c>
      <c r="Z47" s="354">
        <f>'Table 5C1E-LFNO'!AQ48</f>
        <v>0</v>
      </c>
      <c r="AA47" s="354">
        <f>'Table 5C1F-Lake Charles Charter'!AO48</f>
        <v>0</v>
      </c>
      <c r="AB47" s="354">
        <f>'Table 5C1G-JS Clark Academy'!AO48</f>
        <v>0</v>
      </c>
      <c r="AC47" s="354">
        <f>'Table 5C1H-Southwest LA Charter'!AO48</f>
        <v>0</v>
      </c>
      <c r="AD47" s="354">
        <f>'Table 5C2 - LA Virtual Admy'!AP46</f>
        <v>-7</v>
      </c>
      <c r="AE47" s="354">
        <f>'Table 5C3 - LA Connections EBR'!AP46</f>
        <v>-2</v>
      </c>
      <c r="AF47" s="739">
        <f t="shared" si="28"/>
        <v>2069907</v>
      </c>
      <c r="AG47" s="47"/>
      <c r="AM47"/>
      <c r="AV47"/>
    </row>
    <row r="48" spans="1:48">
      <c r="A48" s="101">
        <v>43</v>
      </c>
      <c r="B48" s="299" t="s">
        <v>144</v>
      </c>
      <c r="C48" s="309">
        <f>'Table 2_State with Midyear Adjs'!AQ49</f>
        <v>2140708</v>
      </c>
      <c r="D48" s="354"/>
      <c r="E48" s="354"/>
      <c r="F48" s="354">
        <f>-'Table 5C1A-Madison Prep'!AH49</f>
        <v>0</v>
      </c>
      <c r="G48" s="354">
        <f>-'Table 5C1B-DArbonne'!AH49</f>
        <v>0</v>
      </c>
      <c r="H48" s="354">
        <f>-'Table 5C1C-Intl_VIBE'!AH49</f>
        <v>0</v>
      </c>
      <c r="I48" s="354">
        <f>-'Table 5C1D-NOMMA'!AH49</f>
        <v>0</v>
      </c>
      <c r="J48" s="354"/>
      <c r="K48" s="354">
        <f>-'Table 5C1E-LFNO'!AJ49</f>
        <v>0</v>
      </c>
      <c r="L48" s="354">
        <f>-'Table 5C1F-Lake Charles Charter'!AH49</f>
        <v>0</v>
      </c>
      <c r="M48" s="354">
        <f>-'Table 5C1G-JS Clark Academy'!AH49</f>
        <v>0</v>
      </c>
      <c r="N48" s="354">
        <f>-'Table 5C1H-Southwest LA Charter'!AH49</f>
        <v>0</v>
      </c>
      <c r="O48" s="354">
        <f>-'Table 5C2 - LA Virtual Admy'!AI47</f>
        <v>-896</v>
      </c>
      <c r="P48" s="354">
        <f>-'Table 5C3 - LA Connections EBR'!AI47</f>
        <v>-3854</v>
      </c>
      <c r="Q48" s="354">
        <f>-'Table 5E_OJJ'!AG49</f>
        <v>-60</v>
      </c>
      <c r="R48" s="739">
        <f t="shared" si="27"/>
        <v>2135898</v>
      </c>
      <c r="S48" s="354"/>
      <c r="T48" s="354"/>
      <c r="U48" s="354"/>
      <c r="V48" s="354">
        <f>'Table 5C1A-Madison Prep'!AO49</f>
        <v>0</v>
      </c>
      <c r="W48" s="354">
        <f>'Table 5C1B-DArbonne'!AO49</f>
        <v>0</v>
      </c>
      <c r="X48" s="354">
        <f>'Table 5C1C-Intl_VIBE'!AO49</f>
        <v>0</v>
      </c>
      <c r="Y48" s="354">
        <f>'Table 5C1D-NOMMA'!AO49</f>
        <v>0</v>
      </c>
      <c r="Z48" s="354">
        <f>'Table 5C1E-LFNO'!AQ49</f>
        <v>0</v>
      </c>
      <c r="AA48" s="354">
        <f>'Table 5C1F-Lake Charles Charter'!AO49</f>
        <v>0</v>
      </c>
      <c r="AB48" s="354">
        <f>'Table 5C1G-JS Clark Academy'!AO49</f>
        <v>0</v>
      </c>
      <c r="AC48" s="354">
        <f>'Table 5C1H-Southwest LA Charter'!AO49</f>
        <v>0</v>
      </c>
      <c r="AD48" s="354">
        <f>'Table 5C2 - LA Virtual Admy'!AP47</f>
        <v>0</v>
      </c>
      <c r="AE48" s="354">
        <f>'Table 5C3 - LA Connections EBR'!AP47</f>
        <v>0</v>
      </c>
      <c r="AF48" s="739">
        <f t="shared" si="28"/>
        <v>2135898</v>
      </c>
      <c r="AG48" s="47"/>
      <c r="AM48"/>
      <c r="AV48"/>
    </row>
    <row r="49" spans="1:48">
      <c r="A49" s="101">
        <v>44</v>
      </c>
      <c r="B49" s="299" t="s">
        <v>145</v>
      </c>
      <c r="C49" s="309">
        <f>'Table 2_State with Midyear Adjs'!AQ50</f>
        <v>2975513</v>
      </c>
      <c r="D49" s="354"/>
      <c r="E49" s="354"/>
      <c r="F49" s="354">
        <f>-'Table 5C1A-Madison Prep'!AH50</f>
        <v>0</v>
      </c>
      <c r="G49" s="354">
        <f>-'Table 5C1B-DArbonne'!AH50</f>
        <v>0</v>
      </c>
      <c r="H49" s="354">
        <f>-'Table 5C1C-Intl_VIBE'!AH50</f>
        <v>-672.13687500000015</v>
      </c>
      <c r="I49" s="354">
        <f>-'Table 5C1D-NOMMA'!AH50</f>
        <v>102.83250000000044</v>
      </c>
      <c r="J49" s="354"/>
      <c r="K49" s="354">
        <f>-'Table 5C1E-LFNO'!AJ50</f>
        <v>-594.16749999999956</v>
      </c>
      <c r="L49" s="354">
        <f>-'Table 5C1F-Lake Charles Charter'!AH50</f>
        <v>0</v>
      </c>
      <c r="M49" s="354">
        <f>-'Table 5C1G-JS Clark Academy'!AH50</f>
        <v>0</v>
      </c>
      <c r="N49" s="354">
        <f>-'Table 5C1H-Southwest LA Charter'!AH50</f>
        <v>0</v>
      </c>
      <c r="O49" s="354">
        <f>-'Table 5C2 - LA Virtual Admy'!AI48</f>
        <v>29</v>
      </c>
      <c r="P49" s="354">
        <f>-'Table 5C3 - LA Connections EBR'!AI48</f>
        <v>-6074</v>
      </c>
      <c r="Q49" s="354">
        <f>-'Table 5E_OJJ'!AG50</f>
        <v>-259</v>
      </c>
      <c r="R49" s="739">
        <f t="shared" si="27"/>
        <v>2968045.5281250002</v>
      </c>
      <c r="S49" s="354"/>
      <c r="T49" s="354"/>
      <c r="U49" s="354"/>
      <c r="V49" s="354">
        <f>'Table 5C1A-Madison Prep'!AO50</f>
        <v>0</v>
      </c>
      <c r="W49" s="354">
        <f>'Table 5C1B-DArbonne'!AO50</f>
        <v>0</v>
      </c>
      <c r="X49" s="354">
        <f>'Table 5C1C-Intl_VIBE'!AO50</f>
        <v>-0.20125000000000171</v>
      </c>
      <c r="Y49" s="354">
        <f>'Table 5C1D-NOMMA'!AO50</f>
        <v>-0.11999999999999744</v>
      </c>
      <c r="Z49" s="354">
        <f>'Table 5C1E-LFNO'!AQ50</f>
        <v>-0.11999999999999744</v>
      </c>
      <c r="AA49" s="354">
        <f>'Table 5C1F-Lake Charles Charter'!AO50</f>
        <v>0</v>
      </c>
      <c r="AB49" s="354">
        <f>'Table 5C1G-JS Clark Academy'!AO50</f>
        <v>0</v>
      </c>
      <c r="AC49" s="354">
        <f>'Table 5C1H-Southwest LA Charter'!AO50</f>
        <v>0</v>
      </c>
      <c r="AD49" s="354">
        <f>'Table 5C2 - LA Virtual Admy'!AP48</f>
        <v>-1</v>
      </c>
      <c r="AE49" s="354">
        <f>'Table 5C3 - LA Connections EBR'!AP48</f>
        <v>0</v>
      </c>
      <c r="AF49" s="739">
        <f t="shared" si="28"/>
        <v>2968044.086875</v>
      </c>
      <c r="AG49" s="47"/>
      <c r="AM49"/>
      <c r="AV49"/>
    </row>
    <row r="50" spans="1:48">
      <c r="A50" s="102">
        <v>45</v>
      </c>
      <c r="B50" s="300" t="s">
        <v>146</v>
      </c>
      <c r="C50" s="318">
        <f>'Table 2_State with Midyear Adjs'!AQ51</f>
        <v>2650232</v>
      </c>
      <c r="D50" s="355"/>
      <c r="E50" s="355"/>
      <c r="F50" s="355">
        <f>-'Table 5C1A-Madison Prep'!AH51</f>
        <v>0</v>
      </c>
      <c r="G50" s="355">
        <f>-'Table 5C1B-DArbonne'!AH51</f>
        <v>0</v>
      </c>
      <c r="H50" s="355">
        <f>-'Table 5C1C-Intl_VIBE'!AH51</f>
        <v>-5418.1025000000009</v>
      </c>
      <c r="I50" s="355">
        <f>-'Table 5C1D-NOMMA'!AH51</f>
        <v>88</v>
      </c>
      <c r="J50" s="355"/>
      <c r="K50" s="355">
        <f>-'Table 5C1E-LFNO'!AJ51</f>
        <v>-1260.4425000000001</v>
      </c>
      <c r="L50" s="355">
        <f>-'Table 5C1F-Lake Charles Charter'!AH51</f>
        <v>0</v>
      </c>
      <c r="M50" s="355">
        <f>-'Table 5C1G-JS Clark Academy'!AH51</f>
        <v>0</v>
      </c>
      <c r="N50" s="355">
        <f>-'Table 5C1H-Southwest LA Charter'!AH51</f>
        <v>0</v>
      </c>
      <c r="O50" s="355">
        <f>-'Table 5C2 - LA Virtual Admy'!AI49</f>
        <v>-2109</v>
      </c>
      <c r="P50" s="355">
        <f>-'Table 5C3 - LA Connections EBR'!AI49</f>
        <v>-58082</v>
      </c>
      <c r="Q50" s="355">
        <f>-'Table 5E_OJJ'!AG51</f>
        <v>-1022</v>
      </c>
      <c r="R50" s="740">
        <f t="shared" si="27"/>
        <v>2582428.4550000001</v>
      </c>
      <c r="S50" s="355"/>
      <c r="T50" s="355"/>
      <c r="U50" s="355"/>
      <c r="V50" s="355">
        <f>'Table 5C1A-Madison Prep'!AO51</f>
        <v>0</v>
      </c>
      <c r="W50" s="355">
        <f>'Table 5C1B-DArbonne'!AO51</f>
        <v>0</v>
      </c>
      <c r="X50" s="1202">
        <f>'Table 5C1C-Intl_VIBE'!AO51</f>
        <v>-9.0000000000003411E-2</v>
      </c>
      <c r="Y50" s="355">
        <f>'Table 5C1D-NOMMA'!AO51</f>
        <v>0</v>
      </c>
      <c r="Z50" s="355">
        <f>'Table 5C1E-LFNO'!AQ51</f>
        <v>-4.7500000000002984E-2</v>
      </c>
      <c r="AA50" s="355">
        <f>'Table 5C1F-Lake Charles Charter'!AO51</f>
        <v>0</v>
      </c>
      <c r="AB50" s="355">
        <f>'Table 5C1G-JS Clark Academy'!AO51</f>
        <v>0</v>
      </c>
      <c r="AC50" s="355">
        <f>'Table 5C1H-Southwest LA Charter'!AO51</f>
        <v>0</v>
      </c>
      <c r="AD50" s="355">
        <f>'Table 5C2 - LA Virtual Admy'!AP49</f>
        <v>0</v>
      </c>
      <c r="AE50" s="355">
        <f>'Table 5C3 - LA Connections EBR'!AP49</f>
        <v>-1</v>
      </c>
      <c r="AF50" s="740">
        <f t="shared" si="28"/>
        <v>2582427.3175000004</v>
      </c>
      <c r="AG50" s="47"/>
      <c r="AM50"/>
      <c r="AV50"/>
    </row>
    <row r="51" spans="1:48">
      <c r="A51" s="101">
        <v>46</v>
      </c>
      <c r="B51" s="299" t="s">
        <v>147</v>
      </c>
      <c r="C51" s="309">
        <f>'Table 2_State with Midyear Adjs'!AQ52</f>
        <v>394523</v>
      </c>
      <c r="D51" s="354">
        <f>-'Table 5B2_RSD_LA'!AL35</f>
        <v>-34548.5</v>
      </c>
      <c r="E51" s="354"/>
      <c r="F51" s="354">
        <f>-'Table 5C1A-Madison Prep'!AH52</f>
        <v>0</v>
      </c>
      <c r="G51" s="354">
        <f>-'Table 5C1B-DArbonne'!AH52</f>
        <v>0</v>
      </c>
      <c r="H51" s="354">
        <f>-'Table 5C1C-Intl_VIBE'!AH52</f>
        <v>0</v>
      </c>
      <c r="I51" s="354">
        <f>-'Table 5C1D-NOMMA'!AH52</f>
        <v>0</v>
      </c>
      <c r="J51" s="354"/>
      <c r="K51" s="354">
        <f>-'Table 5C1E-LFNO'!AJ52</f>
        <v>0</v>
      </c>
      <c r="L51" s="354">
        <f>-'Table 5C1F-Lake Charles Charter'!AH52</f>
        <v>0</v>
      </c>
      <c r="M51" s="354">
        <f>-'Table 5C1G-JS Clark Academy'!AH52</f>
        <v>0</v>
      </c>
      <c r="N51" s="354">
        <f>-'Table 5C1H-Southwest LA Charter'!AH52</f>
        <v>0</v>
      </c>
      <c r="O51" s="354">
        <f>-'Table 5C2 - LA Virtual Admy'!AI50</f>
        <v>-1520</v>
      </c>
      <c r="P51" s="354">
        <f>-'Table 5C3 - LA Connections EBR'!AI50</f>
        <v>-4230</v>
      </c>
      <c r="Q51" s="354">
        <f>-'Table 5E_OJJ'!AG52</f>
        <v>0</v>
      </c>
      <c r="R51" s="739">
        <f t="shared" si="27"/>
        <v>354224.5</v>
      </c>
      <c r="S51" s="354"/>
      <c r="T51" s="354"/>
      <c r="U51" s="354"/>
      <c r="V51" s="354">
        <f>'Table 5C1A-Madison Prep'!AO52</f>
        <v>0</v>
      </c>
      <c r="W51" s="354">
        <f>'Table 5C1B-DArbonne'!AO52</f>
        <v>0</v>
      </c>
      <c r="X51" s="354">
        <f>'Table 5C1C-Intl_VIBE'!AO52</f>
        <v>0</v>
      </c>
      <c r="Y51" s="354">
        <f>'Table 5C1D-NOMMA'!AO52</f>
        <v>0</v>
      </c>
      <c r="Z51" s="354">
        <f>'Table 5C1E-LFNO'!AQ52</f>
        <v>0</v>
      </c>
      <c r="AA51" s="354">
        <f>'Table 5C1F-Lake Charles Charter'!AO52</f>
        <v>0</v>
      </c>
      <c r="AB51" s="354">
        <f>'Table 5C1G-JS Clark Academy'!AO52</f>
        <v>0</v>
      </c>
      <c r="AC51" s="354">
        <f>'Table 5C1H-Southwest LA Charter'!AO52</f>
        <v>0</v>
      </c>
      <c r="AD51" s="354">
        <f>'Table 5C2 - LA Virtual Admy'!AP50</f>
        <v>0</v>
      </c>
      <c r="AE51" s="354">
        <f>'Table 5C3 - LA Connections EBR'!AP50</f>
        <v>0</v>
      </c>
      <c r="AF51" s="739">
        <f t="shared" si="28"/>
        <v>354224.5</v>
      </c>
      <c r="AG51" s="47"/>
      <c r="AM51"/>
      <c r="AV51"/>
    </row>
    <row r="52" spans="1:48">
      <c r="A52" s="101">
        <v>47</v>
      </c>
      <c r="B52" s="299" t="s">
        <v>148</v>
      </c>
      <c r="C52" s="309">
        <f>'Table 2_State with Midyear Adjs'!AQ53</f>
        <v>1281460</v>
      </c>
      <c r="D52" s="354"/>
      <c r="E52" s="354"/>
      <c r="F52" s="354">
        <f>-'Table 5C1A-Madison Prep'!AH53</f>
        <v>0</v>
      </c>
      <c r="G52" s="354">
        <f>-'Table 5C1B-DArbonne'!AH53</f>
        <v>0</v>
      </c>
      <c r="H52" s="354">
        <f>-'Table 5C1C-Intl_VIBE'!AH53</f>
        <v>0</v>
      </c>
      <c r="I52" s="354">
        <f>-'Table 5C1D-NOMMA'!AH53</f>
        <v>0</v>
      </c>
      <c r="J52" s="354"/>
      <c r="K52" s="354">
        <f>-'Table 5C1E-LFNO'!AJ53</f>
        <v>0</v>
      </c>
      <c r="L52" s="354">
        <f>-'Table 5C1F-Lake Charles Charter'!AH53</f>
        <v>0</v>
      </c>
      <c r="M52" s="354">
        <f>-'Table 5C1G-JS Clark Academy'!AH53</f>
        <v>0</v>
      </c>
      <c r="N52" s="354">
        <f>-'Table 5C1H-Southwest LA Charter'!AH53</f>
        <v>0</v>
      </c>
      <c r="O52" s="354">
        <f>-'Table 5C2 - LA Virtual Admy'!AI51</f>
        <v>-1482</v>
      </c>
      <c r="P52" s="354">
        <f>-'Table 5C3 - LA Connections EBR'!AI51</f>
        <v>-2264</v>
      </c>
      <c r="Q52" s="354">
        <f>-'Table 5E_OJJ'!AG53</f>
        <v>0</v>
      </c>
      <c r="R52" s="739">
        <f t="shared" si="27"/>
        <v>1277714</v>
      </c>
      <c r="S52" s="354"/>
      <c r="T52" s="354"/>
      <c r="U52" s="354"/>
      <c r="V52" s="354">
        <f>'Table 5C1A-Madison Prep'!AO53</f>
        <v>0</v>
      </c>
      <c r="W52" s="354">
        <f>'Table 5C1B-DArbonne'!AO53</f>
        <v>0</v>
      </c>
      <c r="X52" s="354">
        <f>'Table 5C1C-Intl_VIBE'!AO53</f>
        <v>0</v>
      </c>
      <c r="Y52" s="354">
        <f>'Table 5C1D-NOMMA'!AO53</f>
        <v>0</v>
      </c>
      <c r="Z52" s="354">
        <f>'Table 5C1E-LFNO'!AQ53</f>
        <v>0</v>
      </c>
      <c r="AA52" s="354">
        <f>'Table 5C1F-Lake Charles Charter'!AO53</f>
        <v>0</v>
      </c>
      <c r="AB52" s="354">
        <f>'Table 5C1G-JS Clark Academy'!AO53</f>
        <v>0</v>
      </c>
      <c r="AC52" s="354">
        <f>'Table 5C1H-Southwest LA Charter'!AO53</f>
        <v>0</v>
      </c>
      <c r="AD52" s="354">
        <f>'Table 5C2 - LA Virtual Admy'!AP51</f>
        <v>0</v>
      </c>
      <c r="AE52" s="354">
        <f>'Table 5C3 - LA Connections EBR'!AP51</f>
        <v>0</v>
      </c>
      <c r="AF52" s="739">
        <f t="shared" si="28"/>
        <v>1277714</v>
      </c>
      <c r="AG52" s="47"/>
      <c r="AM52"/>
      <c r="AV52"/>
    </row>
    <row r="53" spans="1:48">
      <c r="A53" s="101">
        <v>48</v>
      </c>
      <c r="B53" s="299" t="s">
        <v>217</v>
      </c>
      <c r="C53" s="309">
        <f>'Table 2_State with Midyear Adjs'!AQ54</f>
        <v>2482110</v>
      </c>
      <c r="D53" s="354"/>
      <c r="E53" s="354"/>
      <c r="F53" s="354">
        <f>-'Table 5C1A-Madison Prep'!AH54</f>
        <v>0</v>
      </c>
      <c r="G53" s="354">
        <f>-'Table 5C1B-DArbonne'!AH54</f>
        <v>0</v>
      </c>
      <c r="H53" s="354">
        <f>-'Table 5C1C-Intl_VIBE'!AH54</f>
        <v>-335.15750000000025</v>
      </c>
      <c r="I53" s="354">
        <f>-'Table 5C1D-NOMMA'!AH54</f>
        <v>0</v>
      </c>
      <c r="J53" s="354"/>
      <c r="K53" s="354">
        <f>-'Table 5C1E-LFNO'!AJ54</f>
        <v>0</v>
      </c>
      <c r="L53" s="354">
        <f>-'Table 5C1F-Lake Charles Charter'!AH54</f>
        <v>0</v>
      </c>
      <c r="M53" s="354">
        <f>-'Table 5C1G-JS Clark Academy'!AH54</f>
        <v>0</v>
      </c>
      <c r="N53" s="354">
        <f>-'Table 5C1H-Southwest LA Charter'!AH54</f>
        <v>0</v>
      </c>
      <c r="O53" s="354">
        <f>-'Table 5C2 - LA Virtual Admy'!AI52</f>
        <v>-15533</v>
      </c>
      <c r="P53" s="354">
        <f>-'Table 5C3 - LA Connections EBR'!AI52</f>
        <v>-10948</v>
      </c>
      <c r="Q53" s="354">
        <f>-'Table 5E_OJJ'!AG54</f>
        <v>0</v>
      </c>
      <c r="R53" s="739">
        <f t="shared" si="27"/>
        <v>2455293.8424999998</v>
      </c>
      <c r="S53" s="354"/>
      <c r="T53" s="354"/>
      <c r="U53" s="354"/>
      <c r="V53" s="354">
        <f>'Table 5C1A-Madison Prep'!AO54</f>
        <v>0</v>
      </c>
      <c r="W53" s="354">
        <f>'Table 5C1B-DArbonne'!AO54</f>
        <v>0</v>
      </c>
      <c r="X53" s="354">
        <f>'Table 5C1C-Intl_VIBE'!AO54</f>
        <v>-0.4599999999999973</v>
      </c>
      <c r="Y53" s="354">
        <f>'Table 5C1D-NOMMA'!AO54</f>
        <v>0</v>
      </c>
      <c r="Z53" s="354">
        <f>'Table 5C1E-LFNO'!AQ54</f>
        <v>0</v>
      </c>
      <c r="AA53" s="354">
        <f>'Table 5C1F-Lake Charles Charter'!AO54</f>
        <v>0</v>
      </c>
      <c r="AB53" s="354">
        <f>'Table 5C1G-JS Clark Academy'!AO54</f>
        <v>0</v>
      </c>
      <c r="AC53" s="354">
        <f>'Table 5C1H-Southwest LA Charter'!AO54</f>
        <v>0</v>
      </c>
      <c r="AD53" s="354">
        <f>'Table 5C2 - LA Virtual Admy'!AP52</f>
        <v>-6</v>
      </c>
      <c r="AE53" s="354">
        <f>'Table 5C3 - LA Connections EBR'!AP52</f>
        <v>-3</v>
      </c>
      <c r="AF53" s="739">
        <f t="shared" si="28"/>
        <v>2455284.3824999998</v>
      </c>
      <c r="AG53" s="47"/>
      <c r="AM53"/>
      <c r="AV53"/>
    </row>
    <row r="54" spans="1:48">
      <c r="A54" s="101">
        <v>49</v>
      </c>
      <c r="B54" s="299" t="s">
        <v>149</v>
      </c>
      <c r="C54" s="309">
        <f>'Table 2_State with Midyear Adjs'!AQ55</f>
        <v>6546119</v>
      </c>
      <c r="D54" s="354"/>
      <c r="E54" s="354"/>
      <c r="F54" s="354">
        <f>-'Table 5C1A-Madison Prep'!AH55</f>
        <v>0</v>
      </c>
      <c r="G54" s="354">
        <f>-'Table 5C1B-DArbonne'!AH55</f>
        <v>0</v>
      </c>
      <c r="H54" s="354">
        <f>-'Table 5C1C-Intl_VIBE'!AH55</f>
        <v>0</v>
      </c>
      <c r="I54" s="354">
        <f>-'Table 5C1D-NOMMA'!AH55</f>
        <v>0</v>
      </c>
      <c r="J54" s="354"/>
      <c r="K54" s="354">
        <f>-'Table 5C1E-LFNO'!AJ55</f>
        <v>0</v>
      </c>
      <c r="L54" s="354">
        <f>-'Table 5C1F-Lake Charles Charter'!AH55</f>
        <v>0</v>
      </c>
      <c r="M54" s="354">
        <f>-'Table 5C1G-JS Clark Academy'!AH55</f>
        <v>-31699.609375</v>
      </c>
      <c r="N54" s="354">
        <f>-'Table 5C1H-Southwest LA Charter'!AH55</f>
        <v>0</v>
      </c>
      <c r="O54" s="354">
        <f>-'Table 5C2 - LA Virtual Admy'!AI53</f>
        <v>-6669</v>
      </c>
      <c r="P54" s="354">
        <f>-'Table 5C3 - LA Connections EBR'!AI53</f>
        <v>-9205</v>
      </c>
      <c r="Q54" s="354">
        <f>-'Table 5E_OJJ'!AG55</f>
        <v>-1010</v>
      </c>
      <c r="R54" s="739">
        <f t="shared" si="27"/>
        <v>6497535.390625</v>
      </c>
      <c r="S54" s="354"/>
      <c r="T54" s="354"/>
      <c r="U54" s="354"/>
      <c r="V54" s="354">
        <f>'Table 5C1A-Madison Prep'!AO55</f>
        <v>0</v>
      </c>
      <c r="W54" s="354">
        <f>'Table 5C1B-DArbonne'!AO55</f>
        <v>0</v>
      </c>
      <c r="X54" s="354">
        <f>'Table 5C1C-Intl_VIBE'!AO55</f>
        <v>0</v>
      </c>
      <c r="Y54" s="354">
        <f>'Table 5C1D-NOMMA'!AO55</f>
        <v>0</v>
      </c>
      <c r="Z54" s="354">
        <f>'Table 5C1E-LFNO'!AQ55</f>
        <v>0</v>
      </c>
      <c r="AA54" s="354">
        <f>'Table 5C1F-Lake Charles Charter'!AO55</f>
        <v>0</v>
      </c>
      <c r="AB54" s="354">
        <f>'Table 5C1G-JS Clark Academy'!AO55</f>
        <v>-4.3125</v>
      </c>
      <c r="AC54" s="354">
        <f>'Table 5C1H-Southwest LA Charter'!AO55</f>
        <v>0</v>
      </c>
      <c r="AD54" s="354">
        <f>'Table 5C2 - LA Virtual Admy'!AP53</f>
        <v>-1</v>
      </c>
      <c r="AE54" s="354">
        <f>'Table 5C3 - LA Connections EBR'!AP53</f>
        <v>-1</v>
      </c>
      <c r="AF54" s="739">
        <f t="shared" si="28"/>
        <v>6497529.078125</v>
      </c>
      <c r="AG54" s="47"/>
      <c r="AM54"/>
      <c r="AV54"/>
    </row>
    <row r="55" spans="1:48">
      <c r="A55" s="102">
        <v>50</v>
      </c>
      <c r="B55" s="300" t="s">
        <v>150</v>
      </c>
      <c r="C55" s="318">
        <f>'Table 2_State with Midyear Adjs'!AQ56</f>
        <v>3843184</v>
      </c>
      <c r="D55" s="355"/>
      <c r="E55" s="355"/>
      <c r="F55" s="355">
        <f>-'Table 5C1A-Madison Prep'!AH56</f>
        <v>0</v>
      </c>
      <c r="G55" s="355">
        <f>-'Table 5C1B-DArbonne'!AH56</f>
        <v>0</v>
      </c>
      <c r="H55" s="355">
        <f>-'Table 5C1C-Intl_VIBE'!AH56</f>
        <v>0</v>
      </c>
      <c r="I55" s="355">
        <f>-'Table 5C1D-NOMMA'!AH56</f>
        <v>0</v>
      </c>
      <c r="J55" s="355"/>
      <c r="K55" s="355">
        <f>-'Table 5C1E-LFNO'!AJ56</f>
        <v>0</v>
      </c>
      <c r="L55" s="355">
        <f>-'Table 5C1F-Lake Charles Charter'!AH56</f>
        <v>0</v>
      </c>
      <c r="M55" s="355">
        <f>-'Table 5C1G-JS Clark Academy'!AH56</f>
        <v>0</v>
      </c>
      <c r="N55" s="355">
        <f>-'Table 5C1H-Southwest LA Charter'!AH56</f>
        <v>0</v>
      </c>
      <c r="O55" s="355">
        <f>-'Table 5C2 - LA Virtual Admy'!AI54</f>
        <v>-1996</v>
      </c>
      <c r="P55" s="355">
        <f>-'Table 5C3 - LA Connections EBR'!AI54</f>
        <v>2298</v>
      </c>
      <c r="Q55" s="355">
        <f>-'Table 5E_OJJ'!AG56</f>
        <v>-537</v>
      </c>
      <c r="R55" s="740">
        <f t="shared" si="27"/>
        <v>3842949</v>
      </c>
      <c r="S55" s="355"/>
      <c r="T55" s="355"/>
      <c r="U55" s="355"/>
      <c r="V55" s="355">
        <f>'Table 5C1A-Madison Prep'!AO56</f>
        <v>0</v>
      </c>
      <c r="W55" s="355">
        <f>'Table 5C1B-DArbonne'!AO56</f>
        <v>0</v>
      </c>
      <c r="X55" s="355">
        <f>'Table 5C1C-Intl_VIBE'!AO56</f>
        <v>0</v>
      </c>
      <c r="Y55" s="355">
        <f>'Table 5C1D-NOMMA'!AO56</f>
        <v>0</v>
      </c>
      <c r="Z55" s="355">
        <f>'Table 5C1E-LFNO'!AQ56</f>
        <v>0</v>
      </c>
      <c r="AA55" s="355">
        <f>'Table 5C1F-Lake Charles Charter'!AO56</f>
        <v>0</v>
      </c>
      <c r="AB55" s="355">
        <f>'Table 5C1G-JS Clark Academy'!AO56</f>
        <v>0</v>
      </c>
      <c r="AC55" s="355">
        <f>'Table 5C1H-Southwest LA Charter'!AO56</f>
        <v>0</v>
      </c>
      <c r="AD55" s="355">
        <f>'Table 5C2 - LA Virtual Admy'!AP54</f>
        <v>0</v>
      </c>
      <c r="AE55" s="355">
        <f>'Table 5C3 - LA Connections EBR'!AP54</f>
        <v>0</v>
      </c>
      <c r="AF55" s="740">
        <f t="shared" si="28"/>
        <v>3842949</v>
      </c>
      <c r="AG55" s="47"/>
      <c r="AM55"/>
      <c r="AV55"/>
    </row>
    <row r="56" spans="1:48">
      <c r="A56" s="101">
        <v>51</v>
      </c>
      <c r="B56" s="299" t="s">
        <v>151</v>
      </c>
      <c r="C56" s="309">
        <f>'Table 2_State with Midyear Adjs'!AQ57</f>
        <v>4074110</v>
      </c>
      <c r="D56" s="354"/>
      <c r="E56" s="354"/>
      <c r="F56" s="354">
        <f>-'Table 5C1A-Madison Prep'!AH57</f>
        <v>0</v>
      </c>
      <c r="G56" s="354">
        <f>-'Table 5C1B-DArbonne'!AH57</f>
        <v>0</v>
      </c>
      <c r="H56" s="354">
        <f>-'Table 5C1C-Intl_VIBE'!AH57</f>
        <v>0</v>
      </c>
      <c r="I56" s="354">
        <f>-'Table 5C1D-NOMMA'!AH57</f>
        <v>0</v>
      </c>
      <c r="J56" s="354"/>
      <c r="K56" s="354">
        <f>-'Table 5C1E-LFNO'!AJ57</f>
        <v>0</v>
      </c>
      <c r="L56" s="354">
        <f>-'Table 5C1F-Lake Charles Charter'!AH57</f>
        <v>0</v>
      </c>
      <c r="M56" s="354">
        <f>-'Table 5C1G-JS Clark Academy'!AH57</f>
        <v>0</v>
      </c>
      <c r="N56" s="354">
        <f>-'Table 5C1H-Southwest LA Charter'!AH57</f>
        <v>0</v>
      </c>
      <c r="O56" s="354">
        <f>-'Table 5C2 - LA Virtual Admy'!AI55</f>
        <v>596</v>
      </c>
      <c r="P56" s="354">
        <f>-'Table 5C3 - LA Connections EBR'!AI55</f>
        <v>1007</v>
      </c>
      <c r="Q56" s="354">
        <f>-'Table 5E_OJJ'!AG57</f>
        <v>-650</v>
      </c>
      <c r="R56" s="739">
        <f t="shared" si="27"/>
        <v>4075063</v>
      </c>
      <c r="S56" s="354"/>
      <c r="T56" s="354"/>
      <c r="U56" s="354"/>
      <c r="V56" s="354">
        <f>'Table 5C1A-Madison Prep'!AO57</f>
        <v>0</v>
      </c>
      <c r="W56" s="354">
        <f>'Table 5C1B-DArbonne'!AO57</f>
        <v>0</v>
      </c>
      <c r="X56" s="354">
        <f>'Table 5C1C-Intl_VIBE'!AO57</f>
        <v>0</v>
      </c>
      <c r="Y56" s="354">
        <f>'Table 5C1D-NOMMA'!AO57</f>
        <v>0</v>
      </c>
      <c r="Z56" s="354">
        <f>'Table 5C1E-LFNO'!AQ57</f>
        <v>0</v>
      </c>
      <c r="AA56" s="354">
        <f>'Table 5C1F-Lake Charles Charter'!AO57</f>
        <v>0</v>
      </c>
      <c r="AB56" s="354">
        <f>'Table 5C1G-JS Clark Academy'!AO57</f>
        <v>0</v>
      </c>
      <c r="AC56" s="354">
        <f>'Table 5C1H-Southwest LA Charter'!AO57</f>
        <v>0</v>
      </c>
      <c r="AD56" s="354">
        <f>'Table 5C2 - LA Virtual Admy'!AP55</f>
        <v>-1</v>
      </c>
      <c r="AE56" s="354">
        <f>'Table 5C3 - LA Connections EBR'!AP55</f>
        <v>-1</v>
      </c>
      <c r="AF56" s="739">
        <f t="shared" si="28"/>
        <v>4075061</v>
      </c>
      <c r="AG56" s="47"/>
      <c r="AM56"/>
      <c r="AV56"/>
    </row>
    <row r="57" spans="1:48">
      <c r="A57" s="101">
        <v>52</v>
      </c>
      <c r="B57" s="299" t="s">
        <v>152</v>
      </c>
      <c r="C57" s="309">
        <f>'Table 2_State with Midyear Adjs'!AQ58</f>
        <v>18064971</v>
      </c>
      <c r="D57" s="354"/>
      <c r="E57" s="354"/>
      <c r="F57" s="354">
        <f>-'Table 5C1A-Madison Prep'!AH58</f>
        <v>0</v>
      </c>
      <c r="G57" s="354">
        <f>-'Table 5C1B-DArbonne'!AH58</f>
        <v>0</v>
      </c>
      <c r="H57" s="354">
        <f>-'Table 5C1C-Intl_VIBE'!AH58</f>
        <v>-2347.8125</v>
      </c>
      <c r="I57" s="354">
        <f>-'Table 5C1D-NOMMA'!AH58</f>
        <v>178.30937500000005</v>
      </c>
      <c r="J57" s="354"/>
      <c r="K57" s="354">
        <f>-'Table 5C1E-LFNO'!AJ58</f>
        <v>-468.88124999999991</v>
      </c>
      <c r="L57" s="354">
        <f>-'Table 5C1F-Lake Charles Charter'!AH58</f>
        <v>0</v>
      </c>
      <c r="M57" s="354">
        <f>-'Table 5C1G-JS Clark Academy'!AH58</f>
        <v>0</v>
      </c>
      <c r="N57" s="354">
        <f>-'Table 5C1H-Southwest LA Charter'!AH58</f>
        <v>0</v>
      </c>
      <c r="O57" s="354">
        <f>-'Table 5C2 - LA Virtual Admy'!AI56</f>
        <v>-20795</v>
      </c>
      <c r="P57" s="354">
        <f>-'Table 5C3 - LA Connections EBR'!AI56</f>
        <v>-88677</v>
      </c>
      <c r="Q57" s="354">
        <f>-'Table 5E_OJJ'!AG58</f>
        <v>-3874</v>
      </c>
      <c r="R57" s="739">
        <f t="shared" si="27"/>
        <v>17948986.615624998</v>
      </c>
      <c r="S57" s="354"/>
      <c r="T57" s="354"/>
      <c r="U57" s="354"/>
      <c r="V57" s="354">
        <f>'Table 5C1A-Madison Prep'!AO58</f>
        <v>0</v>
      </c>
      <c r="W57" s="354">
        <f>'Table 5C1B-DArbonne'!AO58</f>
        <v>0</v>
      </c>
      <c r="X57" s="354">
        <f>'Table 5C1C-Intl_VIBE'!AO58</f>
        <v>-6.7499999999999005E-2</v>
      </c>
      <c r="Y57" s="354">
        <f>'Table 5C1D-NOMMA'!AO58</f>
        <v>-1.1250000000000426E-2</v>
      </c>
      <c r="Z57" s="354">
        <f>'Table 5C1E-LFNO'!AQ58</f>
        <v>-2.2500000000000853E-2</v>
      </c>
      <c r="AA57" s="354">
        <f>'Table 5C1F-Lake Charles Charter'!AO58</f>
        <v>0</v>
      </c>
      <c r="AB57" s="354">
        <f>'Table 5C1G-JS Clark Academy'!AO58</f>
        <v>0</v>
      </c>
      <c r="AC57" s="354">
        <f>'Table 5C1H-Southwest LA Charter'!AO58</f>
        <v>0</v>
      </c>
      <c r="AD57" s="354">
        <f>'Table 5C2 - LA Virtual Admy'!AP56</f>
        <v>-2</v>
      </c>
      <c r="AE57" s="354">
        <f>'Table 5C3 - LA Connections EBR'!AP56</f>
        <v>-2</v>
      </c>
      <c r="AF57" s="739">
        <f t="shared" si="28"/>
        <v>17948982.514374997</v>
      </c>
      <c r="AG57" s="47"/>
      <c r="AM57"/>
      <c r="AV57"/>
    </row>
    <row r="58" spans="1:48">
      <c r="A58" s="101">
        <v>53</v>
      </c>
      <c r="B58" s="299" t="s">
        <v>153</v>
      </c>
      <c r="C58" s="309">
        <f>'Table 2_State with Midyear Adjs'!AQ59</f>
        <v>9095112</v>
      </c>
      <c r="D58" s="354"/>
      <c r="E58" s="354"/>
      <c r="F58" s="354">
        <f>-'Table 5C1A-Madison Prep'!AH59</f>
        <v>0</v>
      </c>
      <c r="G58" s="354">
        <f>-'Table 5C1B-DArbonne'!AH59</f>
        <v>0</v>
      </c>
      <c r="H58" s="354">
        <f>-'Table 5C1C-Intl_VIBE'!AH59</f>
        <v>0</v>
      </c>
      <c r="I58" s="354">
        <f>-'Table 5C1D-NOMMA'!AH59</f>
        <v>0</v>
      </c>
      <c r="J58" s="354"/>
      <c r="K58" s="354">
        <f>-'Table 5C1E-LFNO'!AJ59</f>
        <v>304.5</v>
      </c>
      <c r="L58" s="354">
        <f>-'Table 5C1F-Lake Charles Charter'!AH59</f>
        <v>0</v>
      </c>
      <c r="M58" s="354">
        <f>-'Table 5C1G-JS Clark Academy'!AH59</f>
        <v>0</v>
      </c>
      <c r="N58" s="354">
        <f>-'Table 5C1H-Southwest LA Charter'!AH59</f>
        <v>0</v>
      </c>
      <c r="O58" s="354">
        <f>-'Table 5C2 - LA Virtual Admy'!AI57</f>
        <v>-6049</v>
      </c>
      <c r="P58" s="354">
        <f>-'Table 5C3 - LA Connections EBR'!AI57</f>
        <v>-10257</v>
      </c>
      <c r="Q58" s="354">
        <f>-'Table 5E_OJJ'!AG59</f>
        <v>-1408</v>
      </c>
      <c r="R58" s="739">
        <f t="shared" si="27"/>
        <v>9077702.5</v>
      </c>
      <c r="S58" s="354"/>
      <c r="T58" s="354"/>
      <c r="U58" s="354"/>
      <c r="V58" s="354">
        <f>'Table 5C1A-Madison Prep'!AO59</f>
        <v>0</v>
      </c>
      <c r="W58" s="354">
        <f>'Table 5C1B-DArbonne'!AO59</f>
        <v>0</v>
      </c>
      <c r="X58" s="354">
        <f>'Table 5C1C-Intl_VIBE'!AO59</f>
        <v>0</v>
      </c>
      <c r="Y58" s="354">
        <f>'Table 5C1D-NOMMA'!AO59</f>
        <v>0</v>
      </c>
      <c r="Z58" s="354">
        <f>'Table 5C1E-LFNO'!AQ59</f>
        <v>0</v>
      </c>
      <c r="AA58" s="354">
        <f>'Table 5C1F-Lake Charles Charter'!AO59</f>
        <v>0</v>
      </c>
      <c r="AB58" s="354">
        <f>'Table 5C1G-JS Clark Academy'!AO59</f>
        <v>0</v>
      </c>
      <c r="AC58" s="354">
        <f>'Table 5C1H-Southwest LA Charter'!AO59</f>
        <v>0</v>
      </c>
      <c r="AD58" s="354">
        <f>'Table 5C2 - LA Virtual Admy'!AP57</f>
        <v>0</v>
      </c>
      <c r="AE58" s="354">
        <f>'Table 5C3 - LA Connections EBR'!AP57</f>
        <v>0</v>
      </c>
      <c r="AF58" s="739">
        <f t="shared" si="28"/>
        <v>9077702.5</v>
      </c>
      <c r="AG58" s="47"/>
      <c r="AM58"/>
      <c r="AV58"/>
    </row>
    <row r="59" spans="1:48">
      <c r="A59" s="101">
        <v>54</v>
      </c>
      <c r="B59" s="299" t="s">
        <v>154</v>
      </c>
      <c r="C59" s="309">
        <f>'Table 2_State with Midyear Adjs'!AQ60</f>
        <v>382609</v>
      </c>
      <c r="D59" s="354"/>
      <c r="E59" s="354"/>
      <c r="F59" s="354">
        <f>-'Table 5C1A-Madison Prep'!AH60</f>
        <v>0</v>
      </c>
      <c r="G59" s="354">
        <f>-'Table 5C1B-DArbonne'!AH60</f>
        <v>0</v>
      </c>
      <c r="H59" s="354">
        <f>-'Table 5C1C-Intl_VIBE'!AH60</f>
        <v>0</v>
      </c>
      <c r="I59" s="354">
        <f>-'Table 5C1D-NOMMA'!AH60</f>
        <v>0</v>
      </c>
      <c r="J59" s="354"/>
      <c r="K59" s="354">
        <f>-'Table 5C1E-LFNO'!AJ60</f>
        <v>0</v>
      </c>
      <c r="L59" s="354">
        <f>-'Table 5C1F-Lake Charles Charter'!AH60</f>
        <v>0</v>
      </c>
      <c r="M59" s="354">
        <f>-'Table 5C1G-JS Clark Academy'!AH60</f>
        <v>0</v>
      </c>
      <c r="N59" s="354">
        <f>-'Table 5C1H-Southwest LA Charter'!AH60</f>
        <v>0</v>
      </c>
      <c r="O59" s="354">
        <f>-'Table 5C2 - LA Virtual Admy'!AI58</f>
        <v>54</v>
      </c>
      <c r="P59" s="354">
        <f>-'Table 5C3 - LA Connections EBR'!AI58</f>
        <v>-2853</v>
      </c>
      <c r="Q59" s="354">
        <f>-'Table 5E_OJJ'!AG60</f>
        <v>-555</v>
      </c>
      <c r="R59" s="739">
        <f t="shared" si="27"/>
        <v>379255</v>
      </c>
      <c r="S59" s="354"/>
      <c r="T59" s="354"/>
      <c r="U59" s="354"/>
      <c r="V59" s="354">
        <f>'Table 5C1A-Madison Prep'!AO60</f>
        <v>0</v>
      </c>
      <c r="W59" s="354">
        <f>'Table 5C1B-DArbonne'!AO60</f>
        <v>0</v>
      </c>
      <c r="X59" s="354">
        <f>'Table 5C1C-Intl_VIBE'!AO60</f>
        <v>0</v>
      </c>
      <c r="Y59" s="354">
        <f>'Table 5C1D-NOMMA'!AO60</f>
        <v>0</v>
      </c>
      <c r="Z59" s="354">
        <f>'Table 5C1E-LFNO'!AQ60</f>
        <v>0</v>
      </c>
      <c r="AA59" s="354">
        <f>'Table 5C1F-Lake Charles Charter'!AO60</f>
        <v>0</v>
      </c>
      <c r="AB59" s="354">
        <f>'Table 5C1G-JS Clark Academy'!AO60</f>
        <v>0</v>
      </c>
      <c r="AC59" s="354">
        <f>'Table 5C1H-Southwest LA Charter'!AO60</f>
        <v>0</v>
      </c>
      <c r="AD59" s="354">
        <f>'Table 5C2 - LA Virtual Admy'!AP58</f>
        <v>0</v>
      </c>
      <c r="AE59" s="354">
        <f>'Table 5C3 - LA Connections EBR'!AP58</f>
        <v>0</v>
      </c>
      <c r="AF59" s="739">
        <f t="shared" si="28"/>
        <v>379255</v>
      </c>
      <c r="AG59" s="47"/>
      <c r="AM59"/>
      <c r="AV59"/>
    </row>
    <row r="60" spans="1:48">
      <c r="A60" s="102">
        <v>55</v>
      </c>
      <c r="B60" s="300" t="s">
        <v>155</v>
      </c>
      <c r="C60" s="318">
        <f>'Table 2_State with Midyear Adjs'!AQ61</f>
        <v>7506147</v>
      </c>
      <c r="D60" s="355"/>
      <c r="E60" s="355"/>
      <c r="F60" s="355">
        <f>-'Table 5C1A-Madison Prep'!AH61</f>
        <v>0</v>
      </c>
      <c r="G60" s="355">
        <f>-'Table 5C1B-DArbonne'!AH61</f>
        <v>0</v>
      </c>
      <c r="H60" s="355">
        <f>-'Table 5C1C-Intl_VIBE'!AH61</f>
        <v>0</v>
      </c>
      <c r="I60" s="355">
        <f>-'Table 5C1D-NOMMA'!AH61</f>
        <v>0</v>
      </c>
      <c r="J60" s="355"/>
      <c r="K60" s="355">
        <f>-'Table 5C1E-LFNO'!AJ61</f>
        <v>0</v>
      </c>
      <c r="L60" s="355">
        <f>-'Table 5C1F-Lake Charles Charter'!AH61</f>
        <v>0</v>
      </c>
      <c r="M60" s="355">
        <f>-'Table 5C1G-JS Clark Academy'!AH61</f>
        <v>0</v>
      </c>
      <c r="N60" s="355">
        <f>-'Table 5C1H-Southwest LA Charter'!AH61</f>
        <v>0</v>
      </c>
      <c r="O60" s="355">
        <f>-'Table 5C2 - LA Virtual Admy'!AI59</f>
        <v>-4257</v>
      </c>
      <c r="P60" s="355">
        <f>-'Table 5C3 - LA Connections EBR'!AI59</f>
        <v>-14181</v>
      </c>
      <c r="Q60" s="355">
        <f>-'Table 5E_OJJ'!AG61</f>
        <v>-3444</v>
      </c>
      <c r="R60" s="740">
        <f t="shared" si="27"/>
        <v>7484265</v>
      </c>
      <c r="S60" s="355"/>
      <c r="T60" s="355"/>
      <c r="U60" s="355"/>
      <c r="V60" s="355">
        <f>'Table 5C1A-Madison Prep'!AO61</f>
        <v>0</v>
      </c>
      <c r="W60" s="355">
        <f>'Table 5C1B-DArbonne'!AO61</f>
        <v>0</v>
      </c>
      <c r="X60" s="355">
        <f>'Table 5C1C-Intl_VIBE'!AO61</f>
        <v>0</v>
      </c>
      <c r="Y60" s="355">
        <f>'Table 5C1D-NOMMA'!AO61</f>
        <v>0</v>
      </c>
      <c r="Z60" s="355">
        <f>'Table 5C1E-LFNO'!AQ61</f>
        <v>0</v>
      </c>
      <c r="AA60" s="355">
        <f>'Table 5C1F-Lake Charles Charter'!AO61</f>
        <v>0</v>
      </c>
      <c r="AB60" s="355">
        <f>'Table 5C1G-JS Clark Academy'!AO61</f>
        <v>0</v>
      </c>
      <c r="AC60" s="355">
        <f>'Table 5C1H-Southwest LA Charter'!AO61</f>
        <v>0</v>
      </c>
      <c r="AD60" s="355">
        <f>'Table 5C2 - LA Virtual Admy'!AP59</f>
        <v>0</v>
      </c>
      <c r="AE60" s="355">
        <f>'Table 5C3 - LA Connections EBR'!AP59</f>
        <v>0</v>
      </c>
      <c r="AF60" s="740">
        <f t="shared" si="28"/>
        <v>7484265</v>
      </c>
      <c r="AG60" s="47"/>
      <c r="AM60"/>
      <c r="AV60"/>
    </row>
    <row r="61" spans="1:48">
      <c r="A61" s="101">
        <v>56</v>
      </c>
      <c r="B61" s="299" t="s">
        <v>156</v>
      </c>
      <c r="C61" s="309">
        <f>'Table 2_State with Midyear Adjs'!AQ62</f>
        <v>987508</v>
      </c>
      <c r="D61" s="354"/>
      <c r="E61" s="354"/>
      <c r="F61" s="354">
        <f>-'Table 5C1A-Madison Prep'!AH62</f>
        <v>0</v>
      </c>
      <c r="G61" s="354">
        <f>-'Table 5C1B-DArbonne'!AH62</f>
        <v>-140618.09937499999</v>
      </c>
      <c r="H61" s="354">
        <f>-'Table 5C1C-Intl_VIBE'!AH62</f>
        <v>0</v>
      </c>
      <c r="I61" s="354">
        <f>-'Table 5C1D-NOMMA'!AH62</f>
        <v>0</v>
      </c>
      <c r="J61" s="354"/>
      <c r="K61" s="354">
        <f>-'Table 5C1E-LFNO'!AJ62</f>
        <v>0</v>
      </c>
      <c r="L61" s="354">
        <f>-'Table 5C1F-Lake Charles Charter'!AH62</f>
        <v>0</v>
      </c>
      <c r="M61" s="354">
        <f>-'Table 5C1G-JS Clark Academy'!AH62</f>
        <v>0</v>
      </c>
      <c r="N61" s="354">
        <f>-'Table 5C1H-Southwest LA Charter'!AH62</f>
        <v>0</v>
      </c>
      <c r="O61" s="354">
        <f>-'Table 5C2 - LA Virtual Admy'!AI60</f>
        <v>-1565</v>
      </c>
      <c r="P61" s="354">
        <f>-'Table 5C3 - LA Connections EBR'!AI60</f>
        <v>-701</v>
      </c>
      <c r="Q61" s="354">
        <f>-'Table 5E_OJJ'!AG62</f>
        <v>0</v>
      </c>
      <c r="R61" s="739">
        <f t="shared" si="27"/>
        <v>844623.90062500001</v>
      </c>
      <c r="S61" s="354"/>
      <c r="T61" s="354"/>
      <c r="U61" s="354"/>
      <c r="V61" s="354">
        <f>'Table 5C1A-Madison Prep'!AO62</f>
        <v>0</v>
      </c>
      <c r="W61" s="354">
        <f>'Table 5C1B-DArbonne'!AO62</f>
        <v>-17.241250000000036</v>
      </c>
      <c r="X61" s="354">
        <f>'Table 5C1C-Intl_VIBE'!AO62</f>
        <v>0</v>
      </c>
      <c r="Y61" s="354">
        <f>'Table 5C1D-NOMMA'!AO62</f>
        <v>0</v>
      </c>
      <c r="Z61" s="354">
        <f>'Table 5C1E-LFNO'!AQ62</f>
        <v>0</v>
      </c>
      <c r="AA61" s="354">
        <f>'Table 5C1F-Lake Charles Charter'!AO62</f>
        <v>0</v>
      </c>
      <c r="AB61" s="354">
        <f>'Table 5C1G-JS Clark Academy'!AO62</f>
        <v>0</v>
      </c>
      <c r="AC61" s="354">
        <f>'Table 5C1H-Southwest LA Charter'!AO62</f>
        <v>0</v>
      </c>
      <c r="AD61" s="354">
        <f>'Table 5C2 - LA Virtual Admy'!AP60</f>
        <v>0</v>
      </c>
      <c r="AE61" s="354">
        <f>'Table 5C3 - LA Connections EBR'!AP60</f>
        <v>0</v>
      </c>
      <c r="AF61" s="739">
        <f t="shared" si="28"/>
        <v>844606.65937500005</v>
      </c>
      <c r="AG61" s="47"/>
      <c r="AM61"/>
      <c r="AV61"/>
    </row>
    <row r="62" spans="1:48">
      <c r="A62" s="101">
        <v>57</v>
      </c>
      <c r="B62" s="299" t="s">
        <v>157</v>
      </c>
      <c r="C62" s="309">
        <f>'Table 2_State with Midyear Adjs'!AQ63</f>
        <v>4160324</v>
      </c>
      <c r="D62" s="354"/>
      <c r="E62" s="354"/>
      <c r="F62" s="354">
        <f>-'Table 5C1A-Madison Prep'!AH63</f>
        <v>0</v>
      </c>
      <c r="G62" s="354">
        <f>-'Table 5C1B-DArbonne'!AH63</f>
        <v>0</v>
      </c>
      <c r="H62" s="354">
        <f>-'Table 5C1C-Intl_VIBE'!AH63</f>
        <v>0</v>
      </c>
      <c r="I62" s="354">
        <f>-'Table 5C1D-NOMMA'!AH63</f>
        <v>0</v>
      </c>
      <c r="J62" s="354"/>
      <c r="K62" s="354">
        <f>-'Table 5C1E-LFNO'!AJ63</f>
        <v>0</v>
      </c>
      <c r="L62" s="354">
        <f>-'Table 5C1F-Lake Charles Charter'!AH63</f>
        <v>0</v>
      </c>
      <c r="M62" s="354">
        <f>-'Table 5C1G-JS Clark Academy'!AH63</f>
        <v>0</v>
      </c>
      <c r="N62" s="354">
        <f>-'Table 5C1H-Southwest LA Charter'!AH63</f>
        <v>0</v>
      </c>
      <c r="O62" s="354">
        <f>-'Table 5C2 - LA Virtual Admy'!AI61</f>
        <v>-1866</v>
      </c>
      <c r="P62" s="354">
        <f>-'Table 5C3 - LA Connections EBR'!AI61</f>
        <v>-836</v>
      </c>
      <c r="Q62" s="354">
        <f>-'Table 5E_OJJ'!AG63</f>
        <v>-660</v>
      </c>
      <c r="R62" s="739">
        <f t="shared" si="27"/>
        <v>4156962</v>
      </c>
      <c r="S62" s="354"/>
      <c r="T62" s="354"/>
      <c r="U62" s="354"/>
      <c r="V62" s="354">
        <f>'Table 5C1A-Madison Prep'!AO63</f>
        <v>0</v>
      </c>
      <c r="W62" s="354">
        <f>'Table 5C1B-DArbonne'!AO63</f>
        <v>0</v>
      </c>
      <c r="X62" s="354">
        <f>'Table 5C1C-Intl_VIBE'!AO63</f>
        <v>0</v>
      </c>
      <c r="Y62" s="354">
        <f>'Table 5C1D-NOMMA'!AO63</f>
        <v>0</v>
      </c>
      <c r="Z62" s="354">
        <f>'Table 5C1E-LFNO'!AQ63</f>
        <v>0</v>
      </c>
      <c r="AA62" s="354">
        <f>'Table 5C1F-Lake Charles Charter'!AO63</f>
        <v>0</v>
      </c>
      <c r="AB62" s="354">
        <f>'Table 5C1G-JS Clark Academy'!AO63</f>
        <v>0</v>
      </c>
      <c r="AC62" s="354">
        <f>'Table 5C1H-Southwest LA Charter'!AO63</f>
        <v>0</v>
      </c>
      <c r="AD62" s="354">
        <f>'Table 5C2 - LA Virtual Admy'!AP61</f>
        <v>0</v>
      </c>
      <c r="AE62" s="354">
        <f>'Table 5C3 - LA Connections EBR'!AP61</f>
        <v>0</v>
      </c>
      <c r="AF62" s="739">
        <f t="shared" si="28"/>
        <v>4156962</v>
      </c>
      <c r="AG62" s="47"/>
      <c r="AM62"/>
      <c r="AV62"/>
    </row>
    <row r="63" spans="1:48">
      <c r="A63" s="101">
        <v>58</v>
      </c>
      <c r="B63" s="299" t="s">
        <v>158</v>
      </c>
      <c r="C63" s="309">
        <f>'Table 2_State with Midyear Adjs'!AQ64</f>
        <v>4256837</v>
      </c>
      <c r="D63" s="354"/>
      <c r="E63" s="354"/>
      <c r="F63" s="354">
        <f>-'Table 5C1A-Madison Prep'!AH64</f>
        <v>0</v>
      </c>
      <c r="G63" s="354">
        <f>-'Table 5C1B-DArbonne'!AH64</f>
        <v>0</v>
      </c>
      <c r="H63" s="354">
        <f>-'Table 5C1C-Intl_VIBE'!AH64</f>
        <v>0</v>
      </c>
      <c r="I63" s="354">
        <f>-'Table 5C1D-NOMMA'!AH64</f>
        <v>0</v>
      </c>
      <c r="J63" s="354"/>
      <c r="K63" s="354">
        <f>-'Table 5C1E-LFNO'!AJ64</f>
        <v>0</v>
      </c>
      <c r="L63" s="354">
        <f>-'Table 5C1F-Lake Charles Charter'!AH64</f>
        <v>0</v>
      </c>
      <c r="M63" s="354">
        <f>-'Table 5C1G-JS Clark Academy'!AH64</f>
        <v>0</v>
      </c>
      <c r="N63" s="354">
        <f>-'Table 5C1H-Southwest LA Charter'!AH64</f>
        <v>0</v>
      </c>
      <c r="O63" s="354">
        <f>-'Table 5C2 - LA Virtual Admy'!AI62</f>
        <v>-3650</v>
      </c>
      <c r="P63" s="354">
        <f>-'Table 5C3 - LA Connections EBR'!AI62</f>
        <v>-8804</v>
      </c>
      <c r="Q63" s="354">
        <f>-'Table 5E_OJJ'!AG64</f>
        <v>-83</v>
      </c>
      <c r="R63" s="739">
        <f t="shared" si="27"/>
        <v>4244300</v>
      </c>
      <c r="S63" s="354"/>
      <c r="T63" s="354"/>
      <c r="U63" s="354"/>
      <c r="V63" s="354">
        <f>'Table 5C1A-Madison Prep'!AO64</f>
        <v>0</v>
      </c>
      <c r="W63" s="354">
        <f>'Table 5C1B-DArbonne'!AO64</f>
        <v>0</v>
      </c>
      <c r="X63" s="354">
        <f>'Table 5C1C-Intl_VIBE'!AO64</f>
        <v>0</v>
      </c>
      <c r="Y63" s="354">
        <f>'Table 5C1D-NOMMA'!AO64</f>
        <v>0</v>
      </c>
      <c r="Z63" s="354">
        <f>'Table 5C1E-LFNO'!AQ64</f>
        <v>0</v>
      </c>
      <c r="AA63" s="354">
        <f>'Table 5C1F-Lake Charles Charter'!AO64</f>
        <v>0</v>
      </c>
      <c r="AB63" s="354">
        <f>'Table 5C1G-JS Clark Academy'!AO64</f>
        <v>0</v>
      </c>
      <c r="AC63" s="354">
        <f>'Table 5C1H-Southwest LA Charter'!AO64</f>
        <v>0</v>
      </c>
      <c r="AD63" s="354">
        <f>'Table 5C2 - LA Virtual Admy'!AP62</f>
        <v>-1</v>
      </c>
      <c r="AE63" s="354">
        <f>'Table 5C3 - LA Connections EBR'!AP62</f>
        <v>0</v>
      </c>
      <c r="AF63" s="739">
        <f t="shared" si="28"/>
        <v>4244299</v>
      </c>
      <c r="AG63" s="47"/>
      <c r="AM63"/>
      <c r="AV63"/>
    </row>
    <row r="64" spans="1:48">
      <c r="A64" s="101">
        <v>59</v>
      </c>
      <c r="B64" s="299" t="s">
        <v>159</v>
      </c>
      <c r="C64" s="309">
        <f>'Table 2_State with Midyear Adjs'!AQ65</f>
        <v>3133510</v>
      </c>
      <c r="D64" s="354"/>
      <c r="E64" s="354"/>
      <c r="F64" s="354">
        <f>-'Table 5C1A-Madison Prep'!AH65</f>
        <v>0</v>
      </c>
      <c r="G64" s="354">
        <f>-'Table 5C1B-DArbonne'!AH65</f>
        <v>0</v>
      </c>
      <c r="H64" s="354">
        <f>-'Table 5C1C-Intl_VIBE'!AH65</f>
        <v>0</v>
      </c>
      <c r="I64" s="354">
        <f>-'Table 5C1D-NOMMA'!AH65</f>
        <v>0</v>
      </c>
      <c r="J64" s="354"/>
      <c r="K64" s="354">
        <f>-'Table 5C1E-LFNO'!AJ65</f>
        <v>0</v>
      </c>
      <c r="L64" s="354">
        <f>-'Table 5C1F-Lake Charles Charter'!AH65</f>
        <v>0</v>
      </c>
      <c r="M64" s="354">
        <f>-'Table 5C1G-JS Clark Academy'!AH65</f>
        <v>0</v>
      </c>
      <c r="N64" s="354">
        <f>-'Table 5C1H-Southwest LA Charter'!AH65</f>
        <v>0</v>
      </c>
      <c r="O64" s="354">
        <f>-'Table 5C2 - LA Virtual Admy'!AI63</f>
        <v>-1267</v>
      </c>
      <c r="P64" s="354">
        <f>-'Table 5C3 - LA Connections EBR'!AI63</f>
        <v>-1752</v>
      </c>
      <c r="Q64" s="354">
        <f>-'Table 5E_OJJ'!AG65</f>
        <v>-541</v>
      </c>
      <c r="R64" s="739">
        <f t="shared" si="27"/>
        <v>3129950</v>
      </c>
      <c r="S64" s="354"/>
      <c r="T64" s="354"/>
      <c r="U64" s="354"/>
      <c r="V64" s="354">
        <f>'Table 5C1A-Madison Prep'!AO65</f>
        <v>0</v>
      </c>
      <c r="W64" s="354">
        <f>'Table 5C1B-DArbonne'!AO65</f>
        <v>0</v>
      </c>
      <c r="X64" s="354">
        <f>'Table 5C1C-Intl_VIBE'!AO65</f>
        <v>0</v>
      </c>
      <c r="Y64" s="354">
        <f>'Table 5C1D-NOMMA'!AO65</f>
        <v>0</v>
      </c>
      <c r="Z64" s="354">
        <f>'Table 5C1E-LFNO'!AQ65</f>
        <v>0</v>
      </c>
      <c r="AA64" s="354">
        <f>'Table 5C1F-Lake Charles Charter'!AO65</f>
        <v>0</v>
      </c>
      <c r="AB64" s="354">
        <f>'Table 5C1G-JS Clark Academy'!AO65</f>
        <v>0</v>
      </c>
      <c r="AC64" s="354">
        <f>'Table 5C1H-Southwest LA Charter'!AO65</f>
        <v>0</v>
      </c>
      <c r="AD64" s="354">
        <f>'Table 5C2 - LA Virtual Admy'!AP63</f>
        <v>0</v>
      </c>
      <c r="AE64" s="354">
        <f>'Table 5C3 - LA Connections EBR'!AP63</f>
        <v>0</v>
      </c>
      <c r="AF64" s="739">
        <f t="shared" si="28"/>
        <v>3129950</v>
      </c>
      <c r="AG64" s="47"/>
      <c r="AM64"/>
      <c r="AV64"/>
    </row>
    <row r="65" spans="1:48">
      <c r="A65" s="102">
        <v>60</v>
      </c>
      <c r="B65" s="300" t="s">
        <v>160</v>
      </c>
      <c r="C65" s="318">
        <f>'Table 2_State with Midyear Adjs'!AQ66</f>
        <v>2973702</v>
      </c>
      <c r="D65" s="355"/>
      <c r="E65" s="355"/>
      <c r="F65" s="355">
        <f>-'Table 5C1A-Madison Prep'!AH66</f>
        <v>0</v>
      </c>
      <c r="G65" s="355">
        <f>-'Table 5C1B-DArbonne'!AH66</f>
        <v>0</v>
      </c>
      <c r="H65" s="355">
        <f>-'Table 5C1C-Intl_VIBE'!AH66</f>
        <v>0</v>
      </c>
      <c r="I65" s="355">
        <f>-'Table 5C1D-NOMMA'!AH66</f>
        <v>0</v>
      </c>
      <c r="J65" s="355"/>
      <c r="K65" s="355">
        <f>-'Table 5C1E-LFNO'!AJ66</f>
        <v>0</v>
      </c>
      <c r="L65" s="355">
        <f>-'Table 5C1F-Lake Charles Charter'!AH66</f>
        <v>0</v>
      </c>
      <c r="M65" s="355">
        <f>-'Table 5C1G-JS Clark Academy'!AH66</f>
        <v>0</v>
      </c>
      <c r="N65" s="355">
        <f>-'Table 5C1H-Southwest LA Charter'!AH66</f>
        <v>0</v>
      </c>
      <c r="O65" s="355">
        <f>-'Table 5C2 - LA Virtual Admy'!AI64</f>
        <v>-3498</v>
      </c>
      <c r="P65" s="355">
        <f>-'Table 5C3 - LA Connections EBR'!AI64</f>
        <v>-3263</v>
      </c>
      <c r="Q65" s="355">
        <f>-'Table 5E_OJJ'!AG66</f>
        <v>-970</v>
      </c>
      <c r="R65" s="740">
        <f t="shared" si="27"/>
        <v>2965971</v>
      </c>
      <c r="S65" s="355"/>
      <c r="T65" s="355"/>
      <c r="U65" s="355"/>
      <c r="V65" s="355">
        <f>'Table 5C1A-Madison Prep'!AO66</f>
        <v>0</v>
      </c>
      <c r="W65" s="355">
        <f>'Table 5C1B-DArbonne'!AO66</f>
        <v>0</v>
      </c>
      <c r="X65" s="355">
        <f>'Table 5C1C-Intl_VIBE'!AO66</f>
        <v>0</v>
      </c>
      <c r="Y65" s="355">
        <f>'Table 5C1D-NOMMA'!AO66</f>
        <v>0</v>
      </c>
      <c r="Z65" s="355">
        <f>'Table 5C1E-LFNO'!AQ66</f>
        <v>0</v>
      </c>
      <c r="AA65" s="355">
        <f>'Table 5C1F-Lake Charles Charter'!AO66</f>
        <v>0</v>
      </c>
      <c r="AB65" s="355">
        <f>'Table 5C1G-JS Clark Academy'!AO66</f>
        <v>0</v>
      </c>
      <c r="AC65" s="355">
        <f>'Table 5C1H-Southwest LA Charter'!AO66</f>
        <v>0</v>
      </c>
      <c r="AD65" s="355">
        <f>'Table 5C2 - LA Virtual Admy'!AP64</f>
        <v>0</v>
      </c>
      <c r="AE65" s="355">
        <f>'Table 5C3 - LA Connections EBR'!AP64</f>
        <v>-1</v>
      </c>
      <c r="AF65" s="740">
        <f t="shared" si="28"/>
        <v>2965970</v>
      </c>
      <c r="AG65" s="47"/>
      <c r="AM65"/>
      <c r="AV65"/>
    </row>
    <row r="66" spans="1:48">
      <c r="A66" s="101">
        <v>61</v>
      </c>
      <c r="B66" s="299" t="s">
        <v>161</v>
      </c>
      <c r="C66" s="309">
        <f>'Table 2_State with Midyear Adjs'!AQ67</f>
        <v>1233426</v>
      </c>
      <c r="D66" s="354"/>
      <c r="E66" s="354"/>
      <c r="F66" s="354">
        <f>-'Table 5C1A-Madison Prep'!AH67</f>
        <v>-1674.6275000000001</v>
      </c>
      <c r="G66" s="354">
        <f>-'Table 5C1B-DArbonne'!AH67</f>
        <v>0</v>
      </c>
      <c r="H66" s="354">
        <f>-'Table 5C1C-Intl_VIBE'!AH67</f>
        <v>0</v>
      </c>
      <c r="I66" s="354">
        <f>-'Table 5C1D-NOMMA'!AH67</f>
        <v>0</v>
      </c>
      <c r="J66" s="354"/>
      <c r="K66" s="354">
        <f>-'Table 5C1E-LFNO'!AJ67</f>
        <v>0</v>
      </c>
      <c r="L66" s="354">
        <f>-'Table 5C1F-Lake Charles Charter'!AH67</f>
        <v>0</v>
      </c>
      <c r="M66" s="354">
        <f>-'Table 5C1G-JS Clark Academy'!AH67</f>
        <v>0</v>
      </c>
      <c r="N66" s="354">
        <f>-'Table 5C1H-Southwest LA Charter'!AH67</f>
        <v>0</v>
      </c>
      <c r="O66" s="354">
        <f>-'Table 5C2 - LA Virtual Admy'!AI65</f>
        <v>-1984</v>
      </c>
      <c r="P66" s="354">
        <f>-'Table 5C3 - LA Connections EBR'!AI65</f>
        <v>-15827</v>
      </c>
      <c r="Q66" s="354">
        <f>-'Table 5E_OJJ'!AG67</f>
        <v>-1093</v>
      </c>
      <c r="R66" s="739">
        <f t="shared" si="27"/>
        <v>1212847.3725000001</v>
      </c>
      <c r="S66" s="354"/>
      <c r="T66" s="354"/>
      <c r="U66" s="354"/>
      <c r="V66" s="354">
        <f>'Table 5C1A-Madison Prep'!AO67</f>
        <v>-4.5000000000001705E-2</v>
      </c>
      <c r="W66" s="354">
        <f>'Table 5C1B-DArbonne'!AO67</f>
        <v>0</v>
      </c>
      <c r="X66" s="354">
        <f>'Table 5C1C-Intl_VIBE'!AO67</f>
        <v>0</v>
      </c>
      <c r="Y66" s="354">
        <f>'Table 5C1D-NOMMA'!AO67</f>
        <v>0</v>
      </c>
      <c r="Z66" s="354">
        <f>'Table 5C1E-LFNO'!AQ67</f>
        <v>0</v>
      </c>
      <c r="AA66" s="354">
        <f>'Table 5C1F-Lake Charles Charter'!AO67</f>
        <v>0</v>
      </c>
      <c r="AB66" s="354">
        <f>'Table 5C1G-JS Clark Academy'!AO67</f>
        <v>0</v>
      </c>
      <c r="AC66" s="354">
        <f>'Table 5C1H-Southwest LA Charter'!AO67</f>
        <v>0</v>
      </c>
      <c r="AD66" s="354">
        <f>'Table 5C2 - LA Virtual Admy'!AP65</f>
        <v>0</v>
      </c>
      <c r="AE66" s="354">
        <f>'Table 5C3 - LA Connections EBR'!AP65</f>
        <v>0</v>
      </c>
      <c r="AF66" s="739">
        <f t="shared" si="28"/>
        <v>1212847.3275000001</v>
      </c>
      <c r="AG66" s="47"/>
      <c r="AM66"/>
      <c r="AV66"/>
    </row>
    <row r="67" spans="1:48">
      <c r="A67" s="101">
        <v>62</v>
      </c>
      <c r="B67" s="299" t="s">
        <v>162</v>
      </c>
      <c r="C67" s="309">
        <f>'Table 2_State with Midyear Adjs'!AQ68</f>
        <v>1102312</v>
      </c>
      <c r="D67" s="354"/>
      <c r="E67" s="354"/>
      <c r="F67" s="354">
        <f>-'Table 5C1A-Madison Prep'!AH68</f>
        <v>0</v>
      </c>
      <c r="G67" s="354">
        <f>-'Table 5C1B-DArbonne'!AH68</f>
        <v>0</v>
      </c>
      <c r="H67" s="354">
        <f>-'Table 5C1C-Intl_VIBE'!AH68</f>
        <v>0</v>
      </c>
      <c r="I67" s="354">
        <f>-'Table 5C1D-NOMMA'!AH68</f>
        <v>0</v>
      </c>
      <c r="J67" s="354"/>
      <c r="K67" s="354">
        <f>-'Table 5C1E-LFNO'!AJ68</f>
        <v>0</v>
      </c>
      <c r="L67" s="354">
        <f>-'Table 5C1F-Lake Charles Charter'!AH68</f>
        <v>0</v>
      </c>
      <c r="M67" s="354">
        <f>-'Table 5C1G-JS Clark Academy'!AH68</f>
        <v>0</v>
      </c>
      <c r="N67" s="354">
        <f>-'Table 5C1H-Southwest LA Charter'!AH68</f>
        <v>0</v>
      </c>
      <c r="O67" s="354">
        <f>-'Table 5C2 - LA Virtual Admy'!AI66</f>
        <v>15</v>
      </c>
      <c r="P67" s="354">
        <f>-'Table 5C3 - LA Connections EBR'!AI66</f>
        <v>95</v>
      </c>
      <c r="Q67" s="354">
        <f>-'Table 5E_OJJ'!AG68</f>
        <v>-53</v>
      </c>
      <c r="R67" s="739">
        <f t="shared" si="27"/>
        <v>1102369</v>
      </c>
      <c r="S67" s="354"/>
      <c r="T67" s="354"/>
      <c r="U67" s="354"/>
      <c r="V67" s="354">
        <f>'Table 5C1A-Madison Prep'!AO68</f>
        <v>0</v>
      </c>
      <c r="W67" s="354">
        <f>'Table 5C1B-DArbonne'!AO68</f>
        <v>0</v>
      </c>
      <c r="X67" s="354">
        <f>'Table 5C1C-Intl_VIBE'!AO68</f>
        <v>0</v>
      </c>
      <c r="Y67" s="354">
        <f>'Table 5C1D-NOMMA'!AO68</f>
        <v>0</v>
      </c>
      <c r="Z67" s="354">
        <f>'Table 5C1E-LFNO'!AQ68</f>
        <v>0</v>
      </c>
      <c r="AA67" s="354">
        <f>'Table 5C1F-Lake Charles Charter'!AO68</f>
        <v>0</v>
      </c>
      <c r="AB67" s="354">
        <f>'Table 5C1G-JS Clark Academy'!AO68</f>
        <v>0</v>
      </c>
      <c r="AC67" s="354">
        <f>'Table 5C1H-Southwest LA Charter'!AO68</f>
        <v>0</v>
      </c>
      <c r="AD67" s="354">
        <f>'Table 5C2 - LA Virtual Admy'!AP66</f>
        <v>0</v>
      </c>
      <c r="AE67" s="354">
        <f>'Table 5C3 - LA Connections EBR'!AP66</f>
        <v>0</v>
      </c>
      <c r="AF67" s="739">
        <f t="shared" si="28"/>
        <v>1102369</v>
      </c>
      <c r="AG67" s="47"/>
      <c r="AM67"/>
      <c r="AV67"/>
    </row>
    <row r="68" spans="1:48">
      <c r="A68" s="101">
        <v>63</v>
      </c>
      <c r="B68" s="299" t="s">
        <v>163</v>
      </c>
      <c r="C68" s="309">
        <f>'Table 2_State with Midyear Adjs'!AQ69</f>
        <v>867316</v>
      </c>
      <c r="D68" s="354"/>
      <c r="E68" s="354"/>
      <c r="F68" s="354">
        <f>-'Table 5C1A-Madison Prep'!AH69</f>
        <v>0</v>
      </c>
      <c r="G68" s="354">
        <f>-'Table 5C1B-DArbonne'!AH69</f>
        <v>0</v>
      </c>
      <c r="H68" s="354">
        <f>-'Table 5C1C-Intl_VIBE'!AH69</f>
        <v>0</v>
      </c>
      <c r="I68" s="354">
        <f>-'Table 5C1D-NOMMA'!AH69</f>
        <v>0</v>
      </c>
      <c r="J68" s="354"/>
      <c r="K68" s="354">
        <f>-'Table 5C1E-LFNO'!AJ69</f>
        <v>0</v>
      </c>
      <c r="L68" s="354">
        <f>-'Table 5C1F-Lake Charles Charter'!AH69</f>
        <v>0</v>
      </c>
      <c r="M68" s="354">
        <f>-'Table 5C1G-JS Clark Academy'!AH69</f>
        <v>0</v>
      </c>
      <c r="N68" s="354">
        <f>-'Table 5C1H-Southwest LA Charter'!AH69</f>
        <v>0</v>
      </c>
      <c r="O68" s="354">
        <f>-'Table 5C2 - LA Virtual Admy'!AI67</f>
        <v>0</v>
      </c>
      <c r="P68" s="354">
        <f>-'Table 5C3 - LA Connections EBR'!AI67</f>
        <v>5049</v>
      </c>
      <c r="Q68" s="354">
        <f>-'Table 5E_OJJ'!AG69</f>
        <v>-608</v>
      </c>
      <c r="R68" s="739">
        <f t="shared" si="27"/>
        <v>871757</v>
      </c>
      <c r="S68" s="354"/>
      <c r="T68" s="354"/>
      <c r="U68" s="354"/>
      <c r="V68" s="354">
        <f>'Table 5C1A-Madison Prep'!AO69</f>
        <v>0</v>
      </c>
      <c r="W68" s="354">
        <f>'Table 5C1B-DArbonne'!AO69</f>
        <v>0</v>
      </c>
      <c r="X68" s="354">
        <f>'Table 5C1C-Intl_VIBE'!AO69</f>
        <v>0</v>
      </c>
      <c r="Y68" s="354">
        <f>'Table 5C1D-NOMMA'!AO69</f>
        <v>0</v>
      </c>
      <c r="Z68" s="354">
        <f>'Table 5C1E-LFNO'!AQ69</f>
        <v>0</v>
      </c>
      <c r="AA68" s="354">
        <f>'Table 5C1F-Lake Charles Charter'!AO69</f>
        <v>0</v>
      </c>
      <c r="AB68" s="354">
        <f>'Table 5C1G-JS Clark Academy'!AO69</f>
        <v>0</v>
      </c>
      <c r="AC68" s="354">
        <f>'Table 5C1H-Southwest LA Charter'!AO69</f>
        <v>0</v>
      </c>
      <c r="AD68" s="354">
        <f>'Table 5C2 - LA Virtual Admy'!AP67</f>
        <v>0</v>
      </c>
      <c r="AE68" s="354">
        <f>'Table 5C3 - LA Connections EBR'!AP67</f>
        <v>0</v>
      </c>
      <c r="AF68" s="739">
        <f t="shared" si="28"/>
        <v>871757</v>
      </c>
      <c r="AG68" s="47"/>
      <c r="AM68"/>
      <c r="AV68"/>
    </row>
    <row r="69" spans="1:48">
      <c r="A69" s="101">
        <v>64</v>
      </c>
      <c r="B69" s="299" t="s">
        <v>164</v>
      </c>
      <c r="C69" s="309">
        <f>'Table 2_State with Midyear Adjs'!AQ70</f>
        <v>1273618</v>
      </c>
      <c r="D69" s="354"/>
      <c r="E69" s="354"/>
      <c r="F69" s="354">
        <f>-'Table 5C1A-Madison Prep'!AH70</f>
        <v>0</v>
      </c>
      <c r="G69" s="354">
        <f>-'Table 5C1B-DArbonne'!AH70</f>
        <v>0</v>
      </c>
      <c r="H69" s="354">
        <f>-'Table 5C1C-Intl_VIBE'!AH70</f>
        <v>0</v>
      </c>
      <c r="I69" s="354">
        <f>-'Table 5C1D-NOMMA'!AH70</f>
        <v>0</v>
      </c>
      <c r="J69" s="354"/>
      <c r="K69" s="354">
        <f>-'Table 5C1E-LFNO'!AJ70</f>
        <v>0</v>
      </c>
      <c r="L69" s="354">
        <f>-'Table 5C1F-Lake Charles Charter'!AH70</f>
        <v>0</v>
      </c>
      <c r="M69" s="354">
        <f>-'Table 5C1G-JS Clark Academy'!AH70</f>
        <v>0</v>
      </c>
      <c r="N69" s="354">
        <f>-'Table 5C1H-Southwest LA Charter'!AH70</f>
        <v>0</v>
      </c>
      <c r="O69" s="354">
        <f>-'Table 5C2 - LA Virtual Admy'!AI68</f>
        <v>-126</v>
      </c>
      <c r="P69" s="354">
        <f>-'Table 5C3 - LA Connections EBR'!AI68</f>
        <v>-1725</v>
      </c>
      <c r="Q69" s="354">
        <f>-'Table 5E_OJJ'!AG70</f>
        <v>0</v>
      </c>
      <c r="R69" s="739">
        <f t="shared" si="27"/>
        <v>1271767</v>
      </c>
      <c r="S69" s="354"/>
      <c r="T69" s="354"/>
      <c r="U69" s="354"/>
      <c r="V69" s="354">
        <f>'Table 5C1A-Madison Prep'!AO70</f>
        <v>0</v>
      </c>
      <c r="W69" s="354">
        <f>'Table 5C1B-DArbonne'!AO70</f>
        <v>0</v>
      </c>
      <c r="X69" s="354">
        <f>'Table 5C1C-Intl_VIBE'!AO70</f>
        <v>0</v>
      </c>
      <c r="Y69" s="354">
        <f>'Table 5C1D-NOMMA'!AO70</f>
        <v>0</v>
      </c>
      <c r="Z69" s="354">
        <f>'Table 5C1E-LFNO'!AQ70</f>
        <v>0</v>
      </c>
      <c r="AA69" s="354">
        <f>'Table 5C1F-Lake Charles Charter'!AO70</f>
        <v>0</v>
      </c>
      <c r="AB69" s="354">
        <f>'Table 5C1G-JS Clark Academy'!AO70</f>
        <v>0</v>
      </c>
      <c r="AC69" s="354">
        <f>'Table 5C1H-Southwest LA Charter'!AO70</f>
        <v>0</v>
      </c>
      <c r="AD69" s="354">
        <f>'Table 5C2 - LA Virtual Admy'!AP68</f>
        <v>0</v>
      </c>
      <c r="AE69" s="354">
        <f>'Table 5C3 - LA Connections EBR'!AP68</f>
        <v>0</v>
      </c>
      <c r="AF69" s="739">
        <f t="shared" si="28"/>
        <v>1271767</v>
      </c>
      <c r="AG69" s="47"/>
      <c r="AM69"/>
      <c r="AV69"/>
    </row>
    <row r="70" spans="1:48">
      <c r="A70" s="102">
        <v>65</v>
      </c>
      <c r="B70" s="300" t="s">
        <v>165</v>
      </c>
      <c r="C70" s="318">
        <f>'Table 2_State with Midyear Adjs'!AQ71</f>
        <v>3886978</v>
      </c>
      <c r="D70" s="355"/>
      <c r="E70" s="355"/>
      <c r="F70" s="355">
        <f>-'Table 5C1A-Madison Prep'!AH71</f>
        <v>0</v>
      </c>
      <c r="G70" s="355">
        <f>-'Table 5C1B-DArbonne'!AH71</f>
        <v>-1892.7449999999999</v>
      </c>
      <c r="H70" s="355">
        <f>-'Table 5C1C-Intl_VIBE'!AH71</f>
        <v>0</v>
      </c>
      <c r="I70" s="355">
        <f>-'Table 5C1D-NOMMA'!AH71</f>
        <v>0</v>
      </c>
      <c r="J70" s="355"/>
      <c r="K70" s="355">
        <f>-'Table 5C1E-LFNO'!AJ71</f>
        <v>0</v>
      </c>
      <c r="L70" s="355">
        <f>-'Table 5C1F-Lake Charles Charter'!AH71</f>
        <v>0</v>
      </c>
      <c r="M70" s="355">
        <f>-'Table 5C1G-JS Clark Academy'!AH71</f>
        <v>0</v>
      </c>
      <c r="N70" s="355">
        <f>-'Table 5C1H-Southwest LA Charter'!AH71</f>
        <v>0</v>
      </c>
      <c r="O70" s="355">
        <f>-'Table 5C2 - LA Virtual Admy'!AI69</f>
        <v>2102</v>
      </c>
      <c r="P70" s="355">
        <f>-'Table 5C3 - LA Connections EBR'!AI69</f>
        <v>-885</v>
      </c>
      <c r="Q70" s="355">
        <f>-'Table 5E_OJJ'!AG71</f>
        <v>-408</v>
      </c>
      <c r="R70" s="740">
        <f t="shared" ref="R70:R74" si="29">SUM(C70:Q70)</f>
        <v>3885894.2549999999</v>
      </c>
      <c r="S70" s="355"/>
      <c r="T70" s="355"/>
      <c r="U70" s="355"/>
      <c r="V70" s="355">
        <f>'Table 5C1A-Madison Prep'!AO71</f>
        <v>0</v>
      </c>
      <c r="W70" s="355">
        <f>'Table 5C1B-DArbonne'!AO71</f>
        <v>-0.46124999999999972</v>
      </c>
      <c r="X70" s="355">
        <f>'Table 5C1C-Intl_VIBE'!AO71</f>
        <v>0</v>
      </c>
      <c r="Y70" s="355">
        <f>'Table 5C1D-NOMMA'!AO71</f>
        <v>0</v>
      </c>
      <c r="Z70" s="355">
        <f>'Table 5C1E-LFNO'!AQ71</f>
        <v>0</v>
      </c>
      <c r="AA70" s="355">
        <f>'Table 5C1F-Lake Charles Charter'!AO71</f>
        <v>0</v>
      </c>
      <c r="AB70" s="355">
        <f>'Table 5C1G-JS Clark Academy'!AO71</f>
        <v>0</v>
      </c>
      <c r="AC70" s="355">
        <f>'Table 5C1H-Southwest LA Charter'!AO71</f>
        <v>0</v>
      </c>
      <c r="AD70" s="355">
        <f>'Table 5C2 - LA Virtual Admy'!AP69</f>
        <v>0</v>
      </c>
      <c r="AE70" s="355">
        <f>'Table 5C3 - LA Connections EBR'!AP69</f>
        <v>0</v>
      </c>
      <c r="AF70" s="740">
        <f t="shared" ref="AF70:AF74" si="30">SUM(R70:AE70)</f>
        <v>3885893.7937499997</v>
      </c>
      <c r="AG70" s="47"/>
      <c r="AM70"/>
      <c r="AV70"/>
    </row>
    <row r="71" spans="1:48">
      <c r="A71" s="135">
        <v>66</v>
      </c>
      <c r="B71" s="301" t="s">
        <v>166</v>
      </c>
      <c r="C71" s="311">
        <f>'Table 2_State with Midyear Adjs'!AQ72</f>
        <v>1170121</v>
      </c>
      <c r="D71" s="356"/>
      <c r="E71" s="356"/>
      <c r="F71" s="356">
        <f>-'Table 5C1A-Madison Prep'!AH72</f>
        <v>0</v>
      </c>
      <c r="G71" s="356">
        <f>-'Table 5C1B-DArbonne'!AH72</f>
        <v>0</v>
      </c>
      <c r="H71" s="356">
        <f>-'Table 5C1C-Intl_VIBE'!AH72</f>
        <v>0</v>
      </c>
      <c r="I71" s="356">
        <f>-'Table 5C1D-NOMMA'!AH72</f>
        <v>0</v>
      </c>
      <c r="J71" s="356"/>
      <c r="K71" s="356">
        <f>-'Table 5C1E-LFNO'!AJ72</f>
        <v>0</v>
      </c>
      <c r="L71" s="356">
        <f>-'Table 5C1F-Lake Charles Charter'!AH72</f>
        <v>0</v>
      </c>
      <c r="M71" s="356">
        <f>-'Table 5C1G-JS Clark Academy'!AH72</f>
        <v>0</v>
      </c>
      <c r="N71" s="356">
        <f>-'Table 5C1H-Southwest LA Charter'!AH72</f>
        <v>0</v>
      </c>
      <c r="O71" s="356">
        <f>-'Table 5C2 - LA Virtual Admy'!AI70</f>
        <v>-551</v>
      </c>
      <c r="P71" s="356">
        <f>-'Table 5C3 - LA Connections EBR'!AI70</f>
        <v>-280</v>
      </c>
      <c r="Q71" s="356">
        <f>-'Table 5E_OJJ'!AG72</f>
        <v>-2</v>
      </c>
      <c r="R71" s="742">
        <f t="shared" si="29"/>
        <v>1169288</v>
      </c>
      <c r="S71" s="356"/>
      <c r="T71" s="356"/>
      <c r="U71" s="356"/>
      <c r="V71" s="356">
        <f>'Table 5C1A-Madison Prep'!AO72</f>
        <v>0</v>
      </c>
      <c r="W71" s="356">
        <f>'Table 5C1B-DArbonne'!AO72</f>
        <v>0</v>
      </c>
      <c r="X71" s="356">
        <f>'Table 5C1C-Intl_VIBE'!AO72</f>
        <v>0</v>
      </c>
      <c r="Y71" s="356">
        <f>'Table 5C1D-NOMMA'!AO72</f>
        <v>0</v>
      </c>
      <c r="Z71" s="356">
        <f>'Table 5C1E-LFNO'!AQ72</f>
        <v>0</v>
      </c>
      <c r="AA71" s="356">
        <f>'Table 5C1F-Lake Charles Charter'!AO72</f>
        <v>0</v>
      </c>
      <c r="AB71" s="356">
        <f>'Table 5C1G-JS Clark Academy'!AO72</f>
        <v>0</v>
      </c>
      <c r="AC71" s="356">
        <f>'Table 5C1H-Southwest LA Charter'!AO72</f>
        <v>0</v>
      </c>
      <c r="AD71" s="356">
        <f>'Table 5C2 - LA Virtual Admy'!AP70</f>
        <v>0</v>
      </c>
      <c r="AE71" s="356">
        <f>'Table 5C3 - LA Connections EBR'!AP70</f>
        <v>0</v>
      </c>
      <c r="AF71" s="742">
        <f t="shared" si="30"/>
        <v>1169288</v>
      </c>
      <c r="AG71" s="47"/>
      <c r="AM71"/>
      <c r="AV71"/>
    </row>
    <row r="72" spans="1:48">
      <c r="A72" s="349">
        <v>67</v>
      </c>
      <c r="B72" s="302" t="s">
        <v>33</v>
      </c>
      <c r="C72" s="309">
        <f>'Table 2_State with Midyear Adjs'!AQ73</f>
        <v>2527898</v>
      </c>
      <c r="D72" s="354"/>
      <c r="E72" s="354"/>
      <c r="F72" s="354">
        <f>-'Table 5C1A-Madison Prep'!AH73</f>
        <v>-901.453125</v>
      </c>
      <c r="G72" s="354">
        <f>-'Table 5C1B-DArbonne'!AH73</f>
        <v>0</v>
      </c>
      <c r="H72" s="354">
        <f>-'Table 5C1C-Intl_VIBE'!AH73</f>
        <v>0</v>
      </c>
      <c r="I72" s="354">
        <f>-'Table 5C1D-NOMMA'!AH73</f>
        <v>0</v>
      </c>
      <c r="J72" s="354"/>
      <c r="K72" s="354">
        <f>-'Table 5C1E-LFNO'!AJ73</f>
        <v>0</v>
      </c>
      <c r="L72" s="354">
        <f>-'Table 5C1F-Lake Charles Charter'!AH73</f>
        <v>0</v>
      </c>
      <c r="M72" s="354">
        <f>-'Table 5C1G-JS Clark Academy'!AH73</f>
        <v>0</v>
      </c>
      <c r="N72" s="354">
        <f>-'Table 5C1H-Southwest LA Charter'!AH73</f>
        <v>0</v>
      </c>
      <c r="O72" s="354">
        <f>-'Table 5C2 - LA Virtual Admy'!AI71</f>
        <v>-245</v>
      </c>
      <c r="P72" s="354">
        <f>-'Table 5C3 - LA Connections EBR'!AI71</f>
        <v>991</v>
      </c>
      <c r="Q72" s="354">
        <f>-'Table 5E_OJJ'!AG73</f>
        <v>-20</v>
      </c>
      <c r="R72" s="739">
        <f t="shared" si="29"/>
        <v>2527722.546875</v>
      </c>
      <c r="S72" s="354"/>
      <c r="T72" s="354"/>
      <c r="U72" s="354"/>
      <c r="V72" s="354">
        <f>'Table 5C1A-Madison Prep'!AO73</f>
        <v>-1.8750000000000711E-2</v>
      </c>
      <c r="W72" s="354">
        <f>'Table 5C1B-DArbonne'!AO73</f>
        <v>0</v>
      </c>
      <c r="X72" s="354">
        <f>'Table 5C1C-Intl_VIBE'!AO73</f>
        <v>0</v>
      </c>
      <c r="Y72" s="354">
        <f>'Table 5C1D-NOMMA'!AO73</f>
        <v>0</v>
      </c>
      <c r="Z72" s="354">
        <f>'Table 5C1E-LFNO'!AQ73</f>
        <v>0</v>
      </c>
      <c r="AA72" s="354">
        <f>'Table 5C1F-Lake Charles Charter'!AO73</f>
        <v>0</v>
      </c>
      <c r="AB72" s="354">
        <f>'Table 5C1G-JS Clark Academy'!AO73</f>
        <v>0</v>
      </c>
      <c r="AC72" s="354">
        <f>'Table 5C1H-Southwest LA Charter'!AO73</f>
        <v>0</v>
      </c>
      <c r="AD72" s="354">
        <f>'Table 5C2 - LA Virtual Admy'!AP71</f>
        <v>0</v>
      </c>
      <c r="AE72" s="354">
        <f>'Table 5C3 - LA Connections EBR'!AP71</f>
        <v>0</v>
      </c>
      <c r="AF72" s="739">
        <f t="shared" si="30"/>
        <v>2527722.5281250002</v>
      </c>
      <c r="AG72" s="47"/>
      <c r="AM72"/>
      <c r="AV72"/>
    </row>
    <row r="73" spans="1:48">
      <c r="A73" s="101">
        <v>68</v>
      </c>
      <c r="B73" s="299" t="s">
        <v>31</v>
      </c>
      <c r="C73" s="309">
        <f>'Table 2_State with Midyear Adjs'!AQ74</f>
        <v>942006</v>
      </c>
      <c r="D73" s="354"/>
      <c r="E73" s="354"/>
      <c r="F73" s="354">
        <f>-'Table 5C1A-Madison Prep'!AH74</f>
        <v>-1149.9549999999999</v>
      </c>
      <c r="G73" s="354">
        <f>-'Table 5C1B-DArbonne'!AH74</f>
        <v>0</v>
      </c>
      <c r="H73" s="354">
        <f>-'Table 5C1C-Intl_VIBE'!AH74</f>
        <v>0</v>
      </c>
      <c r="I73" s="354">
        <f>-'Table 5C1D-NOMMA'!AH74</f>
        <v>0</v>
      </c>
      <c r="J73" s="354"/>
      <c r="K73" s="354">
        <f>-'Table 5C1E-LFNO'!AJ74</f>
        <v>0</v>
      </c>
      <c r="L73" s="354">
        <f>-'Table 5C1F-Lake Charles Charter'!AH74</f>
        <v>0</v>
      </c>
      <c r="M73" s="354">
        <f>-'Table 5C1G-JS Clark Academy'!AH74</f>
        <v>0</v>
      </c>
      <c r="N73" s="354">
        <f>-'Table 5C1H-Southwest LA Charter'!AH74</f>
        <v>0</v>
      </c>
      <c r="O73" s="354">
        <f>-'Table 5C2 - LA Virtual Admy'!AI72</f>
        <v>-915</v>
      </c>
      <c r="P73" s="354">
        <f>-'Table 5C3 - LA Connections EBR'!AI72</f>
        <v>-3136</v>
      </c>
      <c r="Q73" s="354">
        <f>-'Table 5E_OJJ'!AG74</f>
        <v>0</v>
      </c>
      <c r="R73" s="739">
        <f t="shared" si="29"/>
        <v>936805.04500000004</v>
      </c>
      <c r="S73" s="354"/>
      <c r="T73" s="354"/>
      <c r="U73" s="354"/>
      <c r="V73" s="354">
        <f>'Table 5C1A-Madison Prep'!AO74</f>
        <v>-0.46000000000000085</v>
      </c>
      <c r="W73" s="354">
        <f>'Table 5C1B-DArbonne'!AO74</f>
        <v>0</v>
      </c>
      <c r="X73" s="354">
        <f>'Table 5C1C-Intl_VIBE'!AO74</f>
        <v>0</v>
      </c>
      <c r="Y73" s="354">
        <f>'Table 5C1D-NOMMA'!AO74</f>
        <v>0</v>
      </c>
      <c r="Z73" s="354">
        <f>'Table 5C1E-LFNO'!AQ74</f>
        <v>0</v>
      </c>
      <c r="AA73" s="354">
        <f>'Table 5C1F-Lake Charles Charter'!AO74</f>
        <v>0</v>
      </c>
      <c r="AB73" s="354">
        <f>'Table 5C1G-JS Clark Academy'!AO74</f>
        <v>0</v>
      </c>
      <c r="AC73" s="354">
        <f>'Table 5C1H-Southwest LA Charter'!AO74</f>
        <v>0</v>
      </c>
      <c r="AD73" s="354">
        <f>'Table 5C2 - LA Virtual Admy'!AP72</f>
        <v>0</v>
      </c>
      <c r="AE73" s="354">
        <f>'Table 5C3 - LA Connections EBR'!AP72</f>
        <v>-1</v>
      </c>
      <c r="AF73" s="739">
        <f t="shared" si="30"/>
        <v>936803.58500000008</v>
      </c>
      <c r="AG73" s="47"/>
      <c r="AM73"/>
      <c r="AV73"/>
    </row>
    <row r="74" spans="1:48">
      <c r="A74" s="102">
        <v>69</v>
      </c>
      <c r="B74" s="300" t="s">
        <v>229</v>
      </c>
      <c r="C74" s="318">
        <f>'Table 2_State with Midyear Adjs'!AQ75</f>
        <v>2457135</v>
      </c>
      <c r="D74" s="355"/>
      <c r="E74" s="355"/>
      <c r="F74" s="355">
        <f>-'Table 5C1A-Madison Prep'!AH75</f>
        <v>48</v>
      </c>
      <c r="G74" s="355">
        <f>-'Table 5C1B-DArbonne'!AH75</f>
        <v>0</v>
      </c>
      <c r="H74" s="355">
        <f>-'Table 5C1C-Intl_VIBE'!AH75</f>
        <v>0</v>
      </c>
      <c r="I74" s="355">
        <f>-'Table 5C1D-NOMMA'!AH75</f>
        <v>0</v>
      </c>
      <c r="J74" s="355"/>
      <c r="K74" s="355">
        <f>-'Table 5C1E-LFNO'!AJ75</f>
        <v>0</v>
      </c>
      <c r="L74" s="355">
        <f>-'Table 5C1F-Lake Charles Charter'!AH75</f>
        <v>0</v>
      </c>
      <c r="M74" s="355">
        <f>-'Table 5C1G-JS Clark Academy'!AH75</f>
        <v>0</v>
      </c>
      <c r="N74" s="355">
        <f>-'Table 5C1H-Southwest LA Charter'!AH75</f>
        <v>0</v>
      </c>
      <c r="O74" s="355">
        <f>-'Table 5C2 - LA Virtual Admy'!AI73</f>
        <v>-2144</v>
      </c>
      <c r="P74" s="355">
        <f>-'Table 5C3 - LA Connections EBR'!AI73</f>
        <v>-264</v>
      </c>
      <c r="Q74" s="355">
        <f>-'Table 5E_OJJ'!AG75</f>
        <v>0</v>
      </c>
      <c r="R74" s="740">
        <f t="shared" si="29"/>
        <v>2454775</v>
      </c>
      <c r="S74" s="355"/>
      <c r="T74" s="355"/>
      <c r="U74" s="355"/>
      <c r="V74" s="355">
        <f>'Table 5C1A-Madison Prep'!AO75</f>
        <v>0</v>
      </c>
      <c r="W74" s="355">
        <f>'Table 5C1B-DArbonne'!AO75</f>
        <v>0</v>
      </c>
      <c r="X74" s="355">
        <f>'Table 5C1C-Intl_VIBE'!AO75</f>
        <v>0</v>
      </c>
      <c r="Y74" s="355">
        <f>'Table 5C1D-NOMMA'!AO75</f>
        <v>0</v>
      </c>
      <c r="Z74" s="355">
        <f>'Table 5C1E-LFNO'!AQ75</f>
        <v>0</v>
      </c>
      <c r="AA74" s="355">
        <f>'Table 5C1F-Lake Charles Charter'!AO75</f>
        <v>0</v>
      </c>
      <c r="AB74" s="355">
        <f>'Table 5C1G-JS Clark Academy'!AO75</f>
        <v>0</v>
      </c>
      <c r="AC74" s="355">
        <f>'Table 5C1H-Southwest LA Charter'!AO75</f>
        <v>0</v>
      </c>
      <c r="AD74" s="355">
        <f>'Table 5C2 - LA Virtual Admy'!AP73</f>
        <v>0</v>
      </c>
      <c r="AE74" s="355">
        <f>'Table 5C3 - LA Connections EBR'!AP73</f>
        <v>0</v>
      </c>
      <c r="AF74" s="740">
        <f t="shared" si="30"/>
        <v>2454775</v>
      </c>
      <c r="AG74" s="47"/>
      <c r="AM74"/>
      <c r="AV74"/>
    </row>
    <row r="75" spans="1:48" ht="13.5" thickBot="1">
      <c r="A75" s="414"/>
      <c r="B75" s="415" t="s">
        <v>167</v>
      </c>
      <c r="C75" s="743">
        <f t="shared" ref="C75:AG75" si="31">SUM(C6:C74)</f>
        <v>287164642</v>
      </c>
      <c r="D75" s="743">
        <f t="shared" si="31"/>
        <v>-1186857.1100000001</v>
      </c>
      <c r="E75" s="743">
        <f t="shared" si="31"/>
        <v>-12685204.505000003</v>
      </c>
      <c r="F75" s="743">
        <f t="shared" si="31"/>
        <v>-121542.89</v>
      </c>
      <c r="G75" s="743">
        <f t="shared" si="31"/>
        <v>-148726.51374999998</v>
      </c>
      <c r="H75" s="743">
        <f t="shared" si="31"/>
        <v>-186470.02187500001</v>
      </c>
      <c r="I75" s="743">
        <f t="shared" si="31"/>
        <v>-124035.95312499997</v>
      </c>
      <c r="J75" s="743">
        <f t="shared" si="31"/>
        <v>0</v>
      </c>
      <c r="K75" s="743">
        <f t="shared" si="31"/>
        <v>-114360.48125</v>
      </c>
      <c r="L75" s="743">
        <f t="shared" si="31"/>
        <v>-382840.79062499991</v>
      </c>
      <c r="M75" s="743">
        <f t="shared" si="31"/>
        <v>-33034.936874999999</v>
      </c>
      <c r="N75" s="743">
        <f t="shared" si="31"/>
        <v>-274520.91937499988</v>
      </c>
      <c r="O75" s="743">
        <f t="shared" si="31"/>
        <v>-303071</v>
      </c>
      <c r="P75" s="743">
        <f t="shared" si="31"/>
        <v>-832336</v>
      </c>
      <c r="Q75" s="743">
        <f t="shared" si="31"/>
        <v>-97169</v>
      </c>
      <c r="R75" s="744">
        <f t="shared" si="31"/>
        <v>270674471.87812495</v>
      </c>
      <c r="S75" s="743">
        <f t="shared" si="31"/>
        <v>-526.6449999999968</v>
      </c>
      <c r="T75" s="743">
        <f t="shared" si="31"/>
        <v>-75.235000000000582</v>
      </c>
      <c r="U75" s="743">
        <f>SUM(U6:U74)</f>
        <v>-16867.802500000165</v>
      </c>
      <c r="V75" s="743">
        <f t="shared" si="31"/>
        <v>-27.586250000000003</v>
      </c>
      <c r="W75" s="743">
        <f t="shared" si="31"/>
        <v>-18.750000000000036</v>
      </c>
      <c r="X75" s="743">
        <f t="shared" si="31"/>
        <v>-261.27374999999989</v>
      </c>
      <c r="Y75" s="743">
        <f t="shared" si="31"/>
        <v>-125.70375000000014</v>
      </c>
      <c r="Z75" s="743">
        <f t="shared" si="31"/>
        <v>-126.78875000000002</v>
      </c>
      <c r="AA75" s="743">
        <f t="shared" si="31"/>
        <v>-7.6650000000008731</v>
      </c>
      <c r="AB75" s="743">
        <f t="shared" si="31"/>
        <v>-4.3499999999999996</v>
      </c>
      <c r="AC75" s="743">
        <f t="shared" si="31"/>
        <v>-5.4349999999999632</v>
      </c>
      <c r="AD75" s="743">
        <f t="shared" si="31"/>
        <v>-120</v>
      </c>
      <c r="AE75" s="743">
        <f t="shared" si="31"/>
        <v>-111</v>
      </c>
      <c r="AF75" s="744">
        <f t="shared" si="31"/>
        <v>270656193.64312494</v>
      </c>
      <c r="AG75" s="47">
        <f t="shared" si="31"/>
        <v>0</v>
      </c>
      <c r="AM75"/>
      <c r="AV75"/>
    </row>
    <row r="76" spans="1:48" ht="13.5" thickTop="1">
      <c r="AI76" s="99"/>
      <c r="AJ76" s="99"/>
      <c r="AK76" s="99"/>
      <c r="AL76" s="99"/>
      <c r="AM76" s="99"/>
      <c r="AN76" s="99"/>
      <c r="AO76" s="99"/>
      <c r="AP76" s="99"/>
      <c r="AQ76" s="99"/>
      <c r="AT76" s="99"/>
    </row>
    <row r="77" spans="1:48">
      <c r="R77" s="49">
        <f>SUM(C75:Q75)</f>
        <v>270674471.87812501</v>
      </c>
      <c r="S77" s="49"/>
      <c r="T77" s="49"/>
      <c r="AF77" s="49">
        <f>SUM(R75:AE75)</f>
        <v>270656193.64312488</v>
      </c>
    </row>
    <row r="78" spans="1:48">
      <c r="D78" s="1835"/>
      <c r="E78" s="1835"/>
      <c r="F78" s="1835"/>
      <c r="G78" s="1835"/>
      <c r="H78" s="1835"/>
      <c r="I78" s="1835"/>
      <c r="J78" s="1835"/>
      <c r="K78" s="1835"/>
      <c r="AI78" s="49"/>
      <c r="AJ78" s="49"/>
      <c r="AK78" s="49"/>
      <c r="AL78" s="49"/>
      <c r="AN78" s="49"/>
      <c r="AO78" s="49"/>
      <c r="AP78" s="49"/>
      <c r="AQ78" s="49"/>
      <c r="AT78" s="49"/>
    </row>
  </sheetData>
  <mergeCells count="33">
    <mergeCell ref="F1:F4"/>
    <mergeCell ref="A1:A4"/>
    <mergeCell ref="B1:B4"/>
    <mergeCell ref="C1:C4"/>
    <mergeCell ref="D1:D4"/>
    <mergeCell ref="E1:E4"/>
    <mergeCell ref="Q1:Q4"/>
    <mergeCell ref="I1:I4"/>
    <mergeCell ref="J1:J4"/>
    <mergeCell ref="L1:L4"/>
    <mergeCell ref="O1:O4"/>
    <mergeCell ref="P1:P4"/>
    <mergeCell ref="AD1:AD4"/>
    <mergeCell ref="AE1:AE4"/>
    <mergeCell ref="AB1:AB4"/>
    <mergeCell ref="AC1:AC4"/>
    <mergeCell ref="AF1:AF4"/>
    <mergeCell ref="D78:K78"/>
    <mergeCell ref="K1:K4"/>
    <mergeCell ref="Y1:Y4"/>
    <mergeCell ref="Z1:Z4"/>
    <mergeCell ref="AA1:AA4"/>
    <mergeCell ref="M1:M4"/>
    <mergeCell ref="N1:N4"/>
    <mergeCell ref="U1:U4"/>
    <mergeCell ref="H1:H4"/>
    <mergeCell ref="G1:G4"/>
    <mergeCell ref="R1:R4"/>
    <mergeCell ref="S1:S4"/>
    <mergeCell ref="T1:T4"/>
    <mergeCell ref="V1:V4"/>
    <mergeCell ref="W1:W4"/>
    <mergeCell ref="X1:X4"/>
  </mergeCells>
  <printOptions horizontalCentered="1"/>
  <pageMargins left="0.25" right="0.33" top="1.01" bottom="0.75" header="0.3" footer="0.3"/>
  <pageSetup paperSize="5" scale="75" firstPageNumber="11" orientation="portrait" useFirstPageNumber="1" r:id="rId1"/>
  <headerFooter>
    <oddHeader>&amp;L&amp;"Arial,Bold"&amp;14Table 2A-2:  Revised FY2012-13 Budget Letter (May 2013)
MFP Transfer Amount (Monthly Amount)</oddHeader>
    <oddFooter>&amp;R&amp;P</oddFooter>
  </headerFooter>
  <colBreaks count="3" manualBreakCount="3">
    <brk id="11" max="74" man="1"/>
    <brk id="18" max="1048575" man="1"/>
    <brk id="25" max="7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873"/>
  <sheetViews>
    <sheetView view="pageBreakPreview" zoomScale="90" zoomScaleNormal="85" zoomScaleSheetLayoutView="90" workbookViewId="0">
      <pane xSplit="2" ySplit="7" topLeftCell="C8" activePane="bottomRight" state="frozen"/>
      <selection activeCell="A8" sqref="A8:A9"/>
      <selection pane="topRight" activeCell="A8" sqref="A8:A9"/>
      <selection pane="bottomLeft" activeCell="A8" sqref="A8:A9"/>
      <selection pane="bottomRight" activeCell="B5" sqref="B5"/>
    </sheetView>
  </sheetViews>
  <sheetFormatPr defaultRowHeight="12.75"/>
  <cols>
    <col min="1" max="1" width="4.7109375" style="1" bestFit="1" customWidth="1"/>
    <col min="2" max="2" width="18.7109375" style="2" customWidth="1"/>
    <col min="3" max="3" width="20.140625" style="2" customWidth="1"/>
    <col min="4" max="4" width="15.85546875" style="2" customWidth="1"/>
    <col min="5" max="5" width="15.42578125" style="3" bestFit="1" customWidth="1"/>
    <col min="6" max="6" width="16.7109375" style="2" bestFit="1" customWidth="1"/>
    <col min="7" max="7" width="13.42578125" style="2" bestFit="1" customWidth="1"/>
    <col min="8" max="8" width="19.140625" style="2" bestFit="1" customWidth="1"/>
    <col min="9" max="9" width="16.28515625" style="2" bestFit="1" customWidth="1"/>
    <col min="10" max="10" width="15.140625" style="2" bestFit="1" customWidth="1"/>
    <col min="11" max="11" width="15.42578125" style="2" bestFit="1" customWidth="1"/>
    <col min="12" max="12" width="18" style="2" bestFit="1" customWidth="1"/>
    <col min="13" max="13" width="13.28515625" style="4" customWidth="1"/>
    <col min="14" max="15" width="14.85546875" style="2" customWidth="1"/>
    <col min="16" max="16" width="15.140625" style="2" bestFit="1" customWidth="1"/>
    <col min="17" max="17" width="9.85546875" style="2" bestFit="1" customWidth="1"/>
    <col min="18" max="18" width="15.42578125" style="2" customWidth="1"/>
    <col min="19" max="19" width="15.42578125" style="139" customWidth="1"/>
    <col min="20" max="20" width="15.28515625" style="139" customWidth="1"/>
    <col min="21" max="21" width="18.28515625" style="139" customWidth="1"/>
    <col min="22" max="22" width="10.7109375" style="139" bestFit="1" customWidth="1"/>
    <col min="23" max="24" width="10" style="139" customWidth="1"/>
    <col min="25" max="25" width="18.140625" style="139" customWidth="1"/>
    <col min="26" max="26" width="15.140625" style="139" customWidth="1"/>
    <col min="27" max="27" width="9.5703125" style="139" customWidth="1"/>
    <col min="28" max="28" width="14.140625" style="139" customWidth="1"/>
    <col min="29" max="29" width="14.42578125" style="139" customWidth="1"/>
    <col min="30" max="30" width="13.85546875" style="139" customWidth="1"/>
    <col min="31" max="31" width="16" style="139" customWidth="1"/>
    <col min="32" max="32" width="10.5703125" style="139" customWidth="1"/>
    <col min="33" max="33" width="15.5703125" style="139" customWidth="1"/>
    <col min="34" max="34" width="9.42578125" style="139" bestFit="1" customWidth="1"/>
    <col min="35" max="35" width="17.42578125" style="139" customWidth="1"/>
    <col min="36" max="36" width="9.42578125" style="139" bestFit="1" customWidth="1"/>
    <col min="37" max="37" width="18.85546875" style="139" customWidth="1"/>
    <col min="38" max="38" width="9.42578125" style="139" bestFit="1" customWidth="1"/>
    <col min="39" max="39" width="17.28515625" style="139" customWidth="1"/>
    <col min="40" max="40" width="9.42578125" style="139" bestFit="1" customWidth="1"/>
    <col min="41" max="41" width="17.85546875" style="139" customWidth="1"/>
    <col min="42" max="42" width="9.42578125" style="139" bestFit="1" customWidth="1"/>
    <col min="43" max="43" width="13.85546875" style="139" customWidth="1"/>
    <col min="44" max="44" width="5.7109375" style="139" bestFit="1" customWidth="1"/>
    <col min="45" max="45" width="16.28515625" style="139" customWidth="1"/>
    <col min="46" max="46" width="8.140625" style="139" bestFit="1" customWidth="1"/>
    <col min="47" max="47" width="5" style="139" bestFit="1" customWidth="1"/>
    <col min="48" max="48" width="9.85546875" style="139" bestFit="1" customWidth="1"/>
    <col min="49" max="49" width="18.5703125" style="139" customWidth="1"/>
    <col min="50" max="50" width="8.85546875" style="139" bestFit="1" customWidth="1"/>
    <col min="51" max="51" width="5" style="139" bestFit="1" customWidth="1"/>
    <col min="52" max="52" width="21.5703125" style="139" customWidth="1"/>
    <col min="53" max="53" width="17.140625" style="139" customWidth="1"/>
    <col min="54" max="55" width="17.42578125" style="179" hidden="1" customWidth="1"/>
    <col min="56" max="56" width="14.28515625" style="179" hidden="1" customWidth="1"/>
    <col min="57" max="57" width="15" style="179" hidden="1" customWidth="1"/>
    <col min="58" max="58" width="13.140625" hidden="1" customWidth="1"/>
    <col min="59" max="59" width="12.7109375" hidden="1" customWidth="1"/>
    <col min="60" max="60" width="15.5703125" hidden="1" customWidth="1"/>
    <col min="61" max="61" width="16.28515625" hidden="1" customWidth="1"/>
    <col min="62" max="62" width="13.85546875" hidden="1" customWidth="1"/>
    <col min="63" max="63" width="15" hidden="1" customWidth="1"/>
    <col min="64" max="64" width="11.5703125" hidden="1" customWidth="1"/>
    <col min="65" max="65" width="10.140625" hidden="1" customWidth="1"/>
    <col min="66" max="66" width="15.28515625" hidden="1" customWidth="1"/>
    <col min="67" max="67" width="9.140625" hidden="1" customWidth="1"/>
    <col min="68" max="68" width="10.140625" hidden="1" customWidth="1"/>
    <col min="69" max="76" width="0" hidden="1" customWidth="1"/>
    <col min="149" max="16384" width="9.140625" style="2"/>
  </cols>
  <sheetData>
    <row r="1" spans="1:148" ht="27" thickBot="1">
      <c r="A1" s="1839"/>
      <c r="B1" s="1840"/>
      <c r="C1" s="1843"/>
      <c r="D1" s="1843"/>
      <c r="E1" s="1843"/>
      <c r="F1" s="1843"/>
      <c r="G1" s="1843"/>
      <c r="H1" s="1843"/>
      <c r="I1" s="1843"/>
      <c r="J1" s="1843"/>
      <c r="K1" s="1843"/>
      <c r="L1" s="1843"/>
      <c r="M1" s="1843"/>
      <c r="N1" s="1843"/>
      <c r="O1" s="1843"/>
      <c r="P1" s="1843"/>
      <c r="Q1" s="1843"/>
      <c r="R1" s="1843"/>
      <c r="S1" s="240"/>
      <c r="T1" s="240"/>
      <c r="U1" s="241"/>
      <c r="V1" s="241"/>
      <c r="W1" s="241"/>
      <c r="X1" s="241"/>
      <c r="Y1" s="241"/>
      <c r="AB1" s="242"/>
      <c r="AC1" s="240"/>
      <c r="AD1" s="241"/>
      <c r="AE1" s="241"/>
      <c r="AF1" s="241"/>
    </row>
    <row r="2" spans="1:148" ht="1.5" hidden="1" customHeight="1">
      <c r="A2" s="1841"/>
      <c r="B2" s="1842"/>
      <c r="E2" s="2"/>
      <c r="M2" s="2"/>
      <c r="S2" s="243"/>
      <c r="T2" s="243"/>
      <c r="AC2" s="244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</row>
    <row r="3" spans="1:148" s="7" customFormat="1" ht="41.25" hidden="1" thickBot="1">
      <c r="A3" s="1848"/>
      <c r="B3" s="1849"/>
      <c r="C3" s="156" t="s">
        <v>65</v>
      </c>
      <c r="D3" s="83" t="s">
        <v>65</v>
      </c>
      <c r="E3" s="221" t="s">
        <v>77</v>
      </c>
      <c r="F3" s="122" t="s">
        <v>75</v>
      </c>
      <c r="G3" s="221" t="s">
        <v>78</v>
      </c>
      <c r="H3" s="122" t="s">
        <v>74</v>
      </c>
      <c r="I3" s="221" t="s">
        <v>79</v>
      </c>
      <c r="J3" s="122" t="s">
        <v>74</v>
      </c>
      <c r="K3" s="221" t="s">
        <v>80</v>
      </c>
      <c r="L3" s="73" t="s">
        <v>206</v>
      </c>
      <c r="M3" s="73" t="s">
        <v>207</v>
      </c>
      <c r="N3" s="222" t="s">
        <v>208</v>
      </c>
      <c r="O3" s="114" t="s">
        <v>204</v>
      </c>
      <c r="P3" s="124" t="s">
        <v>210</v>
      </c>
      <c r="Q3" s="223" t="s">
        <v>23</v>
      </c>
      <c r="R3" s="237" t="s">
        <v>209</v>
      </c>
      <c r="S3" s="246"/>
      <c r="T3" s="246"/>
      <c r="U3" s="246"/>
      <c r="V3" s="246"/>
      <c r="W3" s="246"/>
      <c r="X3" s="246"/>
      <c r="Y3" s="246"/>
      <c r="Z3" s="246"/>
      <c r="AA3" s="246"/>
      <c r="AB3" s="247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8"/>
      <c r="BC3" s="248"/>
      <c r="BD3" s="179"/>
      <c r="BE3" s="179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</row>
    <row r="4" spans="1:148" s="7" customFormat="1" ht="17.25" thickBot="1">
      <c r="C4" s="219"/>
      <c r="D4" s="288"/>
      <c r="E4" s="359">
        <v>0.22</v>
      </c>
      <c r="F4" s="264"/>
      <c r="G4" s="360">
        <v>0.06</v>
      </c>
      <c r="H4" s="289"/>
      <c r="I4" s="360">
        <v>1.5</v>
      </c>
      <c r="J4" s="264"/>
      <c r="K4" s="361">
        <v>0.6</v>
      </c>
      <c r="L4" s="362">
        <v>7500</v>
      </c>
      <c r="M4" s="362">
        <v>37500</v>
      </c>
      <c r="N4" s="363">
        <f>M4</f>
        <v>37500</v>
      </c>
      <c r="Q4" s="364">
        <f>ROUND(3855*1,0)</f>
        <v>3855</v>
      </c>
      <c r="S4" s="251"/>
      <c r="T4" s="365">
        <v>0.75</v>
      </c>
      <c r="U4" s="252"/>
      <c r="V4" s="253"/>
      <c r="W4" s="253"/>
      <c r="X4" s="253"/>
      <c r="Z4" s="22"/>
      <c r="AA4" s="22"/>
      <c r="AB4" s="366">
        <v>0.34</v>
      </c>
      <c r="AC4" s="22"/>
      <c r="AD4" s="367">
        <v>1.72</v>
      </c>
      <c r="AE4" s="463"/>
      <c r="AF4" s="22"/>
      <c r="AG4" s="22"/>
      <c r="AH4" s="22"/>
      <c r="AI4" s="1844" t="s">
        <v>573</v>
      </c>
      <c r="AJ4" s="1845"/>
      <c r="AK4" s="1845"/>
      <c r="AL4" s="1846"/>
      <c r="AM4" s="1850" t="s">
        <v>574</v>
      </c>
      <c r="AN4" s="1851"/>
      <c r="AO4" s="1851"/>
      <c r="AP4" s="1852"/>
      <c r="AQ4" s="22"/>
      <c r="AR4" s="22"/>
      <c r="AS4" s="22"/>
      <c r="AT4" s="22"/>
      <c r="AU4" s="22"/>
      <c r="AV4" s="22"/>
      <c r="AW4" s="22"/>
      <c r="AX4" s="22"/>
      <c r="AY4" s="22"/>
      <c r="AZ4" s="1837" t="s">
        <v>228</v>
      </c>
      <c r="BA4" s="1838"/>
      <c r="BB4" s="179"/>
      <c r="BC4" s="179"/>
      <c r="BD4" s="179"/>
      <c r="BE4" s="179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</row>
    <row r="5" spans="1:148" s="1" customFormat="1" ht="144" customHeight="1">
      <c r="A5" s="46" t="s">
        <v>203</v>
      </c>
      <c r="B5" s="46" t="s">
        <v>275</v>
      </c>
      <c r="C5" s="1407" t="s">
        <v>1347</v>
      </c>
      <c r="D5" s="1154" t="s">
        <v>767</v>
      </c>
      <c r="E5" s="353" t="s">
        <v>256</v>
      </c>
      <c r="F5" s="46" t="s">
        <v>768</v>
      </c>
      <c r="G5" s="358" t="s">
        <v>250</v>
      </c>
      <c r="H5" s="46" t="s">
        <v>769</v>
      </c>
      <c r="I5" s="353" t="s">
        <v>257</v>
      </c>
      <c r="J5" s="46" t="s">
        <v>770</v>
      </c>
      <c r="K5" s="353" t="s">
        <v>258</v>
      </c>
      <c r="L5" s="368" t="s">
        <v>266</v>
      </c>
      <c r="M5" s="369" t="s">
        <v>265</v>
      </c>
      <c r="N5" s="353" t="s">
        <v>225</v>
      </c>
      <c r="O5" s="46" t="s">
        <v>259</v>
      </c>
      <c r="P5" s="46" t="s">
        <v>260</v>
      </c>
      <c r="Q5" s="353" t="s">
        <v>279</v>
      </c>
      <c r="R5" s="46" t="s">
        <v>231</v>
      </c>
      <c r="S5" s="259" t="s">
        <v>232</v>
      </c>
      <c r="T5" s="333" t="s">
        <v>280</v>
      </c>
      <c r="U5" s="260" t="s">
        <v>301</v>
      </c>
      <c r="V5" s="331" t="s">
        <v>271</v>
      </c>
      <c r="W5" s="334" t="s">
        <v>272</v>
      </c>
      <c r="X5" s="334" t="s">
        <v>244</v>
      </c>
      <c r="Y5" s="258" t="s">
        <v>281</v>
      </c>
      <c r="Z5" s="258" t="s">
        <v>282</v>
      </c>
      <c r="AA5" s="258" t="s">
        <v>283</v>
      </c>
      <c r="AB5" s="370" t="s">
        <v>233</v>
      </c>
      <c r="AC5" s="332" t="s">
        <v>226</v>
      </c>
      <c r="AD5" s="370" t="s">
        <v>234</v>
      </c>
      <c r="AE5" s="371" t="s">
        <v>302</v>
      </c>
      <c r="AF5" s="372" t="s">
        <v>91</v>
      </c>
      <c r="AG5" s="84" t="s">
        <v>303</v>
      </c>
      <c r="AH5" s="46" t="s">
        <v>284</v>
      </c>
      <c r="AI5" s="428" t="s">
        <v>567</v>
      </c>
      <c r="AJ5" s="353" t="s">
        <v>284</v>
      </c>
      <c r="AK5" s="428" t="s">
        <v>566</v>
      </c>
      <c r="AL5" s="353" t="s">
        <v>279</v>
      </c>
      <c r="AM5" s="428" t="s">
        <v>569</v>
      </c>
      <c r="AN5" s="353" t="s">
        <v>279</v>
      </c>
      <c r="AO5" s="428" t="s">
        <v>568</v>
      </c>
      <c r="AP5" s="353" t="s">
        <v>279</v>
      </c>
      <c r="AQ5" s="335" t="s">
        <v>570</v>
      </c>
      <c r="AR5" s="335" t="s">
        <v>215</v>
      </c>
      <c r="AS5" s="332" t="s">
        <v>304</v>
      </c>
      <c r="AT5" s="332" t="s">
        <v>279</v>
      </c>
      <c r="AU5" s="332" t="s">
        <v>245</v>
      </c>
      <c r="AV5" s="332" t="s">
        <v>246</v>
      </c>
      <c r="AW5" s="258" t="s">
        <v>305</v>
      </c>
      <c r="AX5" s="258" t="s">
        <v>279</v>
      </c>
      <c r="AY5" s="258" t="s">
        <v>215</v>
      </c>
      <c r="AZ5" s="266" t="s">
        <v>742</v>
      </c>
      <c r="BA5" s="266" t="s">
        <v>679</v>
      </c>
      <c r="BB5" s="747" t="s">
        <v>746</v>
      </c>
      <c r="BC5" s="747" t="s">
        <v>684</v>
      </c>
      <c r="BD5" s="748" t="s">
        <v>596</v>
      </c>
      <c r="BE5" s="950" t="s">
        <v>747</v>
      </c>
      <c r="BF5" s="950" t="s">
        <v>685</v>
      </c>
      <c r="BG5" s="951" t="s">
        <v>596</v>
      </c>
      <c r="BH5" s="1107" t="s">
        <v>743</v>
      </c>
      <c r="BI5" s="952" t="s">
        <v>686</v>
      </c>
      <c r="BJ5" s="750" t="s">
        <v>596</v>
      </c>
      <c r="BK5" s="953" t="s">
        <v>744</v>
      </c>
      <c r="BL5" s="953" t="s">
        <v>687</v>
      </c>
      <c r="BM5" s="751" t="s">
        <v>596</v>
      </c>
      <c r="BN5" s="960" t="s">
        <v>745</v>
      </c>
      <c r="BO5" s="960" t="s">
        <v>688</v>
      </c>
      <c r="BP5" s="752" t="s">
        <v>596</v>
      </c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</row>
    <row r="6" spans="1:148" s="217" customFormat="1">
      <c r="A6" s="214"/>
      <c r="B6" s="214"/>
      <c r="C6" s="216">
        <v>1</v>
      </c>
      <c r="D6" s="215" t="s">
        <v>171</v>
      </c>
      <c r="E6" s="215">
        <v>2</v>
      </c>
      <c r="F6" s="215" t="s">
        <v>168</v>
      </c>
      <c r="G6" s="215">
        <v>3</v>
      </c>
      <c r="H6" s="215" t="s">
        <v>169</v>
      </c>
      <c r="I6" s="215">
        <v>4</v>
      </c>
      <c r="J6" s="215" t="s">
        <v>170</v>
      </c>
      <c r="K6" s="215">
        <v>5</v>
      </c>
      <c r="L6" s="215" t="s">
        <v>222</v>
      </c>
      <c r="M6" s="216" t="s">
        <v>62</v>
      </c>
      <c r="N6" s="215">
        <v>6</v>
      </c>
      <c r="O6" s="215">
        <f>N6+1</f>
        <v>7</v>
      </c>
      <c r="P6" s="215">
        <f>O6+1</f>
        <v>8</v>
      </c>
      <c r="Q6" s="215">
        <f>P6+1</f>
        <v>9</v>
      </c>
      <c r="R6" s="215">
        <f>Q6+1</f>
        <v>10</v>
      </c>
      <c r="S6" s="215">
        <f t="shared" ref="S6:AY6" si="0">R6+1</f>
        <v>11</v>
      </c>
      <c r="T6" s="216" t="s">
        <v>238</v>
      </c>
      <c r="U6" s="215">
        <v>12</v>
      </c>
      <c r="V6" s="215">
        <f t="shared" si="0"/>
        <v>13</v>
      </c>
      <c r="W6" s="215">
        <f t="shared" si="0"/>
        <v>14</v>
      </c>
      <c r="X6" s="215">
        <f t="shared" si="0"/>
        <v>15</v>
      </c>
      <c r="Y6" s="215">
        <f t="shared" si="0"/>
        <v>16</v>
      </c>
      <c r="Z6" s="215">
        <f t="shared" si="0"/>
        <v>17</v>
      </c>
      <c r="AA6" s="215">
        <f t="shared" si="0"/>
        <v>18</v>
      </c>
      <c r="AB6" s="215">
        <f t="shared" si="0"/>
        <v>19</v>
      </c>
      <c r="AC6" s="215">
        <f t="shared" si="0"/>
        <v>20</v>
      </c>
      <c r="AD6" s="215">
        <f t="shared" si="0"/>
        <v>21</v>
      </c>
      <c r="AE6" s="215">
        <f t="shared" si="0"/>
        <v>22</v>
      </c>
      <c r="AF6" s="215">
        <f t="shared" si="0"/>
        <v>23</v>
      </c>
      <c r="AG6" s="215">
        <f t="shared" si="0"/>
        <v>24</v>
      </c>
      <c r="AH6" s="215">
        <f t="shared" si="0"/>
        <v>25</v>
      </c>
      <c r="AI6" s="215">
        <f t="shared" si="0"/>
        <v>26</v>
      </c>
      <c r="AJ6" s="215">
        <f t="shared" si="0"/>
        <v>27</v>
      </c>
      <c r="AK6" s="215">
        <f t="shared" si="0"/>
        <v>28</v>
      </c>
      <c r="AL6" s="215">
        <f t="shared" si="0"/>
        <v>29</v>
      </c>
      <c r="AM6" s="215">
        <f t="shared" si="0"/>
        <v>30</v>
      </c>
      <c r="AN6" s="215">
        <f t="shared" si="0"/>
        <v>31</v>
      </c>
      <c r="AO6" s="215">
        <f t="shared" si="0"/>
        <v>32</v>
      </c>
      <c r="AP6" s="215">
        <f t="shared" si="0"/>
        <v>33</v>
      </c>
      <c r="AQ6" s="215">
        <f t="shared" si="0"/>
        <v>34</v>
      </c>
      <c r="AR6" s="215">
        <f t="shared" si="0"/>
        <v>35</v>
      </c>
      <c r="AS6" s="215">
        <f t="shared" si="0"/>
        <v>36</v>
      </c>
      <c r="AT6" s="215">
        <f t="shared" si="0"/>
        <v>37</v>
      </c>
      <c r="AU6" s="215">
        <f t="shared" si="0"/>
        <v>38</v>
      </c>
      <c r="AV6" s="215">
        <f t="shared" si="0"/>
        <v>39</v>
      </c>
      <c r="AW6" s="215">
        <f t="shared" si="0"/>
        <v>40</v>
      </c>
      <c r="AX6" s="215">
        <f t="shared" si="0"/>
        <v>41</v>
      </c>
      <c r="AY6" s="215">
        <f t="shared" si="0"/>
        <v>42</v>
      </c>
      <c r="AZ6" s="215">
        <f>AY6+1</f>
        <v>43</v>
      </c>
      <c r="BA6" s="215">
        <f>AZ6+1</f>
        <v>44</v>
      </c>
      <c r="BB6" s="215">
        <f t="shared" ref="BB6:BJ6" si="1">BA6+1</f>
        <v>45</v>
      </c>
      <c r="BC6" s="215">
        <f t="shared" si="1"/>
        <v>46</v>
      </c>
      <c r="BD6" s="215">
        <f t="shared" si="1"/>
        <v>47</v>
      </c>
      <c r="BE6" s="215">
        <f t="shared" si="1"/>
        <v>48</v>
      </c>
      <c r="BF6" s="215">
        <f t="shared" si="1"/>
        <v>49</v>
      </c>
      <c r="BG6" s="215">
        <f t="shared" si="1"/>
        <v>50</v>
      </c>
      <c r="BH6" s="749">
        <f t="shared" si="1"/>
        <v>51</v>
      </c>
      <c r="BI6" s="749">
        <f t="shared" si="1"/>
        <v>52</v>
      </c>
      <c r="BJ6" s="749">
        <f t="shared" si="1"/>
        <v>53</v>
      </c>
      <c r="BK6" s="749">
        <f t="shared" ref="BK6:BP6" si="2">BJ6+1</f>
        <v>54</v>
      </c>
      <c r="BL6" s="749">
        <f>BK6+1</f>
        <v>55</v>
      </c>
      <c r="BM6" s="749">
        <f t="shared" si="2"/>
        <v>56</v>
      </c>
      <c r="BN6" s="749">
        <f t="shared" si="2"/>
        <v>57</v>
      </c>
      <c r="BO6" s="749">
        <f t="shared" si="2"/>
        <v>58</v>
      </c>
      <c r="BP6" s="749">
        <f t="shared" si="2"/>
        <v>59</v>
      </c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</row>
    <row r="7" spans="1:148" ht="0.75" customHeight="1">
      <c r="A7" s="291"/>
      <c r="B7" s="292"/>
      <c r="C7" s="293">
        <v>39114</v>
      </c>
      <c r="D7" s="294" t="s">
        <v>101</v>
      </c>
      <c r="E7" s="293">
        <v>39114</v>
      </c>
      <c r="F7" s="294" t="s">
        <v>101</v>
      </c>
      <c r="G7" s="293">
        <v>38992</v>
      </c>
      <c r="H7" s="295" t="s">
        <v>101</v>
      </c>
      <c r="I7" s="293">
        <v>39114</v>
      </c>
      <c r="J7" s="295" t="s">
        <v>101</v>
      </c>
      <c r="K7" s="293">
        <v>39114</v>
      </c>
      <c r="L7" s="295" t="s">
        <v>101</v>
      </c>
      <c r="M7" s="296" t="s">
        <v>101</v>
      </c>
      <c r="N7" s="292"/>
      <c r="O7" s="292"/>
      <c r="P7" s="292"/>
      <c r="Q7" s="292"/>
      <c r="R7" s="292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139"/>
    </row>
    <row r="8" spans="1:148" s="5" customFormat="1">
      <c r="A8" s="103">
        <v>1</v>
      </c>
      <c r="B8" s="81" t="s">
        <v>102</v>
      </c>
      <c r="C8" s="13">
        <f>'Table 8 2.1.12 MFP Funded'!AD4</f>
        <v>9346</v>
      </c>
      <c r="D8" s="13">
        <f>'[7]Table 3 for Option A'!AD4</f>
        <v>6580</v>
      </c>
      <c r="E8" s="13">
        <f t="shared" ref="E8:E39" si="3">ROUND($E$4*D8,0)</f>
        <v>1448</v>
      </c>
      <c r="F8" s="13">
        <f>'[8]Table 3 Option A'!T12</f>
        <v>2695</v>
      </c>
      <c r="G8" s="13">
        <f t="shared" ref="G8:G39" si="4">ROUND($G$4*F8,0)</f>
        <v>162</v>
      </c>
      <c r="H8" s="599">
        <f>'[9]SWD_Option A'!Z6</f>
        <v>999</v>
      </c>
      <c r="I8" s="13">
        <f>ROUND($I$4*H8,0)</f>
        <v>1499</v>
      </c>
      <c r="J8" s="599">
        <f>'[9]GiftedTalented-Option a'!AA6</f>
        <v>84</v>
      </c>
      <c r="K8" s="13">
        <f>ROUND($K$4*J8,0)</f>
        <v>50</v>
      </c>
      <c r="L8" s="15">
        <f t="shared" ref="L8:L39" si="5">IF(C8&lt;$L$4,$L$4-C8,0)</f>
        <v>0</v>
      </c>
      <c r="M8" s="65">
        <f t="shared" ref="M8:M39" si="6">ROUND(L8/$M$4,5)</f>
        <v>0</v>
      </c>
      <c r="N8" s="13">
        <f t="shared" ref="N8:N39" si="7" xml:space="preserve"> ROUND(C8*M8,0)</f>
        <v>0</v>
      </c>
      <c r="O8" s="13">
        <f>E8+G8+I8+K8+N8</f>
        <v>3159</v>
      </c>
      <c r="P8" s="13">
        <f t="shared" ref="P8:P39" si="8">O8+C8</f>
        <v>12505</v>
      </c>
      <c r="Q8" s="384">
        <f>$Q$4</f>
        <v>3855</v>
      </c>
      <c r="R8" s="384">
        <f t="shared" ref="R8:R39" si="9">ROUND(P8*Q8,0)</f>
        <v>48206775</v>
      </c>
      <c r="S8" s="384">
        <f>'Table 6 (Local Deduct Calc.)'!J9</f>
        <v>11068270.5</v>
      </c>
      <c r="T8" s="384">
        <f>IF((S8&gt;R8*$T$4),R8*$T$4,S8)</f>
        <v>11068270.5</v>
      </c>
      <c r="U8" s="385">
        <f>R8-T8</f>
        <v>37138504.5</v>
      </c>
      <c r="V8" s="386">
        <f>ROUND(U8/R8,4)</f>
        <v>0.77039999999999997</v>
      </c>
      <c r="W8" s="386">
        <f>ROUND(T8/R8,4)</f>
        <v>0.2296</v>
      </c>
      <c r="X8" s="387">
        <f>T8/C8</f>
        <v>1184.278889364434</v>
      </c>
      <c r="Y8" s="384">
        <f>'Table 7 Local Revenue'!AQ8</f>
        <v>19122806.5</v>
      </c>
      <c r="Z8" s="384">
        <f>IF(Y8-T8&gt;0,Y8-T8,0)</f>
        <v>8054536</v>
      </c>
      <c r="AA8" s="276">
        <f>IF(Y8-T8&lt;0,Y8-T8,0)</f>
        <v>0</v>
      </c>
      <c r="AB8" s="14">
        <f>R8*$AB$4</f>
        <v>16390303.500000002</v>
      </c>
      <c r="AC8" s="14">
        <f>IF(Z8&lt;AB8,Z8,AB8)</f>
        <v>8054536</v>
      </c>
      <c r="AD8" s="384">
        <f>IF(AC8&gt;0,AC8*(W8*$AD$4),0)</f>
        <v>3180832.9208319997</v>
      </c>
      <c r="AE8" s="388">
        <f>IF(AC8-AD8&gt;AC8*$AE$4,AC8-AD8,AC8*$AE$4)</f>
        <v>4873703.0791680003</v>
      </c>
      <c r="AF8" s="16">
        <f>IF(AC8=0,0,ROUND(AE8/AC8,4))</f>
        <v>0.60509999999999997</v>
      </c>
      <c r="AG8" s="388">
        <f>U8+AE8</f>
        <v>42012207.579167999</v>
      </c>
      <c r="AH8" s="14">
        <f>ROUND(AG8/C8,0)</f>
        <v>4495</v>
      </c>
      <c r="AI8" s="388">
        <f>'Table 4 Level 3'!O6</f>
        <v>1333790</v>
      </c>
      <c r="AJ8" s="14">
        <f t="shared" ref="AJ8:AJ39" si="10">AI8/C8</f>
        <v>142.71239032741281</v>
      </c>
      <c r="AK8" s="388">
        <f>AI8+AG8</f>
        <v>43345997.579167999</v>
      </c>
      <c r="AL8" s="14">
        <f>AK8/C8</f>
        <v>4637.919706737428</v>
      </c>
      <c r="AM8" s="517">
        <f>'Table 4 Level 3'!R6</f>
        <v>8597552.3960000016</v>
      </c>
      <c r="AN8" s="518">
        <f>AM8/C8</f>
        <v>919.91786817890022</v>
      </c>
      <c r="AO8" s="388">
        <f>AG8+AM8</f>
        <v>50609759.975168005</v>
      </c>
      <c r="AP8" s="14">
        <f>AO8/C8</f>
        <v>5415.1251845889155</v>
      </c>
      <c r="AQ8" s="16">
        <f>AO8/AW8</f>
        <v>0.72576935760983796</v>
      </c>
      <c r="AR8" s="389">
        <f>RANK(AQ8,$AQ$8:$AQ$76)</f>
        <v>15</v>
      </c>
      <c r="AS8" s="14">
        <f>ROUND(AC8+T8,2)</f>
        <v>19122806.5</v>
      </c>
      <c r="AT8" s="14">
        <f t="shared" ref="AT8:AT39" si="11">ROUND(AS8/C8,2)</f>
        <v>2046.1</v>
      </c>
      <c r="AU8" s="389">
        <f>RANK(AT8,$AT$8:$AT$76)</f>
        <v>60</v>
      </c>
      <c r="AV8" s="16">
        <f>AS8/AW8</f>
        <v>0.27423064239016204</v>
      </c>
      <c r="AW8" s="389">
        <f>AS8+AO8</f>
        <v>69732566.475168005</v>
      </c>
      <c r="AX8" s="390">
        <f t="shared" ref="AX8:AX39" si="12">AW8/C8</f>
        <v>7461.2204659927247</v>
      </c>
      <c r="AY8" s="389">
        <f>RANK(AX8,$AX$8:$AX$76)</f>
        <v>67</v>
      </c>
      <c r="AZ8" s="14">
        <v>49932017.885343999</v>
      </c>
      <c r="BA8" s="276">
        <f t="shared" ref="BA8:BA39" si="13">AO8-AZ8</f>
        <v>677742.08982400596</v>
      </c>
      <c r="BB8" s="276">
        <f>U8</f>
        <v>37138504.5</v>
      </c>
      <c r="BC8" s="276">
        <v>36771390</v>
      </c>
      <c r="BD8" s="276">
        <f>BB8-BC8</f>
        <v>367114.5</v>
      </c>
      <c r="BE8" s="276">
        <f>AE8</f>
        <v>4873703.0791680003</v>
      </c>
      <c r="BF8" s="276">
        <v>4793135.8853440005</v>
      </c>
      <c r="BG8" s="276">
        <f>BE8-BF8</f>
        <v>80567.193823999725</v>
      </c>
      <c r="BH8" s="276">
        <f>Y8</f>
        <v>19122806.5</v>
      </c>
      <c r="BI8" s="276">
        <v>19047403</v>
      </c>
      <c r="BJ8" s="276">
        <f>BH8-BI8</f>
        <v>75403.5</v>
      </c>
      <c r="BK8" s="13">
        <f>C8</f>
        <v>9346</v>
      </c>
      <c r="BL8" s="13">
        <v>9154</v>
      </c>
      <c r="BM8" s="123">
        <f>BK8-BL8</f>
        <v>192</v>
      </c>
      <c r="BN8" s="13">
        <f>P8</f>
        <v>12505</v>
      </c>
      <c r="BO8" s="13">
        <v>12413</v>
      </c>
      <c r="BP8" s="123">
        <f>BN8-BO8</f>
        <v>92</v>
      </c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</row>
    <row r="9" spans="1:148" s="5" customFormat="1">
      <c r="A9" s="103">
        <v>2</v>
      </c>
      <c r="B9" s="81" t="s">
        <v>103</v>
      </c>
      <c r="C9" s="81">
        <f>'Table 8 2.1.12 MFP Funded'!AD5</f>
        <v>4027</v>
      </c>
      <c r="D9" s="13">
        <f>'[7]Table 3 for Option A'!AD5</f>
        <v>2644</v>
      </c>
      <c r="E9" s="13">
        <f t="shared" si="3"/>
        <v>582</v>
      </c>
      <c r="F9" s="13">
        <f>'[8]Table 3 Option A'!T13</f>
        <v>1201</v>
      </c>
      <c r="G9" s="13">
        <f t="shared" si="4"/>
        <v>72</v>
      </c>
      <c r="H9" s="599">
        <f>'[9]SWD_Option A'!Z7</f>
        <v>428</v>
      </c>
      <c r="I9" s="13">
        <f t="shared" ref="I9:I72" si="14">ROUND($I$4*H9,0)</f>
        <v>642</v>
      </c>
      <c r="J9" s="599">
        <f>'[9]GiftedTalented-Option a'!AA7</f>
        <v>59</v>
      </c>
      <c r="K9" s="13">
        <f t="shared" ref="K9:K72" si="15">ROUND($K$4*J9,0)</f>
        <v>35</v>
      </c>
      <c r="L9" s="13">
        <f t="shared" si="5"/>
        <v>3473</v>
      </c>
      <c r="M9" s="65">
        <f t="shared" si="6"/>
        <v>9.2609999999999998E-2</v>
      </c>
      <c r="N9" s="13">
        <f t="shared" si="7"/>
        <v>373</v>
      </c>
      <c r="O9" s="13">
        <f t="shared" ref="O9:O72" si="16">E9+G9+I9+K9+N9</f>
        <v>1704</v>
      </c>
      <c r="P9" s="13">
        <f t="shared" si="8"/>
        <v>5731</v>
      </c>
      <c r="Q9" s="384">
        <f t="shared" ref="Q9:Q72" si="17">$Q$4</f>
        <v>3855</v>
      </c>
      <c r="R9" s="384">
        <f t="shared" si="9"/>
        <v>22093005</v>
      </c>
      <c r="S9" s="384">
        <f>'Table 6 (Local Deduct Calc.)'!J10</f>
        <v>3291999</v>
      </c>
      <c r="T9" s="384">
        <f t="shared" ref="T9:T72" si="18">IF((S9&gt;R9*$T$4),R9*$T$4,S9)</f>
        <v>3291999</v>
      </c>
      <c r="U9" s="385">
        <f t="shared" ref="U9:U72" si="19">R9-T9</f>
        <v>18801006</v>
      </c>
      <c r="V9" s="386">
        <f>ROUND(U9/R9,4)</f>
        <v>0.85099999999999998</v>
      </c>
      <c r="W9" s="386">
        <f t="shared" ref="W9:W72" si="20">ROUND(T9/R9,4)</f>
        <v>0.14899999999999999</v>
      </c>
      <c r="X9" s="387">
        <f t="shared" ref="X9:X72" si="21">T9/C9</f>
        <v>817.48174819965232</v>
      </c>
      <c r="Y9" s="384">
        <f>'Table 7 Local Revenue'!AQ9</f>
        <v>10537350</v>
      </c>
      <c r="Z9" s="384">
        <f t="shared" ref="Z9:Z72" si="22">IF(Y9-T9&gt;0,Y9-T9,0)</f>
        <v>7245351</v>
      </c>
      <c r="AA9" s="276">
        <f t="shared" ref="AA9:AA72" si="23">IF(Y9-T9&lt;0,Y9-T9,0)</f>
        <v>0</v>
      </c>
      <c r="AB9" s="14">
        <f t="shared" ref="AB9:AB72" si="24">R9*$AB$4</f>
        <v>7511621.7000000002</v>
      </c>
      <c r="AC9" s="14">
        <f t="shared" ref="AC9:AC72" si="25">IF(Z9&lt;AB9,Z9,AB9)</f>
        <v>7245351</v>
      </c>
      <c r="AD9" s="384">
        <f t="shared" ref="AD9:AD72" si="26">IF(AC9&gt;0,AC9*(W9*$AD$4),0)</f>
        <v>1856838.55428</v>
      </c>
      <c r="AE9" s="388">
        <f t="shared" ref="AE9:AE72" si="27">IF(AC9-AD9&gt;AC9*$AE$4,AC9-AD9,AC9*$AE$4)</f>
        <v>5388512.4457200002</v>
      </c>
      <c r="AF9" s="16">
        <f t="shared" ref="AF9:AF72" si="28">IF(AC9=0,0,ROUND(AE9/AC9,4))</f>
        <v>0.74370000000000003</v>
      </c>
      <c r="AG9" s="388">
        <f t="shared" ref="AG9:AG72" si="29">U9+AE9</f>
        <v>24189518.445720002</v>
      </c>
      <c r="AH9" s="14">
        <f t="shared" ref="AH9:AH72" si="30">ROUND(AG9/C9,0)</f>
        <v>6007</v>
      </c>
      <c r="AI9" s="388">
        <f>'Table 4 Level 3'!O7</f>
        <v>574703</v>
      </c>
      <c r="AJ9" s="14">
        <f t="shared" si="10"/>
        <v>142.7124410230941</v>
      </c>
      <c r="AK9" s="388">
        <f t="shared" ref="AK9:AK72" si="31">AI9+AG9</f>
        <v>24764221.445720002</v>
      </c>
      <c r="AL9" s="14">
        <f t="shared" ref="AL9:AL39" si="32">AK9/C9</f>
        <v>6149.545926426621</v>
      </c>
      <c r="AM9" s="517">
        <f>'Table 4 Level 3'!R7</f>
        <v>3965799.088</v>
      </c>
      <c r="AN9" s="518">
        <f t="shared" ref="AN9:AN72" si="33">AM9/C9</f>
        <v>984.80235609634963</v>
      </c>
      <c r="AO9" s="388">
        <f t="shared" ref="AO9:AO72" si="34">AG9+AM9</f>
        <v>28155317.533720002</v>
      </c>
      <c r="AP9" s="14">
        <f t="shared" ref="AP9:AP72" si="35">AO9/C9</f>
        <v>6991.6358414998758</v>
      </c>
      <c r="AQ9" s="16">
        <f t="shared" ref="AQ9:AQ72" si="36">AO9/AW9</f>
        <v>0.72766545519724435</v>
      </c>
      <c r="AR9" s="389">
        <f t="shared" ref="AR9:AR72" si="37">RANK(AQ9,$AQ$8:$AQ$76)</f>
        <v>13</v>
      </c>
      <c r="AS9" s="14">
        <f t="shared" ref="AS9:AS72" si="38">ROUND(AC9+T9,2)</f>
        <v>10537350</v>
      </c>
      <c r="AT9" s="14">
        <f t="shared" si="11"/>
        <v>2616.67</v>
      </c>
      <c r="AU9" s="389">
        <f t="shared" ref="AU9:AU72" si="39">RANK(AT9,$AT$8:$AT$76)</f>
        <v>54</v>
      </c>
      <c r="AV9" s="16">
        <f t="shared" ref="AV9:AV72" si="40">AS9/AW9</f>
        <v>0.27233454480275571</v>
      </c>
      <c r="AW9" s="389">
        <f t="shared" ref="AW9:AW72" si="41">AS9+AO9</f>
        <v>38692667.533720002</v>
      </c>
      <c r="AX9" s="390">
        <f t="shared" si="12"/>
        <v>9608.310785627018</v>
      </c>
      <c r="AY9" s="389">
        <f t="shared" ref="AY9:AY72" si="42">RANK(AX9,$AX$8:$AX$76)</f>
        <v>7</v>
      </c>
      <c r="AZ9" s="14">
        <v>27837030.263048001</v>
      </c>
      <c r="BA9" s="276">
        <f t="shared" si="13"/>
        <v>318287.27067200094</v>
      </c>
      <c r="BB9" s="276">
        <f t="shared" ref="BB9:BB72" si="43">U9</f>
        <v>18801006</v>
      </c>
      <c r="BC9" s="276">
        <v>18901108.5</v>
      </c>
      <c r="BD9" s="276">
        <f t="shared" ref="BD9:BD72" si="44">BB9-BC9</f>
        <v>-100102.5</v>
      </c>
      <c r="BE9" s="276">
        <f t="shared" ref="BE9:BE72" si="45">AE9</f>
        <v>5388512.4457200002</v>
      </c>
      <c r="BF9" s="276">
        <v>4982062.7630479997</v>
      </c>
      <c r="BG9" s="276">
        <f t="shared" ref="BG9:BG72" si="46">BE9-BF9</f>
        <v>406449.68267200049</v>
      </c>
      <c r="BH9" s="276">
        <f t="shared" ref="BH9:BH72" si="47">Y9</f>
        <v>10537350</v>
      </c>
      <c r="BI9" s="276">
        <v>9913119.5</v>
      </c>
      <c r="BJ9" s="276">
        <f t="shared" ref="BJ9:BJ72" si="48">BH9-BI9</f>
        <v>624230.5</v>
      </c>
      <c r="BK9" s="81">
        <f t="shared" ref="BK9:BK72" si="49">C9</f>
        <v>4027</v>
      </c>
      <c r="BL9" s="81">
        <v>4039</v>
      </c>
      <c r="BM9" s="954">
        <f t="shared" ref="BM9:BM72" si="50">BK9-BL9</f>
        <v>-12</v>
      </c>
      <c r="BN9" s="81">
        <f t="shared" ref="BN9:BN72" si="51">P9</f>
        <v>5731</v>
      </c>
      <c r="BO9" s="81">
        <v>5746</v>
      </c>
      <c r="BP9" s="954">
        <f t="shared" ref="BP9:BP72" si="52">BN9-BO9</f>
        <v>-15</v>
      </c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</row>
    <row r="10" spans="1:148" s="5" customFormat="1">
      <c r="A10" s="103">
        <v>3</v>
      </c>
      <c r="B10" s="81" t="s">
        <v>104</v>
      </c>
      <c r="C10" s="81">
        <f>'Table 8 2.1.12 MFP Funded'!AD6</f>
        <v>20127</v>
      </c>
      <c r="D10" s="13">
        <f>'[7]Table 3 for Option A'!AD6</f>
        <v>9750</v>
      </c>
      <c r="E10" s="13">
        <f t="shared" si="3"/>
        <v>2145</v>
      </c>
      <c r="F10" s="13">
        <f>'[8]Table 3 Option A'!T14</f>
        <v>6719</v>
      </c>
      <c r="G10" s="13">
        <f t="shared" si="4"/>
        <v>403</v>
      </c>
      <c r="H10" s="599">
        <f>'[9]SWD_Option A'!Z8</f>
        <v>2284</v>
      </c>
      <c r="I10" s="13">
        <f t="shared" si="14"/>
        <v>3426</v>
      </c>
      <c r="J10" s="599">
        <f>'[9]GiftedTalented-Option a'!AA8</f>
        <v>529</v>
      </c>
      <c r="K10" s="13">
        <f t="shared" si="15"/>
        <v>317</v>
      </c>
      <c r="L10" s="13">
        <f t="shared" si="5"/>
        <v>0</v>
      </c>
      <c r="M10" s="65">
        <f t="shared" si="6"/>
        <v>0</v>
      </c>
      <c r="N10" s="13">
        <f t="shared" si="7"/>
        <v>0</v>
      </c>
      <c r="O10" s="13">
        <f t="shared" si="16"/>
        <v>6291</v>
      </c>
      <c r="P10" s="13">
        <f t="shared" si="8"/>
        <v>26418</v>
      </c>
      <c r="Q10" s="384">
        <f t="shared" si="17"/>
        <v>3855</v>
      </c>
      <c r="R10" s="384">
        <f t="shared" si="9"/>
        <v>101841390</v>
      </c>
      <c r="S10" s="384">
        <f>'Table 6 (Local Deduct Calc.)'!J11</f>
        <v>32792428</v>
      </c>
      <c r="T10" s="384">
        <f t="shared" si="18"/>
        <v>32792428</v>
      </c>
      <c r="U10" s="385">
        <f t="shared" si="19"/>
        <v>69048962</v>
      </c>
      <c r="V10" s="386">
        <f t="shared" ref="V10:V72" si="53">ROUND(U10/R10,4)</f>
        <v>0.67800000000000005</v>
      </c>
      <c r="W10" s="386">
        <f t="shared" si="20"/>
        <v>0.32200000000000001</v>
      </c>
      <c r="X10" s="387">
        <f t="shared" si="21"/>
        <v>1629.2755005713718</v>
      </c>
      <c r="Y10" s="384">
        <f>'Table 7 Local Revenue'!AQ10</f>
        <v>94062198</v>
      </c>
      <c r="Z10" s="384">
        <f t="shared" si="22"/>
        <v>61269770</v>
      </c>
      <c r="AA10" s="276">
        <f t="shared" si="23"/>
        <v>0</v>
      </c>
      <c r="AB10" s="14">
        <f t="shared" si="24"/>
        <v>34626072.600000001</v>
      </c>
      <c r="AC10" s="14">
        <f t="shared" si="25"/>
        <v>34626072.600000001</v>
      </c>
      <c r="AD10" s="384">
        <f t="shared" si="26"/>
        <v>19177304.048783999</v>
      </c>
      <c r="AE10" s="388">
        <f t="shared" si="27"/>
        <v>15448768.551216003</v>
      </c>
      <c r="AF10" s="16">
        <f t="shared" si="28"/>
        <v>0.44619999999999999</v>
      </c>
      <c r="AG10" s="388">
        <f t="shared" si="29"/>
        <v>84497730.551216006</v>
      </c>
      <c r="AH10" s="14">
        <f t="shared" si="30"/>
        <v>4198</v>
      </c>
      <c r="AI10" s="388">
        <f>'Table 4 Level 3'!O8</f>
        <v>2872371</v>
      </c>
      <c r="AJ10" s="14">
        <f t="shared" si="10"/>
        <v>142.71232672529439</v>
      </c>
      <c r="AK10" s="388">
        <f>AI10+AG10</f>
        <v>87370101.551216006</v>
      </c>
      <c r="AL10" s="14">
        <f t="shared" si="32"/>
        <v>4340.9401078757892</v>
      </c>
      <c r="AM10" s="517">
        <f>'Table 4 Level 3'!R8</f>
        <v>14882343.584000001</v>
      </c>
      <c r="AN10" s="518">
        <f t="shared" si="33"/>
        <v>739.42185044964481</v>
      </c>
      <c r="AO10" s="388">
        <f t="shared" si="34"/>
        <v>99380074.135216013</v>
      </c>
      <c r="AP10" s="14">
        <f t="shared" si="35"/>
        <v>4937.6496316001394</v>
      </c>
      <c r="AQ10" s="16">
        <f t="shared" si="36"/>
        <v>0.59580889280964577</v>
      </c>
      <c r="AR10" s="389">
        <f t="shared" si="37"/>
        <v>44</v>
      </c>
      <c r="AS10" s="14">
        <f t="shared" si="38"/>
        <v>67418500.599999994</v>
      </c>
      <c r="AT10" s="14">
        <f t="shared" si="11"/>
        <v>3349.65</v>
      </c>
      <c r="AU10" s="389">
        <f t="shared" si="39"/>
        <v>31</v>
      </c>
      <c r="AV10" s="16">
        <f t="shared" si="40"/>
        <v>0.40419110719035412</v>
      </c>
      <c r="AW10" s="389">
        <f t="shared" si="41"/>
        <v>166798574.73521602</v>
      </c>
      <c r="AX10" s="390">
        <f t="shared" si="12"/>
        <v>8287.3043541121879</v>
      </c>
      <c r="AY10" s="389">
        <f t="shared" si="42"/>
        <v>55</v>
      </c>
      <c r="AZ10" s="14">
        <v>92109497.640351996</v>
      </c>
      <c r="BA10" s="276">
        <f t="shared" si="13"/>
        <v>7270576.4948640168</v>
      </c>
      <c r="BB10" s="276">
        <f t="shared" si="43"/>
        <v>69048962</v>
      </c>
      <c r="BC10" s="276">
        <v>64334080</v>
      </c>
      <c r="BD10" s="276">
        <f t="shared" si="44"/>
        <v>4714882</v>
      </c>
      <c r="BE10" s="276">
        <f t="shared" si="45"/>
        <v>15448768.551216003</v>
      </c>
      <c r="BF10" s="276">
        <v>13466728.640352</v>
      </c>
      <c r="BG10" s="276">
        <f t="shared" si="46"/>
        <v>1982039.910864003</v>
      </c>
      <c r="BH10" s="276">
        <f t="shared" si="47"/>
        <v>94062198</v>
      </c>
      <c r="BI10" s="276">
        <v>95681790</v>
      </c>
      <c r="BJ10" s="276">
        <f t="shared" si="48"/>
        <v>-1619592</v>
      </c>
      <c r="BK10" s="81">
        <f t="shared" si="49"/>
        <v>20127</v>
      </c>
      <c r="BL10" s="81">
        <v>19509</v>
      </c>
      <c r="BM10" s="954">
        <f t="shared" si="50"/>
        <v>618</v>
      </c>
      <c r="BN10" s="81">
        <f t="shared" si="51"/>
        <v>26418</v>
      </c>
      <c r="BO10" s="81">
        <v>25594</v>
      </c>
      <c r="BP10" s="954">
        <f t="shared" si="52"/>
        <v>824</v>
      </c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</row>
    <row r="11" spans="1:148" s="5" customFormat="1">
      <c r="A11" s="103">
        <v>4</v>
      </c>
      <c r="B11" s="81" t="s">
        <v>105</v>
      </c>
      <c r="C11" s="81">
        <f>'Table 8 2.1.12 MFP Funded'!AD7</f>
        <v>3571</v>
      </c>
      <c r="D11" s="13">
        <f>'[7]Table 3 for Option A'!AD7</f>
        <v>2491</v>
      </c>
      <c r="E11" s="13">
        <f t="shared" si="3"/>
        <v>548</v>
      </c>
      <c r="F11" s="13">
        <f>'[8]Table 3 Option A'!T15</f>
        <v>1958.5</v>
      </c>
      <c r="G11" s="13">
        <f t="shared" si="4"/>
        <v>118</v>
      </c>
      <c r="H11" s="599">
        <f>'[9]SWD_Option A'!Z9</f>
        <v>461</v>
      </c>
      <c r="I11" s="13">
        <f t="shared" si="14"/>
        <v>692</v>
      </c>
      <c r="J11" s="599">
        <f>'[9]GiftedTalented-Option a'!AA9</f>
        <v>98</v>
      </c>
      <c r="K11" s="13">
        <f t="shared" si="15"/>
        <v>59</v>
      </c>
      <c r="L11" s="13">
        <f t="shared" si="5"/>
        <v>3929</v>
      </c>
      <c r="M11" s="65">
        <f t="shared" si="6"/>
        <v>0.10477</v>
      </c>
      <c r="N11" s="13">
        <f t="shared" si="7"/>
        <v>374</v>
      </c>
      <c r="O11" s="13">
        <f t="shared" si="16"/>
        <v>1791</v>
      </c>
      <c r="P11" s="13">
        <f t="shared" si="8"/>
        <v>5362</v>
      </c>
      <c r="Q11" s="384">
        <f t="shared" si="17"/>
        <v>3855</v>
      </c>
      <c r="R11" s="384">
        <f t="shared" si="9"/>
        <v>20670510</v>
      </c>
      <c r="S11" s="384">
        <f>'Table 6 (Local Deduct Calc.)'!J12</f>
        <v>4143360</v>
      </c>
      <c r="T11" s="384">
        <f t="shared" si="18"/>
        <v>4143360</v>
      </c>
      <c r="U11" s="385">
        <f t="shared" si="19"/>
        <v>16527150</v>
      </c>
      <c r="V11" s="386">
        <f t="shared" si="53"/>
        <v>0.79959999999999998</v>
      </c>
      <c r="W11" s="386">
        <f t="shared" si="20"/>
        <v>0.20039999999999999</v>
      </c>
      <c r="X11" s="387">
        <f t="shared" si="21"/>
        <v>1160.2800336040325</v>
      </c>
      <c r="Y11" s="384">
        <f>'Table 7 Local Revenue'!AQ11</f>
        <v>11580944</v>
      </c>
      <c r="Z11" s="384">
        <f t="shared" si="22"/>
        <v>7437584</v>
      </c>
      <c r="AA11" s="276">
        <f t="shared" si="23"/>
        <v>0</v>
      </c>
      <c r="AB11" s="14">
        <f t="shared" si="24"/>
        <v>7027973.4000000004</v>
      </c>
      <c r="AC11" s="14">
        <f t="shared" si="25"/>
        <v>7027973.4000000004</v>
      </c>
      <c r="AD11" s="384">
        <f t="shared" si="26"/>
        <v>2422458.0952992002</v>
      </c>
      <c r="AE11" s="388">
        <f t="shared" si="27"/>
        <v>4605515.3047008002</v>
      </c>
      <c r="AF11" s="16">
        <f t="shared" si="28"/>
        <v>0.65529999999999999</v>
      </c>
      <c r="AG11" s="388">
        <f t="shared" si="29"/>
        <v>21132665.304700799</v>
      </c>
      <c r="AH11" s="14">
        <f t="shared" si="30"/>
        <v>5918</v>
      </c>
      <c r="AI11" s="388">
        <f>'Table 4 Level 3'!O9</f>
        <v>569626</v>
      </c>
      <c r="AJ11" s="14">
        <f t="shared" si="10"/>
        <v>159.51442173060767</v>
      </c>
      <c r="AK11" s="388">
        <f t="shared" si="31"/>
        <v>21702291.304700799</v>
      </c>
      <c r="AL11" s="14">
        <f t="shared" si="32"/>
        <v>6077.3708498182023</v>
      </c>
      <c r="AM11" s="517">
        <f>'Table 4 Level 3'!R9</f>
        <v>2660906.352</v>
      </c>
      <c r="AN11" s="518">
        <f t="shared" si="33"/>
        <v>745.14319574348917</v>
      </c>
      <c r="AO11" s="388">
        <f t="shared" si="34"/>
        <v>23793571.656700797</v>
      </c>
      <c r="AP11" s="14">
        <f t="shared" si="35"/>
        <v>6662.9996238310832</v>
      </c>
      <c r="AQ11" s="16">
        <f t="shared" si="36"/>
        <v>0.68049867769170203</v>
      </c>
      <c r="AR11" s="389">
        <f t="shared" si="37"/>
        <v>26</v>
      </c>
      <c r="AS11" s="14">
        <f t="shared" si="38"/>
        <v>11171333.4</v>
      </c>
      <c r="AT11" s="14">
        <f t="shared" si="11"/>
        <v>3128.35</v>
      </c>
      <c r="AU11" s="389">
        <f t="shared" si="39"/>
        <v>35</v>
      </c>
      <c r="AV11" s="16">
        <f t="shared" si="40"/>
        <v>0.31950132230829803</v>
      </c>
      <c r="AW11" s="389">
        <f t="shared" si="41"/>
        <v>34964905.056700796</v>
      </c>
      <c r="AX11" s="390">
        <f t="shared" si="12"/>
        <v>9791.3483776815447</v>
      </c>
      <c r="AY11" s="389">
        <f t="shared" si="42"/>
        <v>5</v>
      </c>
      <c r="AZ11" s="14">
        <v>23568142.452640001</v>
      </c>
      <c r="BA11" s="276">
        <f t="shared" si="13"/>
        <v>225429.20406079665</v>
      </c>
      <c r="BB11" s="276">
        <f t="shared" si="43"/>
        <v>16527150</v>
      </c>
      <c r="BC11" s="276">
        <v>16594731.5</v>
      </c>
      <c r="BD11" s="276">
        <f t="shared" si="44"/>
        <v>-67581.5</v>
      </c>
      <c r="BE11" s="276">
        <f t="shared" si="45"/>
        <v>4605515.3047008002</v>
      </c>
      <c r="BF11" s="276">
        <v>4324696.9526399998</v>
      </c>
      <c r="BG11" s="276">
        <f t="shared" si="46"/>
        <v>280818.35206080042</v>
      </c>
      <c r="BH11" s="276">
        <f t="shared" si="47"/>
        <v>11580944</v>
      </c>
      <c r="BI11" s="276">
        <v>10192717.5</v>
      </c>
      <c r="BJ11" s="276">
        <f t="shared" si="48"/>
        <v>1388226.5</v>
      </c>
      <c r="BK11" s="81">
        <f t="shared" si="49"/>
        <v>3571</v>
      </c>
      <c r="BL11" s="81">
        <v>3556</v>
      </c>
      <c r="BM11" s="954">
        <f t="shared" si="50"/>
        <v>15</v>
      </c>
      <c r="BN11" s="81">
        <f t="shared" si="51"/>
        <v>5362</v>
      </c>
      <c r="BO11" s="81">
        <v>5295</v>
      </c>
      <c r="BP11" s="954">
        <f t="shared" si="52"/>
        <v>67</v>
      </c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</row>
    <row r="12" spans="1:148" s="21" customFormat="1">
      <c r="A12" s="104">
        <v>5</v>
      </c>
      <c r="B12" s="82" t="s">
        <v>106</v>
      </c>
      <c r="C12" s="82">
        <f>'Table 8 2.1.12 MFP Funded'!AD8</f>
        <v>5758</v>
      </c>
      <c r="D12" s="19">
        <f>'[7]Table 3 for Option A'!AD8</f>
        <v>4879</v>
      </c>
      <c r="E12" s="19">
        <f t="shared" si="3"/>
        <v>1073</v>
      </c>
      <c r="F12" s="19">
        <f>'[8]Table 3 Option A'!T16</f>
        <v>2213</v>
      </c>
      <c r="G12" s="19">
        <f t="shared" si="4"/>
        <v>133</v>
      </c>
      <c r="H12" s="781">
        <f>'[9]SWD_Option A'!Z10</f>
        <v>548</v>
      </c>
      <c r="I12" s="19">
        <f t="shared" si="14"/>
        <v>822</v>
      </c>
      <c r="J12" s="781">
        <f>'[9]GiftedTalented-Option a'!AA10</f>
        <v>9</v>
      </c>
      <c r="K12" s="19">
        <f t="shared" si="15"/>
        <v>5</v>
      </c>
      <c r="L12" s="19">
        <f t="shared" si="5"/>
        <v>1742</v>
      </c>
      <c r="M12" s="66">
        <f t="shared" si="6"/>
        <v>4.6449999999999998E-2</v>
      </c>
      <c r="N12" s="19">
        <f t="shared" si="7"/>
        <v>267</v>
      </c>
      <c r="O12" s="19">
        <f t="shared" si="16"/>
        <v>2300</v>
      </c>
      <c r="P12" s="13">
        <f t="shared" si="8"/>
        <v>8058</v>
      </c>
      <c r="Q12" s="391">
        <f t="shared" si="17"/>
        <v>3855</v>
      </c>
      <c r="R12" s="391">
        <f t="shared" si="9"/>
        <v>31063590</v>
      </c>
      <c r="S12" s="391">
        <f>'Table 6 (Local Deduct Calc.)'!J13</f>
        <v>5374790.5</v>
      </c>
      <c r="T12" s="391">
        <f t="shared" si="18"/>
        <v>5374790.5</v>
      </c>
      <c r="U12" s="392">
        <f t="shared" si="19"/>
        <v>25688799.5</v>
      </c>
      <c r="V12" s="393">
        <f t="shared" si="53"/>
        <v>0.82699999999999996</v>
      </c>
      <c r="W12" s="394">
        <f t="shared" si="20"/>
        <v>0.17299999999999999</v>
      </c>
      <c r="X12" s="395">
        <f t="shared" si="21"/>
        <v>933.44746439736025</v>
      </c>
      <c r="Y12" s="391">
        <f>'Table 7 Local Revenue'!AQ12</f>
        <v>7620700.5</v>
      </c>
      <c r="Z12" s="391">
        <f t="shared" si="22"/>
        <v>2245910</v>
      </c>
      <c r="AA12" s="277">
        <f t="shared" si="23"/>
        <v>0</v>
      </c>
      <c r="AB12" s="20">
        <f t="shared" si="24"/>
        <v>10561620.600000001</v>
      </c>
      <c r="AC12" s="20">
        <f t="shared" si="25"/>
        <v>2245910</v>
      </c>
      <c r="AD12" s="391">
        <f t="shared" si="26"/>
        <v>668292.97959999996</v>
      </c>
      <c r="AE12" s="396">
        <f t="shared" si="27"/>
        <v>1577617.0204</v>
      </c>
      <c r="AF12" s="270">
        <f t="shared" si="28"/>
        <v>0.70240000000000002</v>
      </c>
      <c r="AG12" s="396">
        <f t="shared" si="29"/>
        <v>27266416.520399999</v>
      </c>
      <c r="AH12" s="20">
        <f t="shared" si="30"/>
        <v>4735</v>
      </c>
      <c r="AI12" s="396">
        <f>'Table 4 Level 3'!O10</f>
        <v>821738</v>
      </c>
      <c r="AJ12" s="20">
        <f t="shared" si="10"/>
        <v>142.71240013893714</v>
      </c>
      <c r="AK12" s="396">
        <f t="shared" si="31"/>
        <v>28088154.520399999</v>
      </c>
      <c r="AL12" s="20">
        <f t="shared" si="32"/>
        <v>4878.1095033692254</v>
      </c>
      <c r="AM12" s="519">
        <f>'Table 4 Level 3'!R10</f>
        <v>4021166.8229999999</v>
      </c>
      <c r="AN12" s="520">
        <f t="shared" si="33"/>
        <v>698.3617268148663</v>
      </c>
      <c r="AO12" s="396">
        <f t="shared" si="34"/>
        <v>31287583.343399998</v>
      </c>
      <c r="AP12" s="20">
        <f t="shared" si="35"/>
        <v>5433.7588300451544</v>
      </c>
      <c r="AQ12" s="270">
        <f t="shared" si="36"/>
        <v>0.80413681233867373</v>
      </c>
      <c r="AR12" s="397">
        <f t="shared" si="37"/>
        <v>3</v>
      </c>
      <c r="AS12" s="20">
        <f t="shared" si="38"/>
        <v>7620700.5</v>
      </c>
      <c r="AT12" s="20">
        <f t="shared" si="11"/>
        <v>1323.5</v>
      </c>
      <c r="AU12" s="397">
        <f t="shared" si="39"/>
        <v>69</v>
      </c>
      <c r="AV12" s="270">
        <f t="shared" si="40"/>
        <v>0.19586318766132618</v>
      </c>
      <c r="AW12" s="397">
        <f t="shared" si="41"/>
        <v>38908283.843400002</v>
      </c>
      <c r="AX12" s="398">
        <f t="shared" si="12"/>
        <v>6757.2566591524837</v>
      </c>
      <c r="AY12" s="397">
        <f t="shared" si="42"/>
        <v>69</v>
      </c>
      <c r="AZ12" s="20">
        <v>31543403.201848</v>
      </c>
      <c r="BA12" s="277">
        <f t="shared" si="13"/>
        <v>-255819.85844800249</v>
      </c>
      <c r="BB12" s="277">
        <f t="shared" si="43"/>
        <v>25688799.5</v>
      </c>
      <c r="BC12" s="277">
        <v>26060825.5</v>
      </c>
      <c r="BD12" s="277">
        <f t="shared" si="44"/>
        <v>-372026</v>
      </c>
      <c r="BE12" s="277">
        <f t="shared" si="45"/>
        <v>1577617.0204</v>
      </c>
      <c r="BF12" s="277">
        <v>1464631.7018480001</v>
      </c>
      <c r="BG12" s="277">
        <f t="shared" si="46"/>
        <v>112985.31855199998</v>
      </c>
      <c r="BH12" s="277">
        <f t="shared" si="47"/>
        <v>7620700.5</v>
      </c>
      <c r="BI12" s="277">
        <v>7294778.5</v>
      </c>
      <c r="BJ12" s="277">
        <f t="shared" si="48"/>
        <v>325922</v>
      </c>
      <c r="BK12" s="82">
        <f t="shared" si="49"/>
        <v>5758</v>
      </c>
      <c r="BL12" s="82">
        <v>5802</v>
      </c>
      <c r="BM12" s="955">
        <f t="shared" si="50"/>
        <v>-44</v>
      </c>
      <c r="BN12" s="82">
        <f t="shared" si="51"/>
        <v>8058</v>
      </c>
      <c r="BO12" s="82">
        <v>8119</v>
      </c>
      <c r="BP12" s="955">
        <f t="shared" si="52"/>
        <v>-61</v>
      </c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</row>
    <row r="13" spans="1:148" s="5" customFormat="1">
      <c r="A13" s="103">
        <v>6</v>
      </c>
      <c r="B13" s="81" t="s">
        <v>107</v>
      </c>
      <c r="C13" s="81">
        <f>'Table 8 2.1.12 MFP Funded'!AD9</f>
        <v>6039</v>
      </c>
      <c r="D13" s="81">
        <f>'[7]Table 3 for Option A'!AD9</f>
        <v>3256</v>
      </c>
      <c r="E13" s="81">
        <f t="shared" si="3"/>
        <v>716</v>
      </c>
      <c r="F13" s="81">
        <f>'[8]Table 3 Option A'!T17</f>
        <v>1772.5</v>
      </c>
      <c r="G13" s="81">
        <f t="shared" si="4"/>
        <v>106</v>
      </c>
      <c r="H13" s="599">
        <f>'[9]SWD_Option A'!Z11</f>
        <v>956</v>
      </c>
      <c r="I13" s="81">
        <f t="shared" si="14"/>
        <v>1434</v>
      </c>
      <c r="J13" s="599">
        <f>'[9]GiftedTalented-Option a'!AA11</f>
        <v>70</v>
      </c>
      <c r="K13" s="13">
        <f t="shared" si="15"/>
        <v>42</v>
      </c>
      <c r="L13" s="13">
        <f t="shared" si="5"/>
        <v>1461</v>
      </c>
      <c r="M13" s="65">
        <f t="shared" si="6"/>
        <v>3.8960000000000002E-2</v>
      </c>
      <c r="N13" s="13">
        <f t="shared" si="7"/>
        <v>235</v>
      </c>
      <c r="O13" s="13">
        <f t="shared" si="16"/>
        <v>2533</v>
      </c>
      <c r="P13" s="36">
        <f t="shared" si="8"/>
        <v>8572</v>
      </c>
      <c r="Q13" s="384">
        <f t="shared" si="17"/>
        <v>3855</v>
      </c>
      <c r="R13" s="384">
        <f t="shared" si="9"/>
        <v>33045060</v>
      </c>
      <c r="S13" s="384">
        <f>'Table 6 (Local Deduct Calc.)'!J14</f>
        <v>7334527.5</v>
      </c>
      <c r="T13" s="384">
        <f t="shared" si="18"/>
        <v>7334527.5</v>
      </c>
      <c r="U13" s="385">
        <f t="shared" si="19"/>
        <v>25710532.5</v>
      </c>
      <c r="V13" s="386">
        <f t="shared" si="53"/>
        <v>0.77800000000000002</v>
      </c>
      <c r="W13" s="386">
        <f t="shared" si="20"/>
        <v>0.222</v>
      </c>
      <c r="X13" s="387">
        <f t="shared" si="21"/>
        <v>1214.5268256333829</v>
      </c>
      <c r="Y13" s="384">
        <f>'Table 7 Local Revenue'!AQ13</f>
        <v>18904980.5</v>
      </c>
      <c r="Z13" s="384">
        <f t="shared" si="22"/>
        <v>11570453</v>
      </c>
      <c r="AA13" s="276">
        <f t="shared" si="23"/>
        <v>0</v>
      </c>
      <c r="AB13" s="14">
        <f t="shared" si="24"/>
        <v>11235320.4</v>
      </c>
      <c r="AC13" s="14">
        <f t="shared" si="25"/>
        <v>11235320.4</v>
      </c>
      <c r="AD13" s="384">
        <f t="shared" si="26"/>
        <v>4290094.7415360007</v>
      </c>
      <c r="AE13" s="388">
        <f t="shared" si="27"/>
        <v>6945225.6584639996</v>
      </c>
      <c r="AF13" s="16">
        <f t="shared" si="28"/>
        <v>0.61819999999999997</v>
      </c>
      <c r="AG13" s="388">
        <f t="shared" si="29"/>
        <v>32655758.158464</v>
      </c>
      <c r="AH13" s="14">
        <f t="shared" si="30"/>
        <v>5407</v>
      </c>
      <c r="AI13" s="388">
        <f>'Table 4 Level 3'!O11</f>
        <v>861840</v>
      </c>
      <c r="AJ13" s="14">
        <f t="shared" si="10"/>
        <v>142.71236959761549</v>
      </c>
      <c r="AK13" s="388">
        <f t="shared" si="31"/>
        <v>33517598.158464</v>
      </c>
      <c r="AL13" s="14">
        <f t="shared" si="32"/>
        <v>5550.1901239384006</v>
      </c>
      <c r="AM13" s="517">
        <f>'Table 4 Level 3'!R11</f>
        <v>4154957.3079999997</v>
      </c>
      <c r="AN13" s="518">
        <f t="shared" si="33"/>
        <v>688.02074979301199</v>
      </c>
      <c r="AO13" s="388">
        <f t="shared" si="34"/>
        <v>36810715.466463998</v>
      </c>
      <c r="AP13" s="14">
        <f t="shared" si="35"/>
        <v>6095.4985041337968</v>
      </c>
      <c r="AQ13" s="16">
        <f t="shared" si="36"/>
        <v>0.66468654756868961</v>
      </c>
      <c r="AR13" s="389">
        <f t="shared" si="37"/>
        <v>31</v>
      </c>
      <c r="AS13" s="14">
        <f t="shared" si="38"/>
        <v>18569847.899999999</v>
      </c>
      <c r="AT13" s="14">
        <f t="shared" si="11"/>
        <v>3074.99</v>
      </c>
      <c r="AU13" s="389">
        <f t="shared" si="39"/>
        <v>37</v>
      </c>
      <c r="AV13" s="16">
        <f t="shared" si="40"/>
        <v>0.33531345243131044</v>
      </c>
      <c r="AW13" s="389">
        <f t="shared" si="41"/>
        <v>55380563.366463996</v>
      </c>
      <c r="AX13" s="390">
        <f t="shared" si="12"/>
        <v>9170.4857371193903</v>
      </c>
      <c r="AY13" s="389">
        <f t="shared" si="42"/>
        <v>19</v>
      </c>
      <c r="AZ13" s="14">
        <v>37341743.566248</v>
      </c>
      <c r="BA13" s="276">
        <f t="shared" si="13"/>
        <v>-531028.09978400171</v>
      </c>
      <c r="BB13" s="276">
        <f t="shared" si="43"/>
        <v>25710532.5</v>
      </c>
      <c r="BC13" s="276">
        <v>26359453</v>
      </c>
      <c r="BD13" s="276">
        <f t="shared" si="44"/>
        <v>-648920.5</v>
      </c>
      <c r="BE13" s="276">
        <f t="shared" si="45"/>
        <v>6945225.6584639996</v>
      </c>
      <c r="BF13" s="276">
        <v>6861842.5662479997</v>
      </c>
      <c r="BG13" s="276">
        <f t="shared" si="46"/>
        <v>83383.092215999961</v>
      </c>
      <c r="BH13" s="276">
        <f t="shared" si="47"/>
        <v>18904980.5</v>
      </c>
      <c r="BI13" s="276">
        <v>17700149</v>
      </c>
      <c r="BJ13" s="276">
        <f t="shared" si="48"/>
        <v>1204831.5</v>
      </c>
      <c r="BK13" s="81">
        <f t="shared" si="49"/>
        <v>6039</v>
      </c>
      <c r="BL13" s="81">
        <v>6041</v>
      </c>
      <c r="BM13" s="954">
        <f t="shared" si="50"/>
        <v>-2</v>
      </c>
      <c r="BN13" s="81">
        <f t="shared" si="51"/>
        <v>8572</v>
      </c>
      <c r="BO13" s="81">
        <v>8648</v>
      </c>
      <c r="BP13" s="954">
        <f t="shared" si="52"/>
        <v>-76</v>
      </c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</row>
    <row r="14" spans="1:148" s="5" customFormat="1">
      <c r="A14" s="103">
        <v>7</v>
      </c>
      <c r="B14" s="81" t="s">
        <v>108</v>
      </c>
      <c r="C14" s="81">
        <f>'Table 8 2.1.12 MFP Funded'!AD10</f>
        <v>2218</v>
      </c>
      <c r="D14" s="81">
        <f>'[7]Table 3 for Option A'!AD10</f>
        <v>1572</v>
      </c>
      <c r="E14" s="81">
        <f t="shared" si="3"/>
        <v>346</v>
      </c>
      <c r="F14" s="81">
        <f>'[8]Table 3 Option A'!T18</f>
        <v>824</v>
      </c>
      <c r="G14" s="81">
        <f t="shared" si="4"/>
        <v>49</v>
      </c>
      <c r="H14" s="599">
        <f>'[9]SWD_Option A'!Z12</f>
        <v>201</v>
      </c>
      <c r="I14" s="81">
        <f t="shared" si="14"/>
        <v>302</v>
      </c>
      <c r="J14" s="599">
        <f>'[9]GiftedTalented-Option a'!AA12</f>
        <v>21</v>
      </c>
      <c r="K14" s="13">
        <f t="shared" si="15"/>
        <v>13</v>
      </c>
      <c r="L14" s="13">
        <f t="shared" si="5"/>
        <v>5282</v>
      </c>
      <c r="M14" s="65">
        <f t="shared" si="6"/>
        <v>0.14085</v>
      </c>
      <c r="N14" s="13">
        <f t="shared" si="7"/>
        <v>312</v>
      </c>
      <c r="O14" s="13">
        <f t="shared" si="16"/>
        <v>1022</v>
      </c>
      <c r="P14" s="13">
        <f t="shared" si="8"/>
        <v>3240</v>
      </c>
      <c r="Q14" s="384">
        <f t="shared" si="17"/>
        <v>3855</v>
      </c>
      <c r="R14" s="384">
        <f t="shared" si="9"/>
        <v>12490200</v>
      </c>
      <c r="S14" s="384">
        <f>'Table 6 (Local Deduct Calc.)'!J15</f>
        <v>10607606.5</v>
      </c>
      <c r="T14" s="384">
        <f t="shared" si="18"/>
        <v>9367650</v>
      </c>
      <c r="U14" s="385">
        <f t="shared" si="19"/>
        <v>3122550</v>
      </c>
      <c r="V14" s="386">
        <f t="shared" si="53"/>
        <v>0.25</v>
      </c>
      <c r="W14" s="386">
        <f t="shared" si="20"/>
        <v>0.75</v>
      </c>
      <c r="X14" s="387">
        <f t="shared" si="21"/>
        <v>4223.4670874661861</v>
      </c>
      <c r="Y14" s="384">
        <f>'Table 7 Local Revenue'!AQ14</f>
        <v>28544183.5</v>
      </c>
      <c r="Z14" s="384">
        <f t="shared" si="22"/>
        <v>19176533.5</v>
      </c>
      <c r="AA14" s="276">
        <f t="shared" si="23"/>
        <v>0</v>
      </c>
      <c r="AB14" s="14">
        <f t="shared" si="24"/>
        <v>4246668</v>
      </c>
      <c r="AC14" s="14">
        <f t="shared" si="25"/>
        <v>4246668</v>
      </c>
      <c r="AD14" s="384">
        <f t="shared" si="26"/>
        <v>5478201.7199999997</v>
      </c>
      <c r="AE14" s="388">
        <f t="shared" si="27"/>
        <v>0</v>
      </c>
      <c r="AF14" s="16">
        <f t="shared" si="28"/>
        <v>0</v>
      </c>
      <c r="AG14" s="388">
        <f t="shared" si="29"/>
        <v>3122550</v>
      </c>
      <c r="AH14" s="14">
        <f t="shared" si="30"/>
        <v>1408</v>
      </c>
      <c r="AI14" s="388">
        <f>'Table 4 Level 3'!O12</f>
        <v>316536</v>
      </c>
      <c r="AJ14" s="14">
        <f t="shared" si="10"/>
        <v>142.71235347159603</v>
      </c>
      <c r="AK14" s="388">
        <f t="shared" si="31"/>
        <v>3439086</v>
      </c>
      <c r="AL14" s="14">
        <f t="shared" si="32"/>
        <v>1550.5347159603245</v>
      </c>
      <c r="AM14" s="517">
        <f>'Table 4 Level 3'!R12</f>
        <v>1994551.9479999996</v>
      </c>
      <c r="AN14" s="518">
        <f t="shared" si="33"/>
        <v>899.25696483318291</v>
      </c>
      <c r="AO14" s="388">
        <f t="shared" si="34"/>
        <v>5117101.9479999999</v>
      </c>
      <c r="AP14" s="14">
        <f t="shared" si="35"/>
        <v>2307.0793273219115</v>
      </c>
      <c r="AQ14" s="16">
        <f t="shared" si="36"/>
        <v>0.27318281060408162</v>
      </c>
      <c r="AR14" s="389">
        <f t="shared" si="37"/>
        <v>68</v>
      </c>
      <c r="AS14" s="14">
        <f t="shared" si="38"/>
        <v>13614318</v>
      </c>
      <c r="AT14" s="14">
        <f t="shared" si="11"/>
        <v>6138.11</v>
      </c>
      <c r="AU14" s="389">
        <f t="shared" si="39"/>
        <v>4</v>
      </c>
      <c r="AV14" s="16">
        <f t="shared" si="40"/>
        <v>0.72681718939591844</v>
      </c>
      <c r="AW14" s="389">
        <f t="shared" si="41"/>
        <v>18731419.947999999</v>
      </c>
      <c r="AX14" s="390">
        <f t="shared" si="12"/>
        <v>8445.1848277727677</v>
      </c>
      <c r="AY14" s="389">
        <f t="shared" si="42"/>
        <v>49</v>
      </c>
      <c r="AZ14" s="14">
        <v>5055456.75</v>
      </c>
      <c r="BA14" s="276">
        <f t="shared" si="13"/>
        <v>61645.197999999858</v>
      </c>
      <c r="BB14" s="276">
        <f t="shared" si="43"/>
        <v>3122550</v>
      </c>
      <c r="BC14" s="276">
        <v>3088818.75</v>
      </c>
      <c r="BD14" s="276">
        <f t="shared" si="44"/>
        <v>33731.25</v>
      </c>
      <c r="BE14" s="276">
        <f t="shared" si="45"/>
        <v>0</v>
      </c>
      <c r="BF14" s="276">
        <v>0</v>
      </c>
      <c r="BG14" s="276">
        <f t="shared" si="46"/>
        <v>0</v>
      </c>
      <c r="BH14" s="276">
        <f t="shared" si="47"/>
        <v>28544183.5</v>
      </c>
      <c r="BI14" s="276">
        <v>28508946</v>
      </c>
      <c r="BJ14" s="276">
        <f t="shared" si="48"/>
        <v>35237.5</v>
      </c>
      <c r="BK14" s="81">
        <f t="shared" si="49"/>
        <v>2218</v>
      </c>
      <c r="BL14" s="81">
        <v>2201</v>
      </c>
      <c r="BM14" s="954">
        <f t="shared" si="50"/>
        <v>17</v>
      </c>
      <c r="BN14" s="81">
        <f t="shared" si="51"/>
        <v>3240</v>
      </c>
      <c r="BO14" s="81">
        <v>3205</v>
      </c>
      <c r="BP14" s="954">
        <f t="shared" si="52"/>
        <v>35</v>
      </c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</row>
    <row r="15" spans="1:148" s="5" customFormat="1">
      <c r="A15" s="103">
        <v>8</v>
      </c>
      <c r="B15" s="81" t="s">
        <v>109</v>
      </c>
      <c r="C15" s="81">
        <f>'Table 8 2.1.12 MFP Funded'!AD11</f>
        <v>20785</v>
      </c>
      <c r="D15" s="81">
        <f>'[7]Table 3 for Option A'!AD11</f>
        <v>9571</v>
      </c>
      <c r="E15" s="81">
        <f t="shared" si="3"/>
        <v>2106</v>
      </c>
      <c r="F15" s="81">
        <f>'[8]Table 3 Option A'!T19</f>
        <v>5749</v>
      </c>
      <c r="G15" s="81">
        <f t="shared" si="4"/>
        <v>345</v>
      </c>
      <c r="H15" s="599">
        <f>'[9]SWD_Option A'!Z13</f>
        <v>2362</v>
      </c>
      <c r="I15" s="81">
        <f t="shared" si="14"/>
        <v>3543</v>
      </c>
      <c r="J15" s="599">
        <f>'[9]GiftedTalented-Option a'!AA13</f>
        <v>873</v>
      </c>
      <c r="K15" s="13">
        <f t="shared" si="15"/>
        <v>524</v>
      </c>
      <c r="L15" s="13">
        <f t="shared" si="5"/>
        <v>0</v>
      </c>
      <c r="M15" s="65">
        <f t="shared" si="6"/>
        <v>0</v>
      </c>
      <c r="N15" s="13">
        <f t="shared" si="7"/>
        <v>0</v>
      </c>
      <c r="O15" s="13">
        <f t="shared" si="16"/>
        <v>6518</v>
      </c>
      <c r="P15" s="13">
        <f t="shared" si="8"/>
        <v>27303</v>
      </c>
      <c r="Q15" s="384">
        <f t="shared" si="17"/>
        <v>3855</v>
      </c>
      <c r="R15" s="384">
        <f t="shared" si="9"/>
        <v>105253065</v>
      </c>
      <c r="S15" s="384">
        <f>'Table 6 (Local Deduct Calc.)'!J16</f>
        <v>37727254.5</v>
      </c>
      <c r="T15" s="384">
        <f t="shared" si="18"/>
        <v>37727254.5</v>
      </c>
      <c r="U15" s="385">
        <f t="shared" si="19"/>
        <v>67525810.5</v>
      </c>
      <c r="V15" s="386">
        <f t="shared" si="53"/>
        <v>0.64159999999999995</v>
      </c>
      <c r="W15" s="386">
        <f t="shared" si="20"/>
        <v>0.3584</v>
      </c>
      <c r="X15" s="387">
        <f t="shared" si="21"/>
        <v>1815.1192927592012</v>
      </c>
      <c r="Y15" s="384">
        <f>'Table 7 Local Revenue'!AQ15</f>
        <v>89756957.5</v>
      </c>
      <c r="Z15" s="384">
        <f t="shared" si="22"/>
        <v>52029703</v>
      </c>
      <c r="AA15" s="276">
        <f t="shared" si="23"/>
        <v>0</v>
      </c>
      <c r="AB15" s="14">
        <f t="shared" si="24"/>
        <v>35786042.100000001</v>
      </c>
      <c r="AC15" s="14">
        <f t="shared" si="25"/>
        <v>35786042.100000001</v>
      </c>
      <c r="AD15" s="384">
        <f t="shared" si="26"/>
        <v>22060234.080460802</v>
      </c>
      <c r="AE15" s="388">
        <f t="shared" si="27"/>
        <v>13725808.0195392</v>
      </c>
      <c r="AF15" s="16">
        <f t="shared" si="28"/>
        <v>0.3836</v>
      </c>
      <c r="AG15" s="388">
        <f t="shared" si="29"/>
        <v>81251618.519539207</v>
      </c>
      <c r="AH15" s="14">
        <f t="shared" si="30"/>
        <v>3909</v>
      </c>
      <c r="AI15" s="388">
        <f>'Table 4 Level 3'!O13</f>
        <v>3026276</v>
      </c>
      <c r="AJ15" s="14">
        <f t="shared" si="10"/>
        <v>145.59903776762087</v>
      </c>
      <c r="AK15" s="388">
        <f t="shared" si="31"/>
        <v>84277894.519539207</v>
      </c>
      <c r="AL15" s="14">
        <f t="shared" si="32"/>
        <v>4054.7459475361657</v>
      </c>
      <c r="AM15" s="517">
        <f>'Table 4 Level 3'!R13</f>
        <v>18106335.008000001</v>
      </c>
      <c r="AN15" s="518">
        <f t="shared" si="33"/>
        <v>871.12509059417857</v>
      </c>
      <c r="AO15" s="388">
        <f t="shared" si="34"/>
        <v>99357953.527539209</v>
      </c>
      <c r="AP15" s="14">
        <f t="shared" si="35"/>
        <v>4780.2720003627237</v>
      </c>
      <c r="AQ15" s="16">
        <f t="shared" si="36"/>
        <v>0.57475117148881549</v>
      </c>
      <c r="AR15" s="389">
        <f t="shared" si="37"/>
        <v>47</v>
      </c>
      <c r="AS15" s="14">
        <f t="shared" si="38"/>
        <v>73513296.599999994</v>
      </c>
      <c r="AT15" s="14">
        <f t="shared" si="11"/>
        <v>3536.84</v>
      </c>
      <c r="AU15" s="389">
        <f t="shared" si="39"/>
        <v>25</v>
      </c>
      <c r="AV15" s="16">
        <f t="shared" si="40"/>
        <v>0.42524882851118445</v>
      </c>
      <c r="AW15" s="389">
        <f t="shared" si="41"/>
        <v>172871250.12753922</v>
      </c>
      <c r="AX15" s="390">
        <f t="shared" si="12"/>
        <v>8317.1157145797079</v>
      </c>
      <c r="AY15" s="389">
        <f t="shared" si="42"/>
        <v>53</v>
      </c>
      <c r="AZ15" s="14">
        <v>95969576.916182399</v>
      </c>
      <c r="BA15" s="276">
        <f t="shared" si="13"/>
        <v>3388376.6113568097</v>
      </c>
      <c r="BB15" s="276">
        <f t="shared" si="43"/>
        <v>67525810.5</v>
      </c>
      <c r="BC15" s="276">
        <v>65219018.5</v>
      </c>
      <c r="BD15" s="276">
        <f t="shared" si="44"/>
        <v>2306792</v>
      </c>
      <c r="BE15" s="276">
        <f t="shared" si="45"/>
        <v>13725808.0195392</v>
      </c>
      <c r="BF15" s="276">
        <v>13142917.416182403</v>
      </c>
      <c r="BG15" s="276">
        <f t="shared" si="46"/>
        <v>582890.60335679725</v>
      </c>
      <c r="BH15" s="276">
        <f t="shared" si="47"/>
        <v>89756957.5</v>
      </c>
      <c r="BI15" s="276">
        <v>85387256.5</v>
      </c>
      <c r="BJ15" s="276">
        <f t="shared" si="48"/>
        <v>4369701</v>
      </c>
      <c r="BK15" s="81">
        <f t="shared" si="49"/>
        <v>20785</v>
      </c>
      <c r="BL15" s="81">
        <v>20302</v>
      </c>
      <c r="BM15" s="954">
        <f t="shared" si="50"/>
        <v>483</v>
      </c>
      <c r="BN15" s="81">
        <f t="shared" si="51"/>
        <v>27303</v>
      </c>
      <c r="BO15" s="81">
        <v>26488</v>
      </c>
      <c r="BP15" s="954">
        <f t="shared" si="52"/>
        <v>815</v>
      </c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</row>
    <row r="16" spans="1:148" s="5" customFormat="1">
      <c r="A16" s="103">
        <v>9</v>
      </c>
      <c r="B16" s="81" t="s">
        <v>110</v>
      </c>
      <c r="C16" s="599">
        <f>'Table 8 2.1.12 MFP Funded'!AD12</f>
        <v>41429</v>
      </c>
      <c r="D16" s="599">
        <f>'[7]Table 3 for Option A'!AD12</f>
        <v>27527</v>
      </c>
      <c r="E16" s="599">
        <f t="shared" si="3"/>
        <v>6056</v>
      </c>
      <c r="F16" s="599">
        <f>'[8]Table 3 Option A'!T20</f>
        <v>10908</v>
      </c>
      <c r="G16" s="599">
        <f t="shared" si="4"/>
        <v>654</v>
      </c>
      <c r="H16" s="599">
        <f>'[9]SWD_Option A'!Z14</f>
        <v>4159</v>
      </c>
      <c r="I16" s="599">
        <f t="shared" si="14"/>
        <v>6239</v>
      </c>
      <c r="J16" s="599">
        <f>'[9]GiftedTalented-Option a'!AA14</f>
        <v>1719</v>
      </c>
      <c r="K16" s="13">
        <f t="shared" si="15"/>
        <v>1031</v>
      </c>
      <c r="L16" s="13">
        <f t="shared" si="5"/>
        <v>0</v>
      </c>
      <c r="M16" s="65">
        <f t="shared" si="6"/>
        <v>0</v>
      </c>
      <c r="N16" s="13">
        <f t="shared" si="7"/>
        <v>0</v>
      </c>
      <c r="O16" s="13">
        <f t="shared" si="16"/>
        <v>13980</v>
      </c>
      <c r="P16" s="13">
        <f t="shared" si="8"/>
        <v>55409</v>
      </c>
      <c r="Q16" s="384">
        <f t="shared" si="17"/>
        <v>3855</v>
      </c>
      <c r="R16" s="384">
        <f t="shared" si="9"/>
        <v>213601695</v>
      </c>
      <c r="S16" s="384">
        <f>'Table 6 (Local Deduct Calc.)'!J17</f>
        <v>72484152</v>
      </c>
      <c r="T16" s="384">
        <f t="shared" si="18"/>
        <v>72484152</v>
      </c>
      <c r="U16" s="385">
        <f t="shared" si="19"/>
        <v>141117543</v>
      </c>
      <c r="V16" s="386">
        <f t="shared" si="53"/>
        <v>0.66069999999999995</v>
      </c>
      <c r="W16" s="386">
        <f t="shared" si="20"/>
        <v>0.33929999999999999</v>
      </c>
      <c r="X16" s="387">
        <f t="shared" si="21"/>
        <v>1749.5993627652128</v>
      </c>
      <c r="Y16" s="384">
        <f>'Table 7 Local Revenue'!AQ16</f>
        <v>194328775</v>
      </c>
      <c r="Z16" s="384">
        <f t="shared" si="22"/>
        <v>121844623</v>
      </c>
      <c r="AA16" s="276">
        <f t="shared" si="23"/>
        <v>0</v>
      </c>
      <c r="AB16" s="14">
        <f t="shared" si="24"/>
        <v>72624576.300000012</v>
      </c>
      <c r="AC16" s="14">
        <f t="shared" si="25"/>
        <v>72624576.300000012</v>
      </c>
      <c r="AD16" s="384">
        <f t="shared" si="26"/>
        <v>42383412.230374806</v>
      </c>
      <c r="AE16" s="388">
        <f t="shared" si="27"/>
        <v>30241164.069625206</v>
      </c>
      <c r="AF16" s="16">
        <f t="shared" si="28"/>
        <v>0.41639999999999999</v>
      </c>
      <c r="AG16" s="388">
        <f t="shared" si="29"/>
        <v>171358707.0696252</v>
      </c>
      <c r="AH16" s="14">
        <f t="shared" si="30"/>
        <v>4136</v>
      </c>
      <c r="AI16" s="388">
        <f>'Table 4 Level 3'!O14</f>
        <v>6252430</v>
      </c>
      <c r="AJ16" s="14">
        <f t="shared" si="10"/>
        <v>150.91916290521132</v>
      </c>
      <c r="AK16" s="388">
        <f t="shared" si="31"/>
        <v>177611137.0696252</v>
      </c>
      <c r="AL16" s="14">
        <f t="shared" si="32"/>
        <v>4287.1210280148016</v>
      </c>
      <c r="AM16" s="517">
        <f>'Table 4 Level 3'!R14</f>
        <v>37097335.684</v>
      </c>
      <c r="AN16" s="518">
        <f t="shared" si="33"/>
        <v>895.44366709309907</v>
      </c>
      <c r="AO16" s="388">
        <f t="shared" si="34"/>
        <v>208456042.75362521</v>
      </c>
      <c r="AP16" s="14">
        <f t="shared" si="35"/>
        <v>5031.6455322026895</v>
      </c>
      <c r="AQ16" s="16">
        <f t="shared" si="36"/>
        <v>0.58958374764664734</v>
      </c>
      <c r="AR16" s="389">
        <f t="shared" si="37"/>
        <v>45</v>
      </c>
      <c r="AS16" s="14">
        <f t="shared" si="38"/>
        <v>145108728.30000001</v>
      </c>
      <c r="AT16" s="14">
        <f t="shared" si="11"/>
        <v>3502.59</v>
      </c>
      <c r="AU16" s="389">
        <f t="shared" si="39"/>
        <v>28</v>
      </c>
      <c r="AV16" s="16">
        <f t="shared" si="40"/>
        <v>0.41041625235335266</v>
      </c>
      <c r="AW16" s="389">
        <f t="shared" si="41"/>
        <v>353564771.05362523</v>
      </c>
      <c r="AX16" s="390">
        <f t="shared" si="12"/>
        <v>8534.2337747381116</v>
      </c>
      <c r="AY16" s="389">
        <f t="shared" si="42"/>
        <v>44</v>
      </c>
      <c r="AZ16" s="14">
        <v>212429947.15309441</v>
      </c>
      <c r="BA16" s="276">
        <f t="shared" si="13"/>
        <v>-3973904.3994691968</v>
      </c>
      <c r="BB16" s="276">
        <f t="shared" si="43"/>
        <v>141117543</v>
      </c>
      <c r="BC16" s="276">
        <v>143967923</v>
      </c>
      <c r="BD16" s="276">
        <f t="shared" si="44"/>
        <v>-2850380</v>
      </c>
      <c r="BE16" s="276">
        <f t="shared" si="45"/>
        <v>30241164.069625206</v>
      </c>
      <c r="BF16" s="276">
        <v>31623127.033094406</v>
      </c>
      <c r="BG16" s="276">
        <f t="shared" si="46"/>
        <v>-1381962.9634691998</v>
      </c>
      <c r="BH16" s="276">
        <f t="shared" si="47"/>
        <v>194328775</v>
      </c>
      <c r="BI16" s="276">
        <v>183703540</v>
      </c>
      <c r="BJ16" s="276">
        <f t="shared" si="48"/>
        <v>10625235</v>
      </c>
      <c r="BK16" s="581">
        <f t="shared" si="49"/>
        <v>41429</v>
      </c>
      <c r="BL16" s="581">
        <v>41412</v>
      </c>
      <c r="BM16" s="956">
        <f t="shared" si="50"/>
        <v>17</v>
      </c>
      <c r="BN16" s="581">
        <f t="shared" si="51"/>
        <v>55409</v>
      </c>
      <c r="BO16" s="581">
        <v>55709</v>
      </c>
      <c r="BP16" s="956">
        <f t="shared" si="52"/>
        <v>-300</v>
      </c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</row>
    <row r="17" spans="1:148" s="21" customFormat="1">
      <c r="A17" s="104">
        <v>10</v>
      </c>
      <c r="B17" s="82" t="s">
        <v>111</v>
      </c>
      <c r="C17" s="781">
        <f>'Table 8 2.1.12 MFP Funded'!AD13</f>
        <v>31697</v>
      </c>
      <c r="D17" s="781">
        <f>'[7]Table 3 for Option A'!AD13</f>
        <v>19207</v>
      </c>
      <c r="E17" s="781">
        <f t="shared" si="3"/>
        <v>4226</v>
      </c>
      <c r="F17" s="781">
        <f>'[8]Table 3 Option A'!T21</f>
        <v>7918.5</v>
      </c>
      <c r="G17" s="781">
        <f t="shared" si="4"/>
        <v>475</v>
      </c>
      <c r="H17" s="781">
        <f>'[9]SWD_Option A'!Z15</f>
        <v>4892</v>
      </c>
      <c r="I17" s="781">
        <f t="shared" si="14"/>
        <v>7338</v>
      </c>
      <c r="J17" s="781">
        <f>'[9]GiftedTalented-Option a'!AA15</f>
        <v>1253</v>
      </c>
      <c r="K17" s="19">
        <f t="shared" si="15"/>
        <v>752</v>
      </c>
      <c r="L17" s="19">
        <f t="shared" si="5"/>
        <v>0</v>
      </c>
      <c r="M17" s="66">
        <f t="shared" si="6"/>
        <v>0</v>
      </c>
      <c r="N17" s="19">
        <f t="shared" si="7"/>
        <v>0</v>
      </c>
      <c r="O17" s="19">
        <f t="shared" si="16"/>
        <v>12791</v>
      </c>
      <c r="P17" s="13">
        <f t="shared" si="8"/>
        <v>44488</v>
      </c>
      <c r="Q17" s="391">
        <f t="shared" si="17"/>
        <v>3855</v>
      </c>
      <c r="R17" s="391">
        <f t="shared" si="9"/>
        <v>171501240</v>
      </c>
      <c r="S17" s="391">
        <f>'Table 6 (Local Deduct Calc.)'!J18</f>
        <v>61772652</v>
      </c>
      <c r="T17" s="391">
        <f t="shared" si="18"/>
        <v>61772652</v>
      </c>
      <c r="U17" s="392">
        <f t="shared" si="19"/>
        <v>109728588</v>
      </c>
      <c r="V17" s="393">
        <f t="shared" si="53"/>
        <v>0.63980000000000004</v>
      </c>
      <c r="W17" s="394">
        <f t="shared" si="20"/>
        <v>0.36020000000000002</v>
      </c>
      <c r="X17" s="395">
        <f t="shared" si="21"/>
        <v>1948.8485345616305</v>
      </c>
      <c r="Y17" s="391">
        <f>'Table 7 Local Revenue'!AQ17</f>
        <v>132951742</v>
      </c>
      <c r="Z17" s="763">
        <f>IF(Y17-T17&gt;0,Y17-T17,0)</f>
        <v>71179090</v>
      </c>
      <c r="AA17" s="277">
        <f t="shared" si="23"/>
        <v>0</v>
      </c>
      <c r="AB17" s="20">
        <f t="shared" si="24"/>
        <v>58310421.600000001</v>
      </c>
      <c r="AC17" s="20">
        <f t="shared" si="25"/>
        <v>58310421.600000001</v>
      </c>
      <c r="AD17" s="391">
        <f t="shared" si="26"/>
        <v>36125871.839750402</v>
      </c>
      <c r="AE17" s="396">
        <f t="shared" si="27"/>
        <v>22184549.7602496</v>
      </c>
      <c r="AF17" s="270">
        <f t="shared" si="28"/>
        <v>0.3805</v>
      </c>
      <c r="AG17" s="396">
        <f t="shared" si="29"/>
        <v>131913137.7602496</v>
      </c>
      <c r="AH17" s="20">
        <f t="shared" si="30"/>
        <v>4162</v>
      </c>
      <c r="AI17" s="396">
        <f>'Table 4 Level 3'!O15</f>
        <v>5023553</v>
      </c>
      <c r="AJ17" s="20">
        <f t="shared" si="10"/>
        <v>158.48670221156576</v>
      </c>
      <c r="AK17" s="396">
        <f t="shared" si="31"/>
        <v>136936690.76024961</v>
      </c>
      <c r="AL17" s="20">
        <f t="shared" si="32"/>
        <v>4320.1782742925079</v>
      </c>
      <c r="AM17" s="519">
        <f>'Table 4 Level 3'!R15</f>
        <v>24291367.736000001</v>
      </c>
      <c r="AN17" s="520">
        <f t="shared" si="33"/>
        <v>766.36172937501976</v>
      </c>
      <c r="AO17" s="396">
        <f t="shared" si="34"/>
        <v>156204505.49624962</v>
      </c>
      <c r="AP17" s="20">
        <f t="shared" si="35"/>
        <v>4928.0533014559614</v>
      </c>
      <c r="AQ17" s="270">
        <f t="shared" si="36"/>
        <v>0.56536926490579975</v>
      </c>
      <c r="AR17" s="397">
        <f t="shared" si="37"/>
        <v>49</v>
      </c>
      <c r="AS17" s="20">
        <f t="shared" si="38"/>
        <v>120083073.59999999</v>
      </c>
      <c r="AT17" s="20">
        <f t="shared" si="11"/>
        <v>3788.47</v>
      </c>
      <c r="AU17" s="397">
        <f t="shared" si="39"/>
        <v>21</v>
      </c>
      <c r="AV17" s="270">
        <f t="shared" si="40"/>
        <v>0.43463073509420042</v>
      </c>
      <c r="AW17" s="397">
        <f t="shared" si="41"/>
        <v>276287579.09624958</v>
      </c>
      <c r="AX17" s="398">
        <f t="shared" si="12"/>
        <v>8716.5214088478278</v>
      </c>
      <c r="AY17" s="397">
        <f t="shared" si="42"/>
        <v>35</v>
      </c>
      <c r="AZ17" s="20">
        <v>154346181.85660601</v>
      </c>
      <c r="BA17" s="277">
        <f t="shared" si="13"/>
        <v>1858323.6396436095</v>
      </c>
      <c r="BB17" s="277">
        <f t="shared" si="43"/>
        <v>109728588</v>
      </c>
      <c r="BC17" s="277">
        <v>108645655</v>
      </c>
      <c r="BD17" s="277">
        <f t="shared" si="44"/>
        <v>1082933</v>
      </c>
      <c r="BE17" s="277">
        <f t="shared" si="45"/>
        <v>22184549.7602496</v>
      </c>
      <c r="BF17" s="277">
        <v>21881156.856605999</v>
      </c>
      <c r="BG17" s="277">
        <f t="shared" si="46"/>
        <v>303392.90364360064</v>
      </c>
      <c r="BH17" s="277">
        <f t="shared" si="47"/>
        <v>132951742</v>
      </c>
      <c r="BI17" s="277">
        <v>129748230</v>
      </c>
      <c r="BJ17" s="277">
        <f t="shared" si="48"/>
        <v>3203512</v>
      </c>
      <c r="BK17" s="82">
        <f t="shared" si="49"/>
        <v>31697</v>
      </c>
      <c r="BL17" s="82">
        <v>31370</v>
      </c>
      <c r="BM17" s="955">
        <f t="shared" si="50"/>
        <v>327</v>
      </c>
      <c r="BN17" s="82">
        <f t="shared" si="51"/>
        <v>44488</v>
      </c>
      <c r="BO17" s="82">
        <v>44139</v>
      </c>
      <c r="BP17" s="955">
        <f t="shared" si="52"/>
        <v>349</v>
      </c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</row>
    <row r="18" spans="1:148" s="5" customFormat="1">
      <c r="A18" s="103">
        <v>11</v>
      </c>
      <c r="B18" s="81" t="s">
        <v>112</v>
      </c>
      <c r="C18" s="599">
        <f>'Table 8 2.1.12 MFP Funded'!AD14</f>
        <v>1575</v>
      </c>
      <c r="D18" s="599">
        <f>'[7]Table 3 for Option A'!AD14</f>
        <v>1097</v>
      </c>
      <c r="E18" s="599">
        <f t="shared" si="3"/>
        <v>241</v>
      </c>
      <c r="F18" s="599">
        <f>'[8]Table 3 Option A'!T22</f>
        <v>641.5</v>
      </c>
      <c r="G18" s="599">
        <f t="shared" si="4"/>
        <v>38</v>
      </c>
      <c r="H18" s="599">
        <f>'[9]SWD_Option A'!Z16</f>
        <v>283</v>
      </c>
      <c r="I18" s="599">
        <f t="shared" si="14"/>
        <v>425</v>
      </c>
      <c r="J18" s="599">
        <f>'[9]GiftedTalented-Option a'!AA16</f>
        <v>30</v>
      </c>
      <c r="K18" s="13">
        <f t="shared" si="15"/>
        <v>18</v>
      </c>
      <c r="L18" s="13">
        <f t="shared" si="5"/>
        <v>5925</v>
      </c>
      <c r="M18" s="65">
        <f t="shared" si="6"/>
        <v>0.158</v>
      </c>
      <c r="N18" s="13">
        <f t="shared" si="7"/>
        <v>249</v>
      </c>
      <c r="O18" s="13">
        <f t="shared" si="16"/>
        <v>971</v>
      </c>
      <c r="P18" s="36">
        <f t="shared" si="8"/>
        <v>2546</v>
      </c>
      <c r="Q18" s="384">
        <f t="shared" si="17"/>
        <v>3855</v>
      </c>
      <c r="R18" s="384">
        <f t="shared" si="9"/>
        <v>9814830</v>
      </c>
      <c r="S18" s="384">
        <f>'Table 6 (Local Deduct Calc.)'!J19</f>
        <v>1727495.5</v>
      </c>
      <c r="T18" s="384">
        <f t="shared" si="18"/>
        <v>1727495.5</v>
      </c>
      <c r="U18" s="385">
        <f t="shared" si="19"/>
        <v>8087334.5</v>
      </c>
      <c r="V18" s="386">
        <f t="shared" si="53"/>
        <v>0.82399999999999995</v>
      </c>
      <c r="W18" s="386">
        <f t="shared" si="20"/>
        <v>0.17599999999999999</v>
      </c>
      <c r="X18" s="387">
        <f t="shared" si="21"/>
        <v>1096.8225396825396</v>
      </c>
      <c r="Y18" s="384">
        <f>'Table 7 Local Revenue'!AQ18</f>
        <v>5302112.5</v>
      </c>
      <c r="Z18" s="384">
        <f t="shared" si="22"/>
        <v>3574617</v>
      </c>
      <c r="AA18" s="276">
        <f t="shared" si="23"/>
        <v>0</v>
      </c>
      <c r="AB18" s="14">
        <f t="shared" si="24"/>
        <v>3337042.2</v>
      </c>
      <c r="AC18" s="14">
        <f t="shared" si="25"/>
        <v>3337042.2</v>
      </c>
      <c r="AD18" s="384">
        <f t="shared" si="26"/>
        <v>1010189.414784</v>
      </c>
      <c r="AE18" s="388">
        <f t="shared" si="27"/>
        <v>2326852.7852159999</v>
      </c>
      <c r="AF18" s="16">
        <f t="shared" si="28"/>
        <v>0.69730000000000003</v>
      </c>
      <c r="AG18" s="388">
        <f t="shared" si="29"/>
        <v>10414187.285216</v>
      </c>
      <c r="AH18" s="14">
        <f t="shared" si="30"/>
        <v>6612</v>
      </c>
      <c r="AI18" s="388">
        <f>'Table 4 Level 3'!O16</f>
        <v>224772</v>
      </c>
      <c r="AJ18" s="14">
        <f t="shared" si="10"/>
        <v>142.71238095238095</v>
      </c>
      <c r="AK18" s="388">
        <f t="shared" si="31"/>
        <v>10638959.285216</v>
      </c>
      <c r="AL18" s="14">
        <f t="shared" si="32"/>
        <v>6754.8947842641273</v>
      </c>
      <c r="AM18" s="517">
        <f>'Table 4 Level 3'!R16</f>
        <v>1337376.2849999999</v>
      </c>
      <c r="AN18" s="518">
        <f t="shared" si="33"/>
        <v>849.12779999999998</v>
      </c>
      <c r="AO18" s="388">
        <f t="shared" si="34"/>
        <v>11751563.570216</v>
      </c>
      <c r="AP18" s="14">
        <f t="shared" si="35"/>
        <v>7461.3102033117457</v>
      </c>
      <c r="AQ18" s="16">
        <f t="shared" si="36"/>
        <v>0.69882806849111312</v>
      </c>
      <c r="AR18" s="389">
        <f t="shared" si="37"/>
        <v>19</v>
      </c>
      <c r="AS18" s="14">
        <f t="shared" si="38"/>
        <v>5064537.7</v>
      </c>
      <c r="AT18" s="14">
        <f t="shared" si="11"/>
        <v>3215.58</v>
      </c>
      <c r="AU18" s="389">
        <f t="shared" si="39"/>
        <v>33</v>
      </c>
      <c r="AV18" s="16">
        <f t="shared" si="40"/>
        <v>0.30117193150888699</v>
      </c>
      <c r="AW18" s="389">
        <f t="shared" si="41"/>
        <v>16816101.270215999</v>
      </c>
      <c r="AX18" s="390">
        <f t="shared" si="12"/>
        <v>10676.889695375237</v>
      </c>
      <c r="AY18" s="389">
        <f t="shared" si="42"/>
        <v>1</v>
      </c>
      <c r="AZ18" s="14">
        <v>11835132.484581999</v>
      </c>
      <c r="BA18" s="276">
        <f t="shared" si="13"/>
        <v>-83568.914365999401</v>
      </c>
      <c r="BB18" s="276">
        <f t="shared" si="43"/>
        <v>8087334.5</v>
      </c>
      <c r="BC18" s="276">
        <v>8123357</v>
      </c>
      <c r="BD18" s="276">
        <f t="shared" si="44"/>
        <v>-36022.5</v>
      </c>
      <c r="BE18" s="276">
        <f t="shared" si="45"/>
        <v>2326852.7852159999</v>
      </c>
      <c r="BF18" s="276">
        <v>2358518.4845820004</v>
      </c>
      <c r="BG18" s="276">
        <f t="shared" si="46"/>
        <v>-31665.699366000481</v>
      </c>
      <c r="BH18" s="276">
        <f t="shared" si="47"/>
        <v>5302112.5</v>
      </c>
      <c r="BI18" s="276">
        <v>5553239</v>
      </c>
      <c r="BJ18" s="276">
        <f t="shared" si="48"/>
        <v>-251126.5</v>
      </c>
      <c r="BK18" s="81">
        <f t="shared" si="49"/>
        <v>1575</v>
      </c>
      <c r="BL18" s="81">
        <v>1605</v>
      </c>
      <c r="BM18" s="954">
        <f t="shared" si="50"/>
        <v>-30</v>
      </c>
      <c r="BN18" s="81">
        <f t="shared" si="51"/>
        <v>2546</v>
      </c>
      <c r="BO18" s="81">
        <v>2535</v>
      </c>
      <c r="BP18" s="954">
        <f t="shared" si="52"/>
        <v>11</v>
      </c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</row>
    <row r="19" spans="1:148" s="5" customFormat="1">
      <c r="A19" s="103">
        <v>12</v>
      </c>
      <c r="B19" s="81" t="s">
        <v>113</v>
      </c>
      <c r="C19" s="599">
        <f>'Table 8 2.1.12 MFP Funded'!AD15</f>
        <v>1225</v>
      </c>
      <c r="D19" s="599">
        <f>'[7]Table 3 for Option A'!AD15</f>
        <v>570</v>
      </c>
      <c r="E19" s="599">
        <f t="shared" si="3"/>
        <v>125</v>
      </c>
      <c r="F19" s="599">
        <f>'[8]Table 3 Option A'!T23</f>
        <v>432.5</v>
      </c>
      <c r="G19" s="599">
        <f t="shared" si="4"/>
        <v>26</v>
      </c>
      <c r="H19" s="599">
        <f>'[9]SWD_Option A'!Z17</f>
        <v>153</v>
      </c>
      <c r="I19" s="599">
        <f t="shared" si="14"/>
        <v>230</v>
      </c>
      <c r="J19" s="599">
        <f>'[9]GiftedTalented-Option a'!AA17</f>
        <v>99</v>
      </c>
      <c r="K19" s="13">
        <f t="shared" si="15"/>
        <v>59</v>
      </c>
      <c r="L19" s="13">
        <f t="shared" si="5"/>
        <v>6275</v>
      </c>
      <c r="M19" s="65">
        <f t="shared" si="6"/>
        <v>0.16733000000000001</v>
      </c>
      <c r="N19" s="13">
        <f t="shared" si="7"/>
        <v>205</v>
      </c>
      <c r="O19" s="13">
        <f t="shared" si="16"/>
        <v>645</v>
      </c>
      <c r="P19" s="13">
        <f t="shared" si="8"/>
        <v>1870</v>
      </c>
      <c r="Q19" s="384">
        <f t="shared" si="17"/>
        <v>3855</v>
      </c>
      <c r="R19" s="384">
        <f t="shared" si="9"/>
        <v>7208850</v>
      </c>
      <c r="S19" s="384">
        <f>'Table 6 (Local Deduct Calc.)'!J20</f>
        <v>5168888.5</v>
      </c>
      <c r="T19" s="384">
        <f t="shared" si="18"/>
        <v>5168888.5</v>
      </c>
      <c r="U19" s="385">
        <f t="shared" si="19"/>
        <v>2039961.5</v>
      </c>
      <c r="V19" s="386">
        <f t="shared" si="53"/>
        <v>0.28299999999999997</v>
      </c>
      <c r="W19" s="386">
        <f t="shared" si="20"/>
        <v>0.71699999999999997</v>
      </c>
      <c r="X19" s="387">
        <f t="shared" si="21"/>
        <v>4219.5008163265302</v>
      </c>
      <c r="Y19" s="384">
        <f>'Table 7 Local Revenue'!AQ19</f>
        <v>13313535.5</v>
      </c>
      <c r="Z19" s="384">
        <f t="shared" si="22"/>
        <v>8144647</v>
      </c>
      <c r="AA19" s="276">
        <f t="shared" si="23"/>
        <v>0</v>
      </c>
      <c r="AB19" s="14">
        <f t="shared" si="24"/>
        <v>2451009</v>
      </c>
      <c r="AC19" s="14">
        <f t="shared" si="25"/>
        <v>2451009</v>
      </c>
      <c r="AD19" s="384">
        <f t="shared" si="26"/>
        <v>3022682.3391599995</v>
      </c>
      <c r="AE19" s="388">
        <f t="shared" si="27"/>
        <v>0</v>
      </c>
      <c r="AF19" s="16">
        <f t="shared" si="28"/>
        <v>0</v>
      </c>
      <c r="AG19" s="388">
        <f t="shared" si="29"/>
        <v>2039961.5</v>
      </c>
      <c r="AH19" s="14">
        <f t="shared" si="30"/>
        <v>1665</v>
      </c>
      <c r="AI19" s="388">
        <f>'Table 4 Level 3'!O17</f>
        <v>174823</v>
      </c>
      <c r="AJ19" s="14">
        <f t="shared" si="10"/>
        <v>142.7126530612245</v>
      </c>
      <c r="AK19" s="388">
        <f t="shared" si="31"/>
        <v>2214784.5</v>
      </c>
      <c r="AL19" s="14">
        <f t="shared" si="32"/>
        <v>1807.9873469387755</v>
      </c>
      <c r="AM19" s="517">
        <f>'Table 4 Level 3'!R17</f>
        <v>1477165.088</v>
      </c>
      <c r="AN19" s="518">
        <f t="shared" si="33"/>
        <v>1205.8490514285713</v>
      </c>
      <c r="AO19" s="388">
        <f t="shared" si="34"/>
        <v>3517126.588</v>
      </c>
      <c r="AP19" s="14">
        <f t="shared" si="35"/>
        <v>2871.1237453061226</v>
      </c>
      <c r="AQ19" s="16">
        <f t="shared" si="36"/>
        <v>0.31580488290311404</v>
      </c>
      <c r="AR19" s="389">
        <f t="shared" si="37"/>
        <v>66</v>
      </c>
      <c r="AS19" s="14">
        <f t="shared" si="38"/>
        <v>7619897.5</v>
      </c>
      <c r="AT19" s="14">
        <f t="shared" si="11"/>
        <v>6220.32</v>
      </c>
      <c r="AU19" s="389">
        <f t="shared" si="39"/>
        <v>2</v>
      </c>
      <c r="AV19" s="16">
        <f t="shared" si="40"/>
        <v>0.68419511709688607</v>
      </c>
      <c r="AW19" s="389">
        <f t="shared" si="41"/>
        <v>11137024.088</v>
      </c>
      <c r="AX19" s="390">
        <f t="shared" si="12"/>
        <v>9091.4482351020397</v>
      </c>
      <c r="AY19" s="389">
        <f t="shared" si="42"/>
        <v>21</v>
      </c>
      <c r="AZ19" s="14">
        <v>3335396.75</v>
      </c>
      <c r="BA19" s="276">
        <f t="shared" si="13"/>
        <v>181729.83799999999</v>
      </c>
      <c r="BB19" s="276">
        <f t="shared" si="43"/>
        <v>2039961.5</v>
      </c>
      <c r="BC19" s="276">
        <v>1847508.75</v>
      </c>
      <c r="BD19" s="276">
        <f t="shared" si="44"/>
        <v>192452.75</v>
      </c>
      <c r="BE19" s="276">
        <f t="shared" si="45"/>
        <v>0</v>
      </c>
      <c r="BF19" s="276">
        <v>0</v>
      </c>
      <c r="BG19" s="276">
        <f t="shared" si="46"/>
        <v>0</v>
      </c>
      <c r="BH19" s="276">
        <f t="shared" si="47"/>
        <v>13313535.5</v>
      </c>
      <c r="BI19" s="276">
        <v>13506440.5</v>
      </c>
      <c r="BJ19" s="276">
        <f t="shared" si="48"/>
        <v>-192905</v>
      </c>
      <c r="BK19" s="81">
        <f t="shared" si="49"/>
        <v>1225</v>
      </c>
      <c r="BL19" s="81">
        <v>1240</v>
      </c>
      <c r="BM19" s="954">
        <f t="shared" si="50"/>
        <v>-15</v>
      </c>
      <c r="BN19" s="81">
        <f t="shared" si="51"/>
        <v>1870</v>
      </c>
      <c r="BO19" s="81">
        <v>1917</v>
      </c>
      <c r="BP19" s="954">
        <f t="shared" si="52"/>
        <v>-47</v>
      </c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</row>
    <row r="20" spans="1:148" s="5" customFormat="1">
      <c r="A20" s="103">
        <v>13</v>
      </c>
      <c r="B20" s="81" t="s">
        <v>114</v>
      </c>
      <c r="C20" s="599">
        <f>'Table 8 2.1.12 MFP Funded'!AD16</f>
        <v>1519</v>
      </c>
      <c r="D20" s="599">
        <f>'[7]Table 3 for Option A'!AD16</f>
        <v>1144</v>
      </c>
      <c r="E20" s="599">
        <f t="shared" si="3"/>
        <v>252</v>
      </c>
      <c r="F20" s="599">
        <f>'[8]Table 3 Option A'!T24</f>
        <v>701.5</v>
      </c>
      <c r="G20" s="599">
        <f t="shared" si="4"/>
        <v>42</v>
      </c>
      <c r="H20" s="599">
        <f>'[9]SWD_Option A'!Z18</f>
        <v>167</v>
      </c>
      <c r="I20" s="599">
        <f t="shared" si="14"/>
        <v>251</v>
      </c>
      <c r="J20" s="599">
        <f>'[9]GiftedTalented-Option a'!AA18</f>
        <v>31</v>
      </c>
      <c r="K20" s="13">
        <f t="shared" si="15"/>
        <v>19</v>
      </c>
      <c r="L20" s="13">
        <f t="shared" si="5"/>
        <v>5981</v>
      </c>
      <c r="M20" s="65">
        <f t="shared" si="6"/>
        <v>0.15948999999999999</v>
      </c>
      <c r="N20" s="13">
        <f t="shared" si="7"/>
        <v>242</v>
      </c>
      <c r="O20" s="13">
        <f t="shared" si="16"/>
        <v>806</v>
      </c>
      <c r="P20" s="13">
        <f t="shared" si="8"/>
        <v>2325</v>
      </c>
      <c r="Q20" s="384">
        <f t="shared" si="17"/>
        <v>3855</v>
      </c>
      <c r="R20" s="384">
        <f t="shared" si="9"/>
        <v>8962875</v>
      </c>
      <c r="S20" s="384">
        <f>'Table 6 (Local Deduct Calc.)'!J21</f>
        <v>1470061</v>
      </c>
      <c r="T20" s="384">
        <f t="shared" si="18"/>
        <v>1470061</v>
      </c>
      <c r="U20" s="385">
        <f t="shared" si="19"/>
        <v>7492814</v>
      </c>
      <c r="V20" s="386">
        <f t="shared" si="53"/>
        <v>0.83599999999999997</v>
      </c>
      <c r="W20" s="386">
        <f t="shared" si="20"/>
        <v>0.16400000000000001</v>
      </c>
      <c r="X20" s="387">
        <f t="shared" si="21"/>
        <v>967.78209348255427</v>
      </c>
      <c r="Y20" s="384">
        <f>'Table 7 Local Revenue'!AQ20</f>
        <v>3729922</v>
      </c>
      <c r="Z20" s="384">
        <f t="shared" si="22"/>
        <v>2259861</v>
      </c>
      <c r="AA20" s="276">
        <f t="shared" si="23"/>
        <v>0</v>
      </c>
      <c r="AB20" s="14">
        <f t="shared" si="24"/>
        <v>3047377.5</v>
      </c>
      <c r="AC20" s="14">
        <f t="shared" si="25"/>
        <v>2259861</v>
      </c>
      <c r="AD20" s="384">
        <f t="shared" si="26"/>
        <v>637461.59088000003</v>
      </c>
      <c r="AE20" s="388">
        <f t="shared" si="27"/>
        <v>1622399.40912</v>
      </c>
      <c r="AF20" s="16">
        <f t="shared" si="28"/>
        <v>0.71789999999999998</v>
      </c>
      <c r="AG20" s="388">
        <f t="shared" si="29"/>
        <v>9115213.4091200009</v>
      </c>
      <c r="AH20" s="14">
        <f t="shared" si="30"/>
        <v>6001</v>
      </c>
      <c r="AI20" s="388">
        <f>'Table 4 Level 3'!O18</f>
        <v>216780</v>
      </c>
      <c r="AJ20" s="14">
        <f t="shared" si="10"/>
        <v>142.71231073074392</v>
      </c>
      <c r="AK20" s="388">
        <f t="shared" si="31"/>
        <v>9331993.4091200009</v>
      </c>
      <c r="AL20" s="14">
        <f t="shared" si="32"/>
        <v>6143.511131744569</v>
      </c>
      <c r="AM20" s="517">
        <f>'Table 4 Level 3'!R18</f>
        <v>1354339.7970000003</v>
      </c>
      <c r="AN20" s="518">
        <f t="shared" si="33"/>
        <v>891.59960302830825</v>
      </c>
      <c r="AO20" s="388">
        <f t="shared" si="34"/>
        <v>10469553.206120001</v>
      </c>
      <c r="AP20" s="14">
        <f t="shared" si="35"/>
        <v>6892.3984240421341</v>
      </c>
      <c r="AQ20" s="16">
        <f t="shared" si="36"/>
        <v>0.73731972866205675</v>
      </c>
      <c r="AR20" s="389">
        <f t="shared" si="37"/>
        <v>11</v>
      </c>
      <c r="AS20" s="14">
        <f t="shared" si="38"/>
        <v>3729922</v>
      </c>
      <c r="AT20" s="14">
        <f t="shared" si="11"/>
        <v>2455.5100000000002</v>
      </c>
      <c r="AU20" s="389">
        <f t="shared" si="39"/>
        <v>55</v>
      </c>
      <c r="AV20" s="16">
        <f t="shared" si="40"/>
        <v>0.26268027133794331</v>
      </c>
      <c r="AW20" s="389">
        <f t="shared" si="41"/>
        <v>14199475.206120001</v>
      </c>
      <c r="AX20" s="390">
        <f t="shared" si="12"/>
        <v>9347.9099447794615</v>
      </c>
      <c r="AY20" s="389">
        <f t="shared" si="42"/>
        <v>11</v>
      </c>
      <c r="AZ20" s="14">
        <v>10189093.787416</v>
      </c>
      <c r="BA20" s="276">
        <f t="shared" si="13"/>
        <v>280459.41870400123</v>
      </c>
      <c r="BB20" s="276">
        <f t="shared" si="43"/>
        <v>7492814</v>
      </c>
      <c r="BC20" s="276">
        <v>7413337.5</v>
      </c>
      <c r="BD20" s="276">
        <f t="shared" si="44"/>
        <v>79476.5</v>
      </c>
      <c r="BE20" s="276">
        <f t="shared" si="45"/>
        <v>1622399.40912</v>
      </c>
      <c r="BF20" s="276">
        <v>1433420.2874159999</v>
      </c>
      <c r="BG20" s="276">
        <f t="shared" si="46"/>
        <v>188979.12170400005</v>
      </c>
      <c r="BH20" s="276">
        <f t="shared" si="47"/>
        <v>3729922</v>
      </c>
      <c r="BI20" s="276">
        <v>3421469.5</v>
      </c>
      <c r="BJ20" s="276">
        <f t="shared" si="48"/>
        <v>308452.5</v>
      </c>
      <c r="BK20" s="81">
        <f t="shared" si="49"/>
        <v>1519</v>
      </c>
      <c r="BL20" s="81">
        <v>1515</v>
      </c>
      <c r="BM20" s="954">
        <f t="shared" si="50"/>
        <v>4</v>
      </c>
      <c r="BN20" s="81">
        <f t="shared" si="51"/>
        <v>2325</v>
      </c>
      <c r="BO20" s="81">
        <v>2295</v>
      </c>
      <c r="BP20" s="954">
        <f t="shared" si="52"/>
        <v>30</v>
      </c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</row>
    <row r="21" spans="1:148" s="5" customFormat="1">
      <c r="A21" s="103">
        <v>14</v>
      </c>
      <c r="B21" s="81" t="s">
        <v>115</v>
      </c>
      <c r="C21" s="599">
        <f>'Table 8 2.1.12 MFP Funded'!AD17</f>
        <v>1958</v>
      </c>
      <c r="D21" s="599">
        <f>'[7]Table 3 for Option A'!AD17</f>
        <v>1448</v>
      </c>
      <c r="E21" s="599">
        <f t="shared" si="3"/>
        <v>319</v>
      </c>
      <c r="F21" s="599">
        <f>'[8]Table 3 Option A'!T25</f>
        <v>523.5</v>
      </c>
      <c r="G21" s="599">
        <f t="shared" si="4"/>
        <v>31</v>
      </c>
      <c r="H21" s="599">
        <f>'[9]SWD_Option A'!Z19</f>
        <v>356</v>
      </c>
      <c r="I21" s="599">
        <f t="shared" si="14"/>
        <v>534</v>
      </c>
      <c r="J21" s="599">
        <f>'[9]GiftedTalented-Option a'!AA19</f>
        <v>96</v>
      </c>
      <c r="K21" s="13">
        <f t="shared" si="15"/>
        <v>58</v>
      </c>
      <c r="L21" s="13">
        <f t="shared" si="5"/>
        <v>5542</v>
      </c>
      <c r="M21" s="65">
        <f t="shared" si="6"/>
        <v>0.14779</v>
      </c>
      <c r="N21" s="13">
        <f t="shared" si="7"/>
        <v>289</v>
      </c>
      <c r="O21" s="13">
        <f t="shared" si="16"/>
        <v>1231</v>
      </c>
      <c r="P21" s="13">
        <f t="shared" si="8"/>
        <v>3189</v>
      </c>
      <c r="Q21" s="384">
        <f t="shared" si="17"/>
        <v>3855</v>
      </c>
      <c r="R21" s="384">
        <f t="shared" si="9"/>
        <v>12293595</v>
      </c>
      <c r="S21" s="384">
        <f>'Table 6 (Local Deduct Calc.)'!J22</f>
        <v>3712986</v>
      </c>
      <c r="T21" s="384">
        <f t="shared" si="18"/>
        <v>3712986</v>
      </c>
      <c r="U21" s="385">
        <f t="shared" si="19"/>
        <v>8580609</v>
      </c>
      <c r="V21" s="386">
        <f t="shared" si="53"/>
        <v>0.69799999999999995</v>
      </c>
      <c r="W21" s="386">
        <f t="shared" si="20"/>
        <v>0.30199999999999999</v>
      </c>
      <c r="X21" s="387">
        <f t="shared" si="21"/>
        <v>1896.3156281920326</v>
      </c>
      <c r="Y21" s="384">
        <f>'Table 7 Local Revenue'!AQ21</f>
        <v>6889052</v>
      </c>
      <c r="Z21" s="384">
        <f t="shared" si="22"/>
        <v>3176066</v>
      </c>
      <c r="AA21" s="276">
        <f t="shared" si="23"/>
        <v>0</v>
      </c>
      <c r="AB21" s="14">
        <f t="shared" si="24"/>
        <v>4179822.3000000003</v>
      </c>
      <c r="AC21" s="14">
        <f t="shared" si="25"/>
        <v>3176066</v>
      </c>
      <c r="AD21" s="384">
        <f t="shared" si="26"/>
        <v>1649775.7230400001</v>
      </c>
      <c r="AE21" s="388">
        <f t="shared" si="27"/>
        <v>1526290.2769599999</v>
      </c>
      <c r="AF21" s="16">
        <f t="shared" si="28"/>
        <v>0.48060000000000003</v>
      </c>
      <c r="AG21" s="388">
        <f t="shared" si="29"/>
        <v>10106899.27696</v>
      </c>
      <c r="AH21" s="14">
        <f t="shared" si="30"/>
        <v>5162</v>
      </c>
      <c r="AI21" s="388">
        <f>'Table 4 Level 3'!O19</f>
        <v>279431</v>
      </c>
      <c r="AJ21" s="14">
        <f t="shared" si="10"/>
        <v>142.71246169560777</v>
      </c>
      <c r="AK21" s="388">
        <f t="shared" si="31"/>
        <v>10386330.27696</v>
      </c>
      <c r="AL21" s="14">
        <f t="shared" si="32"/>
        <v>5304.5609177528095</v>
      </c>
      <c r="AM21" s="517">
        <f>'Table 4 Level 3'!R19</f>
        <v>1864561.8599999999</v>
      </c>
      <c r="AN21" s="518">
        <f t="shared" si="33"/>
        <v>952.2787844739529</v>
      </c>
      <c r="AO21" s="388">
        <f t="shared" si="34"/>
        <v>11971461.13696</v>
      </c>
      <c r="AP21" s="14">
        <f t="shared" si="35"/>
        <v>6114.1272405311538</v>
      </c>
      <c r="AQ21" s="16">
        <f t="shared" si="36"/>
        <v>0.63473676723567662</v>
      </c>
      <c r="AR21" s="389">
        <f t="shared" si="37"/>
        <v>39</v>
      </c>
      <c r="AS21" s="14">
        <f t="shared" si="38"/>
        <v>6889052</v>
      </c>
      <c r="AT21" s="14">
        <f t="shared" si="11"/>
        <v>3518.41</v>
      </c>
      <c r="AU21" s="389">
        <f t="shared" si="39"/>
        <v>27</v>
      </c>
      <c r="AV21" s="16">
        <f t="shared" si="40"/>
        <v>0.36526323276432343</v>
      </c>
      <c r="AW21" s="389">
        <f t="shared" si="41"/>
        <v>18860513.13696</v>
      </c>
      <c r="AX21" s="390">
        <f t="shared" si="12"/>
        <v>9632.5399065168531</v>
      </c>
      <c r="AY21" s="389">
        <f t="shared" si="42"/>
        <v>6</v>
      </c>
      <c r="AZ21" s="14">
        <v>13176947.058854401</v>
      </c>
      <c r="BA21" s="276">
        <f t="shared" si="13"/>
        <v>-1205485.9218944013</v>
      </c>
      <c r="BB21" s="276">
        <f t="shared" si="43"/>
        <v>8580609</v>
      </c>
      <c r="BC21" s="276">
        <v>9058223</v>
      </c>
      <c r="BD21" s="276">
        <f t="shared" si="44"/>
        <v>-477614</v>
      </c>
      <c r="BE21" s="276">
        <f t="shared" si="45"/>
        <v>1526290.2769599999</v>
      </c>
      <c r="BF21" s="276">
        <v>2217044.0588544002</v>
      </c>
      <c r="BG21" s="276">
        <f t="shared" si="46"/>
        <v>-690753.78189440025</v>
      </c>
      <c r="BH21" s="276">
        <f t="shared" si="47"/>
        <v>6889052</v>
      </c>
      <c r="BI21" s="276">
        <v>8297313</v>
      </c>
      <c r="BJ21" s="276">
        <f t="shared" si="48"/>
        <v>-1408261</v>
      </c>
      <c r="BK21" s="81">
        <f t="shared" si="49"/>
        <v>1958</v>
      </c>
      <c r="BL21" s="81">
        <v>2009</v>
      </c>
      <c r="BM21" s="954">
        <f t="shared" si="50"/>
        <v>-51</v>
      </c>
      <c r="BN21" s="81">
        <f t="shared" si="51"/>
        <v>3189</v>
      </c>
      <c r="BO21" s="81">
        <v>3264</v>
      </c>
      <c r="BP21" s="954">
        <f t="shared" si="52"/>
        <v>-75</v>
      </c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</row>
    <row r="22" spans="1:148" s="21" customFormat="1">
      <c r="A22" s="104">
        <v>15</v>
      </c>
      <c r="B22" s="82" t="s">
        <v>116</v>
      </c>
      <c r="C22" s="781">
        <f>'Table 8 2.1.12 MFP Funded'!AD18</f>
        <v>3627</v>
      </c>
      <c r="D22" s="781">
        <f>'[7]Table 3 for Option A'!AD18</f>
        <v>2818</v>
      </c>
      <c r="E22" s="781">
        <f t="shared" si="3"/>
        <v>620</v>
      </c>
      <c r="F22" s="781">
        <f>'[8]Table 3 Option A'!T26</f>
        <v>1159</v>
      </c>
      <c r="G22" s="781">
        <f t="shared" si="4"/>
        <v>70</v>
      </c>
      <c r="H22" s="781">
        <f>'[9]SWD_Option A'!Z20</f>
        <v>368</v>
      </c>
      <c r="I22" s="781">
        <f t="shared" si="14"/>
        <v>552</v>
      </c>
      <c r="J22" s="781">
        <f>'[9]GiftedTalented-Option a'!AA20</f>
        <v>70</v>
      </c>
      <c r="K22" s="19">
        <f t="shared" si="15"/>
        <v>42</v>
      </c>
      <c r="L22" s="19">
        <f t="shared" si="5"/>
        <v>3873</v>
      </c>
      <c r="M22" s="66">
        <f t="shared" si="6"/>
        <v>0.10328</v>
      </c>
      <c r="N22" s="19">
        <f t="shared" si="7"/>
        <v>375</v>
      </c>
      <c r="O22" s="19">
        <f t="shared" si="16"/>
        <v>1659</v>
      </c>
      <c r="P22" s="13">
        <f t="shared" si="8"/>
        <v>5286</v>
      </c>
      <c r="Q22" s="391">
        <f t="shared" si="17"/>
        <v>3855</v>
      </c>
      <c r="R22" s="391">
        <f t="shared" si="9"/>
        <v>20377530</v>
      </c>
      <c r="S22" s="391">
        <f>'Table 6 (Local Deduct Calc.)'!J23</f>
        <v>4368762.5</v>
      </c>
      <c r="T22" s="391">
        <f t="shared" si="18"/>
        <v>4368762.5</v>
      </c>
      <c r="U22" s="392">
        <f t="shared" si="19"/>
        <v>16008767.5</v>
      </c>
      <c r="V22" s="393">
        <f t="shared" si="53"/>
        <v>0.78559999999999997</v>
      </c>
      <c r="W22" s="394">
        <f t="shared" si="20"/>
        <v>0.21440000000000001</v>
      </c>
      <c r="X22" s="395">
        <f t="shared" si="21"/>
        <v>1204.5113041080783</v>
      </c>
      <c r="Y22" s="391">
        <f>'Table 7 Local Revenue'!AQ22</f>
        <v>9520648.5</v>
      </c>
      <c r="Z22" s="391">
        <f t="shared" si="22"/>
        <v>5151886</v>
      </c>
      <c r="AA22" s="277">
        <f t="shared" si="23"/>
        <v>0</v>
      </c>
      <c r="AB22" s="20">
        <f t="shared" si="24"/>
        <v>6928360.2000000002</v>
      </c>
      <c r="AC22" s="20">
        <f t="shared" si="25"/>
        <v>5151886</v>
      </c>
      <c r="AD22" s="391">
        <f t="shared" si="26"/>
        <v>1899850.6964479999</v>
      </c>
      <c r="AE22" s="396">
        <f t="shared" si="27"/>
        <v>3252035.3035519999</v>
      </c>
      <c r="AF22" s="270">
        <f t="shared" si="28"/>
        <v>0.63119999999999998</v>
      </c>
      <c r="AG22" s="396">
        <f t="shared" si="29"/>
        <v>19260802.803552002</v>
      </c>
      <c r="AH22" s="20">
        <f t="shared" si="30"/>
        <v>5310</v>
      </c>
      <c r="AI22" s="396">
        <f>'Table 4 Level 3'!O20</f>
        <v>472467</v>
      </c>
      <c r="AJ22" s="20">
        <f t="shared" si="10"/>
        <v>130.26385442514476</v>
      </c>
      <c r="AK22" s="396">
        <f t="shared" si="31"/>
        <v>19733269.803552002</v>
      </c>
      <c r="AL22" s="20">
        <f t="shared" si="32"/>
        <v>5440.6588926253107</v>
      </c>
      <c r="AM22" s="519">
        <f>'Table 4 Level 3'!R20</f>
        <v>2480767.3199999998</v>
      </c>
      <c r="AN22" s="520">
        <f t="shared" si="33"/>
        <v>683.97224152191893</v>
      </c>
      <c r="AO22" s="396">
        <f t="shared" si="34"/>
        <v>21741570.123552002</v>
      </c>
      <c r="AP22" s="20">
        <f t="shared" si="35"/>
        <v>5994.3672797220852</v>
      </c>
      <c r="AQ22" s="270">
        <f t="shared" si="36"/>
        <v>0.69545832256359974</v>
      </c>
      <c r="AR22" s="397">
        <f t="shared" si="37"/>
        <v>21</v>
      </c>
      <c r="AS22" s="20">
        <f t="shared" si="38"/>
        <v>9520648.5</v>
      </c>
      <c r="AT22" s="20">
        <f t="shared" si="11"/>
        <v>2624.94</v>
      </c>
      <c r="AU22" s="397">
        <f t="shared" si="39"/>
        <v>53</v>
      </c>
      <c r="AV22" s="270">
        <f t="shared" si="40"/>
        <v>0.30454167743640032</v>
      </c>
      <c r="AW22" s="397">
        <f t="shared" si="41"/>
        <v>31262218.623552002</v>
      </c>
      <c r="AX22" s="398">
        <f t="shared" si="12"/>
        <v>8619.3048314177013</v>
      </c>
      <c r="AY22" s="397">
        <f t="shared" si="42"/>
        <v>42</v>
      </c>
      <c r="AZ22" s="20">
        <v>21976176.18928</v>
      </c>
      <c r="BA22" s="277">
        <f t="shared" si="13"/>
        <v>-234606.06572799757</v>
      </c>
      <c r="BB22" s="277">
        <f t="shared" si="43"/>
        <v>16008767.5</v>
      </c>
      <c r="BC22" s="277">
        <v>16327505</v>
      </c>
      <c r="BD22" s="277">
        <f t="shared" si="44"/>
        <v>-318737.5</v>
      </c>
      <c r="BE22" s="277">
        <f t="shared" si="45"/>
        <v>3252035.3035519999</v>
      </c>
      <c r="BF22" s="277">
        <v>3102632.18928</v>
      </c>
      <c r="BG22" s="277">
        <f t="shared" si="46"/>
        <v>149403.1142719998</v>
      </c>
      <c r="BH22" s="277">
        <f t="shared" si="47"/>
        <v>9520648.5</v>
      </c>
      <c r="BI22" s="277">
        <v>9166405</v>
      </c>
      <c r="BJ22" s="277">
        <f t="shared" si="48"/>
        <v>354243.5</v>
      </c>
      <c r="BK22" s="82">
        <f t="shared" si="49"/>
        <v>3627</v>
      </c>
      <c r="BL22" s="82">
        <v>3692</v>
      </c>
      <c r="BM22" s="955">
        <f t="shared" si="50"/>
        <v>-65</v>
      </c>
      <c r="BN22" s="82">
        <f t="shared" si="51"/>
        <v>5286</v>
      </c>
      <c r="BO22" s="82">
        <v>5356</v>
      </c>
      <c r="BP22" s="955">
        <f t="shared" si="52"/>
        <v>-70</v>
      </c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</row>
    <row r="23" spans="1:148" s="5" customFormat="1">
      <c r="A23" s="103">
        <v>16</v>
      </c>
      <c r="B23" s="81" t="s">
        <v>117</v>
      </c>
      <c r="C23" s="599">
        <f>'Table 8 2.1.12 MFP Funded'!AD19</f>
        <v>4787</v>
      </c>
      <c r="D23" s="599">
        <f>'[7]Table 3 for Option A'!AD19</f>
        <v>3020</v>
      </c>
      <c r="E23" s="599">
        <f t="shared" si="3"/>
        <v>664</v>
      </c>
      <c r="F23" s="599">
        <f>'[8]Table 3 Option A'!T27</f>
        <v>1342.5</v>
      </c>
      <c r="G23" s="599">
        <f t="shared" si="4"/>
        <v>81</v>
      </c>
      <c r="H23" s="599">
        <f>'[9]SWD_Option A'!Z21</f>
        <v>505</v>
      </c>
      <c r="I23" s="599">
        <f t="shared" si="14"/>
        <v>758</v>
      </c>
      <c r="J23" s="599">
        <f>'[9]GiftedTalented-Option a'!AA21</f>
        <v>175</v>
      </c>
      <c r="K23" s="13">
        <f t="shared" si="15"/>
        <v>105</v>
      </c>
      <c r="L23" s="13">
        <f t="shared" si="5"/>
        <v>2713</v>
      </c>
      <c r="M23" s="65">
        <f t="shared" si="6"/>
        <v>7.2349999999999998E-2</v>
      </c>
      <c r="N23" s="13">
        <f t="shared" si="7"/>
        <v>346</v>
      </c>
      <c r="O23" s="13">
        <f t="shared" si="16"/>
        <v>1954</v>
      </c>
      <c r="P23" s="36">
        <f t="shared" si="8"/>
        <v>6741</v>
      </c>
      <c r="Q23" s="384">
        <f t="shared" si="17"/>
        <v>3855</v>
      </c>
      <c r="R23" s="384">
        <f t="shared" si="9"/>
        <v>25986555</v>
      </c>
      <c r="S23" s="384">
        <f>'Table 6 (Local Deduct Calc.)'!J24</f>
        <v>29482954</v>
      </c>
      <c r="T23" s="384">
        <f t="shared" si="18"/>
        <v>19489916.25</v>
      </c>
      <c r="U23" s="385">
        <f t="shared" si="19"/>
        <v>6496638.75</v>
      </c>
      <c r="V23" s="386">
        <f t="shared" si="53"/>
        <v>0.25</v>
      </c>
      <c r="W23" s="386">
        <f t="shared" si="20"/>
        <v>0.75</v>
      </c>
      <c r="X23" s="387">
        <f t="shared" si="21"/>
        <v>4071.4259974932106</v>
      </c>
      <c r="Y23" s="384">
        <f>'Table 7 Local Revenue'!AQ23</f>
        <v>95838930</v>
      </c>
      <c r="Z23" s="384">
        <f t="shared" si="22"/>
        <v>76349013.75</v>
      </c>
      <c r="AA23" s="276">
        <f t="shared" si="23"/>
        <v>0</v>
      </c>
      <c r="AB23" s="14">
        <f t="shared" si="24"/>
        <v>8835428.7000000011</v>
      </c>
      <c r="AC23" s="14">
        <f t="shared" si="25"/>
        <v>8835428.7000000011</v>
      </c>
      <c r="AD23" s="384">
        <f t="shared" si="26"/>
        <v>11397703.023000002</v>
      </c>
      <c r="AE23" s="388">
        <f t="shared" si="27"/>
        <v>0</v>
      </c>
      <c r="AF23" s="16">
        <f t="shared" si="28"/>
        <v>0</v>
      </c>
      <c r="AG23" s="388">
        <f t="shared" si="29"/>
        <v>6496638.75</v>
      </c>
      <c r="AH23" s="14">
        <f t="shared" si="30"/>
        <v>1357</v>
      </c>
      <c r="AI23" s="388">
        <f>'Table 4 Level 3'!O21</f>
        <v>723164</v>
      </c>
      <c r="AJ23" s="14">
        <f t="shared" si="10"/>
        <v>151.06831000626698</v>
      </c>
      <c r="AK23" s="388">
        <f t="shared" si="31"/>
        <v>7219802.75</v>
      </c>
      <c r="AL23" s="14">
        <f t="shared" si="32"/>
        <v>1508.2103091706706</v>
      </c>
      <c r="AM23" s="517">
        <f>'Table 4 Level 3'!R21</f>
        <v>4009579.088</v>
      </c>
      <c r="AN23" s="518">
        <f t="shared" si="33"/>
        <v>837.59746981407977</v>
      </c>
      <c r="AO23" s="388">
        <f t="shared" si="34"/>
        <v>10506217.838</v>
      </c>
      <c r="AP23" s="14">
        <f t="shared" si="35"/>
        <v>2194.7394689784833</v>
      </c>
      <c r="AQ23" s="16">
        <f t="shared" si="36"/>
        <v>0.27055871779764434</v>
      </c>
      <c r="AR23" s="389">
        <f t="shared" si="37"/>
        <v>69</v>
      </c>
      <c r="AS23" s="14">
        <f t="shared" si="38"/>
        <v>28325344.949999999</v>
      </c>
      <c r="AT23" s="14">
        <f t="shared" si="11"/>
        <v>5917.14</v>
      </c>
      <c r="AU23" s="389">
        <f t="shared" si="39"/>
        <v>5</v>
      </c>
      <c r="AV23" s="16">
        <f t="shared" si="40"/>
        <v>0.7294412822023556</v>
      </c>
      <c r="AW23" s="389">
        <f t="shared" si="41"/>
        <v>38831562.788000003</v>
      </c>
      <c r="AX23" s="390">
        <f t="shared" si="12"/>
        <v>8111.8785853352838</v>
      </c>
      <c r="AY23" s="389">
        <f t="shared" si="42"/>
        <v>59</v>
      </c>
      <c r="AZ23" s="14">
        <v>10289052.25</v>
      </c>
      <c r="BA23" s="276">
        <f t="shared" si="13"/>
        <v>217165.58799999952</v>
      </c>
      <c r="BB23" s="276">
        <f t="shared" si="43"/>
        <v>6496638.75</v>
      </c>
      <c r="BC23" s="276">
        <v>6398336.25</v>
      </c>
      <c r="BD23" s="276">
        <f t="shared" si="44"/>
        <v>98302.5</v>
      </c>
      <c r="BE23" s="276">
        <f t="shared" si="45"/>
        <v>0</v>
      </c>
      <c r="BF23" s="276">
        <v>0</v>
      </c>
      <c r="BG23" s="276">
        <f t="shared" si="46"/>
        <v>0</v>
      </c>
      <c r="BH23" s="276">
        <f t="shared" si="47"/>
        <v>95838930</v>
      </c>
      <c r="BI23" s="276">
        <v>78134850.5</v>
      </c>
      <c r="BJ23" s="276">
        <f t="shared" si="48"/>
        <v>17704079.5</v>
      </c>
      <c r="BK23" s="81">
        <f t="shared" si="49"/>
        <v>4787</v>
      </c>
      <c r="BL23" s="81">
        <v>4677</v>
      </c>
      <c r="BM23" s="954">
        <f t="shared" si="50"/>
        <v>110</v>
      </c>
      <c r="BN23" s="81">
        <f t="shared" si="51"/>
        <v>6741</v>
      </c>
      <c r="BO23" s="81">
        <v>6639</v>
      </c>
      <c r="BP23" s="954">
        <f t="shared" si="52"/>
        <v>102</v>
      </c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</row>
    <row r="24" spans="1:148" s="5" customFormat="1">
      <c r="A24" s="103">
        <v>17</v>
      </c>
      <c r="B24" s="81" t="s">
        <v>118</v>
      </c>
      <c r="C24" s="599">
        <f>'Table 8 2.1.12 MFP Funded'!AD20</f>
        <v>43685</v>
      </c>
      <c r="D24" s="599">
        <f>'[7]Table 3 for Option A'!AD20</f>
        <v>36753</v>
      </c>
      <c r="E24" s="599">
        <f t="shared" si="3"/>
        <v>8086</v>
      </c>
      <c r="F24" s="599">
        <f>'[8]Table 3 Option A'!T28</f>
        <v>13818.5</v>
      </c>
      <c r="G24" s="599">
        <f t="shared" si="4"/>
        <v>829</v>
      </c>
      <c r="H24" s="599">
        <f>'[9]SWD_Option A'!Z22</f>
        <v>4679</v>
      </c>
      <c r="I24" s="599">
        <f t="shared" si="14"/>
        <v>7019</v>
      </c>
      <c r="J24" s="599">
        <f>'[9]GiftedTalented-Option a'!AA22</f>
        <v>1746</v>
      </c>
      <c r="K24" s="81">
        <f t="shared" si="15"/>
        <v>1048</v>
      </c>
      <c r="L24" s="13">
        <f t="shared" si="5"/>
        <v>0</v>
      </c>
      <c r="M24" s="65">
        <f t="shared" si="6"/>
        <v>0</v>
      </c>
      <c r="N24" s="13">
        <f t="shared" si="7"/>
        <v>0</v>
      </c>
      <c r="O24" s="13">
        <f t="shared" si="16"/>
        <v>16982</v>
      </c>
      <c r="P24" s="13">
        <f t="shared" si="8"/>
        <v>60667</v>
      </c>
      <c r="Q24" s="384">
        <f t="shared" si="17"/>
        <v>3855</v>
      </c>
      <c r="R24" s="384">
        <f t="shared" si="9"/>
        <v>233871285</v>
      </c>
      <c r="S24" s="384">
        <f>'Table 6 (Local Deduct Calc.)'!J25</f>
        <v>118611727</v>
      </c>
      <c r="T24" s="384">
        <f t="shared" si="18"/>
        <v>118611727</v>
      </c>
      <c r="U24" s="385">
        <f t="shared" si="19"/>
        <v>115259558</v>
      </c>
      <c r="V24" s="386">
        <f t="shared" si="53"/>
        <v>0.49280000000000002</v>
      </c>
      <c r="W24" s="386">
        <f t="shared" si="20"/>
        <v>0.50719999999999998</v>
      </c>
      <c r="X24" s="387">
        <f t="shared" si="21"/>
        <v>2715.1591392926634</v>
      </c>
      <c r="Y24" s="384">
        <f>'Table 7 Local Revenue'!AQ24</f>
        <v>281602906</v>
      </c>
      <c r="Z24" s="384">
        <f t="shared" si="22"/>
        <v>162991179</v>
      </c>
      <c r="AA24" s="276">
        <f t="shared" si="23"/>
        <v>0</v>
      </c>
      <c r="AB24" s="14">
        <f t="shared" si="24"/>
        <v>79516236.900000006</v>
      </c>
      <c r="AC24" s="14">
        <f t="shared" si="25"/>
        <v>79516236.900000006</v>
      </c>
      <c r="AD24" s="384">
        <f t="shared" si="26"/>
        <v>69368692.811769605</v>
      </c>
      <c r="AE24" s="388">
        <f t="shared" si="27"/>
        <v>10147544.088230401</v>
      </c>
      <c r="AF24" s="16">
        <f t="shared" si="28"/>
        <v>0.12759999999999999</v>
      </c>
      <c r="AG24" s="388">
        <f t="shared" si="29"/>
        <v>125407102.0882304</v>
      </c>
      <c r="AH24" s="14">
        <f t="shared" si="30"/>
        <v>2871</v>
      </c>
      <c r="AI24" s="388">
        <f>'Table 4 Level 3'!O22</f>
        <v>22935122</v>
      </c>
      <c r="AJ24" s="14">
        <f t="shared" si="10"/>
        <v>525.01137690282701</v>
      </c>
      <c r="AK24" s="388">
        <f t="shared" si="31"/>
        <v>148342224.0882304</v>
      </c>
      <c r="AL24" s="14">
        <f t="shared" si="32"/>
        <v>3395.7244841073689</v>
      </c>
      <c r="AM24" s="517">
        <f>'Table 4 Level 3'!R22</f>
        <v>57938294.72357928</v>
      </c>
      <c r="AN24" s="518">
        <f t="shared" si="33"/>
        <v>1326.2743441359569</v>
      </c>
      <c r="AO24" s="388">
        <f t="shared" si="34"/>
        <v>183345396.81180969</v>
      </c>
      <c r="AP24" s="14">
        <f t="shared" si="35"/>
        <v>4196.9874513404984</v>
      </c>
      <c r="AQ24" s="16">
        <f t="shared" si="36"/>
        <v>0.48062437825198751</v>
      </c>
      <c r="AR24" s="389">
        <f t="shared" si="37"/>
        <v>59</v>
      </c>
      <c r="AS24" s="14">
        <f t="shared" si="38"/>
        <v>198127963.90000001</v>
      </c>
      <c r="AT24" s="14">
        <f t="shared" si="11"/>
        <v>4535.38</v>
      </c>
      <c r="AU24" s="389">
        <f t="shared" si="39"/>
        <v>12</v>
      </c>
      <c r="AV24" s="16">
        <f t="shared" si="40"/>
        <v>0.51937562174801255</v>
      </c>
      <c r="AW24" s="389">
        <f t="shared" si="41"/>
        <v>381473360.71180969</v>
      </c>
      <c r="AX24" s="390">
        <f t="shared" si="12"/>
        <v>8732.3649012661026</v>
      </c>
      <c r="AY24" s="389">
        <f t="shared" si="42"/>
        <v>33</v>
      </c>
      <c r="AZ24" s="14">
        <v>175810122.30855921</v>
      </c>
      <c r="BA24" s="276">
        <f t="shared" si="13"/>
        <v>7535274.5032504797</v>
      </c>
      <c r="BB24" s="276">
        <f t="shared" si="43"/>
        <v>115259558</v>
      </c>
      <c r="BC24" s="276">
        <v>109532344</v>
      </c>
      <c r="BD24" s="276">
        <f t="shared" si="44"/>
        <v>5727214</v>
      </c>
      <c r="BE24" s="276">
        <f t="shared" si="45"/>
        <v>10147544.088230401</v>
      </c>
      <c r="BF24" s="276">
        <v>7522414.2082692087</v>
      </c>
      <c r="BG24" s="276">
        <f t="shared" si="46"/>
        <v>2625129.8799611926</v>
      </c>
      <c r="BH24" s="276">
        <f t="shared" si="47"/>
        <v>281602906</v>
      </c>
      <c r="BI24" s="276">
        <v>280201144</v>
      </c>
      <c r="BJ24" s="276">
        <f t="shared" si="48"/>
        <v>1401762</v>
      </c>
      <c r="BK24" s="495">
        <f t="shared" si="49"/>
        <v>43685</v>
      </c>
      <c r="BL24" s="495">
        <v>43218</v>
      </c>
      <c r="BM24" s="957">
        <f t="shared" si="50"/>
        <v>467</v>
      </c>
      <c r="BN24" s="495">
        <f t="shared" si="51"/>
        <v>60667</v>
      </c>
      <c r="BO24" s="495">
        <v>59911</v>
      </c>
      <c r="BP24" s="957">
        <f t="shared" si="52"/>
        <v>756</v>
      </c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</row>
    <row r="25" spans="1:148" s="5" customFormat="1">
      <c r="A25" s="103">
        <v>18</v>
      </c>
      <c r="B25" s="81" t="s">
        <v>119</v>
      </c>
      <c r="C25" s="599">
        <f>'Table 8 2.1.12 MFP Funded'!AD21</f>
        <v>1135</v>
      </c>
      <c r="D25" s="599">
        <f>'[7]Table 3 for Option A'!AD21</f>
        <v>1081</v>
      </c>
      <c r="E25" s="599">
        <f t="shared" si="3"/>
        <v>238</v>
      </c>
      <c r="F25" s="599">
        <f>'[8]Table 3 Option A'!T29</f>
        <v>450.5</v>
      </c>
      <c r="G25" s="599">
        <f t="shared" si="4"/>
        <v>27</v>
      </c>
      <c r="H25" s="599">
        <f>'[9]SWD_Option A'!Z23</f>
        <v>134</v>
      </c>
      <c r="I25" s="599">
        <f t="shared" si="14"/>
        <v>201</v>
      </c>
      <c r="J25" s="599">
        <f>'[9]GiftedTalented-Option a'!AA23</f>
        <v>0</v>
      </c>
      <c r="K25" s="13">
        <f t="shared" si="15"/>
        <v>0</v>
      </c>
      <c r="L25" s="13">
        <f t="shared" si="5"/>
        <v>6365</v>
      </c>
      <c r="M25" s="65">
        <f t="shared" si="6"/>
        <v>0.16972999999999999</v>
      </c>
      <c r="N25" s="13">
        <f t="shared" si="7"/>
        <v>193</v>
      </c>
      <c r="O25" s="13">
        <f t="shared" si="16"/>
        <v>659</v>
      </c>
      <c r="P25" s="13">
        <f t="shared" si="8"/>
        <v>1794</v>
      </c>
      <c r="Q25" s="384">
        <f t="shared" si="17"/>
        <v>3855</v>
      </c>
      <c r="R25" s="384">
        <f t="shared" si="9"/>
        <v>6915870</v>
      </c>
      <c r="S25" s="384">
        <f>'Table 6 (Local Deduct Calc.)'!J26</f>
        <v>1154419.5</v>
      </c>
      <c r="T25" s="384">
        <f t="shared" si="18"/>
        <v>1154419.5</v>
      </c>
      <c r="U25" s="385">
        <f t="shared" si="19"/>
        <v>5761450.5</v>
      </c>
      <c r="V25" s="386">
        <f t="shared" si="53"/>
        <v>0.83309999999999995</v>
      </c>
      <c r="W25" s="386">
        <f t="shared" si="20"/>
        <v>0.16689999999999999</v>
      </c>
      <c r="X25" s="387">
        <f t="shared" si="21"/>
        <v>1017.1096916299559</v>
      </c>
      <c r="Y25" s="384">
        <f>'Table 7 Local Revenue'!AQ25</f>
        <v>2070491.5</v>
      </c>
      <c r="Z25" s="384">
        <f t="shared" si="22"/>
        <v>916072</v>
      </c>
      <c r="AA25" s="276">
        <f t="shared" si="23"/>
        <v>0</v>
      </c>
      <c r="AB25" s="14">
        <f t="shared" si="24"/>
        <v>2351395.8000000003</v>
      </c>
      <c r="AC25" s="14">
        <f t="shared" si="25"/>
        <v>916072</v>
      </c>
      <c r="AD25" s="384">
        <f t="shared" si="26"/>
        <v>262974.95689600002</v>
      </c>
      <c r="AE25" s="388">
        <f t="shared" si="27"/>
        <v>653097.04310399992</v>
      </c>
      <c r="AF25" s="16">
        <f t="shared" si="28"/>
        <v>0.71289999999999998</v>
      </c>
      <c r="AG25" s="388">
        <f t="shared" si="29"/>
        <v>6414547.5431040004</v>
      </c>
      <c r="AH25" s="14">
        <f t="shared" si="30"/>
        <v>5652</v>
      </c>
      <c r="AI25" s="388">
        <f>'Table 4 Level 3'!O23</f>
        <v>181979</v>
      </c>
      <c r="AJ25" s="14">
        <f t="shared" si="10"/>
        <v>160.33392070484581</v>
      </c>
      <c r="AK25" s="388">
        <f t="shared" si="31"/>
        <v>6596526.5431040004</v>
      </c>
      <c r="AL25" s="14">
        <f t="shared" si="32"/>
        <v>5811.9176591224677</v>
      </c>
      <c r="AM25" s="517">
        <f>'Table 4 Level 3'!R23</f>
        <v>1142047.6549999998</v>
      </c>
      <c r="AN25" s="518">
        <f t="shared" si="33"/>
        <v>1006.2093876651981</v>
      </c>
      <c r="AO25" s="388">
        <f t="shared" si="34"/>
        <v>7556595.1981039997</v>
      </c>
      <c r="AP25" s="14">
        <f t="shared" si="35"/>
        <v>6657.7931260828191</v>
      </c>
      <c r="AQ25" s="16">
        <f t="shared" si="36"/>
        <v>0.784930626997701</v>
      </c>
      <c r="AR25" s="389">
        <f t="shared" si="37"/>
        <v>4</v>
      </c>
      <c r="AS25" s="14">
        <f t="shared" si="38"/>
        <v>2070491.5</v>
      </c>
      <c r="AT25" s="14">
        <f t="shared" si="11"/>
        <v>1824.22</v>
      </c>
      <c r="AU25" s="389">
        <f t="shared" si="39"/>
        <v>64</v>
      </c>
      <c r="AV25" s="16">
        <f t="shared" si="40"/>
        <v>0.21506937300229897</v>
      </c>
      <c r="AW25" s="389">
        <f t="shared" si="41"/>
        <v>9627086.6981039997</v>
      </c>
      <c r="AX25" s="390">
        <f t="shared" si="12"/>
        <v>8482.014711985903</v>
      </c>
      <c r="AY25" s="389">
        <f t="shared" si="42"/>
        <v>47</v>
      </c>
      <c r="AZ25" s="14">
        <v>7693588.7673519999</v>
      </c>
      <c r="BA25" s="276">
        <f t="shared" si="13"/>
        <v>-136993.56924800016</v>
      </c>
      <c r="BB25" s="276">
        <f t="shared" si="43"/>
        <v>5761450.5</v>
      </c>
      <c r="BC25" s="276">
        <v>5891394</v>
      </c>
      <c r="BD25" s="276">
        <f t="shared" si="44"/>
        <v>-129943.5</v>
      </c>
      <c r="BE25" s="276">
        <f t="shared" si="45"/>
        <v>653097.04310399992</v>
      </c>
      <c r="BF25" s="276">
        <v>619488.767352</v>
      </c>
      <c r="BG25" s="276">
        <f t="shared" si="46"/>
        <v>33608.275751999929</v>
      </c>
      <c r="BH25" s="276">
        <f t="shared" si="47"/>
        <v>2070491.5</v>
      </c>
      <c r="BI25" s="276">
        <v>2080927</v>
      </c>
      <c r="BJ25" s="276">
        <f t="shared" si="48"/>
        <v>-10435.5</v>
      </c>
      <c r="BK25" s="81">
        <f t="shared" si="49"/>
        <v>1135</v>
      </c>
      <c r="BL25" s="81">
        <v>1163</v>
      </c>
      <c r="BM25" s="954">
        <f t="shared" si="50"/>
        <v>-28</v>
      </c>
      <c r="BN25" s="81">
        <f t="shared" si="51"/>
        <v>1794</v>
      </c>
      <c r="BO25" s="81">
        <v>1841</v>
      </c>
      <c r="BP25" s="954">
        <f t="shared" si="52"/>
        <v>-47</v>
      </c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</row>
    <row r="26" spans="1:148" s="5" customFormat="1">
      <c r="A26" s="103">
        <v>19</v>
      </c>
      <c r="B26" s="81" t="s">
        <v>120</v>
      </c>
      <c r="C26" s="599">
        <f>'Table 8 2.1.12 MFP Funded'!AD22</f>
        <v>1938</v>
      </c>
      <c r="D26" s="599">
        <f>'[7]Table 3 for Option A'!AD22</f>
        <v>1675</v>
      </c>
      <c r="E26" s="599">
        <f t="shared" si="3"/>
        <v>369</v>
      </c>
      <c r="F26" s="599">
        <f>'[8]Table 3 Option A'!T30</f>
        <v>674</v>
      </c>
      <c r="G26" s="599">
        <f t="shared" si="4"/>
        <v>40</v>
      </c>
      <c r="H26" s="599">
        <f>'[9]SWD_Option A'!Z24</f>
        <v>272</v>
      </c>
      <c r="I26" s="599">
        <f t="shared" si="14"/>
        <v>408</v>
      </c>
      <c r="J26" s="599">
        <f>'[9]GiftedTalented-Option a'!AA24</f>
        <v>19</v>
      </c>
      <c r="K26" s="13">
        <f t="shared" si="15"/>
        <v>11</v>
      </c>
      <c r="L26" s="13">
        <f t="shared" si="5"/>
        <v>5562</v>
      </c>
      <c r="M26" s="65">
        <f t="shared" si="6"/>
        <v>0.14832000000000001</v>
      </c>
      <c r="N26" s="13">
        <f t="shared" si="7"/>
        <v>287</v>
      </c>
      <c r="O26" s="13">
        <f t="shared" si="16"/>
        <v>1115</v>
      </c>
      <c r="P26" s="13">
        <f t="shared" si="8"/>
        <v>3053</v>
      </c>
      <c r="Q26" s="384">
        <f t="shared" si="17"/>
        <v>3855</v>
      </c>
      <c r="R26" s="384">
        <f t="shared" si="9"/>
        <v>11769315</v>
      </c>
      <c r="S26" s="384">
        <f>'Table 6 (Local Deduct Calc.)'!J27</f>
        <v>2871736</v>
      </c>
      <c r="T26" s="384">
        <f t="shared" si="18"/>
        <v>2871736</v>
      </c>
      <c r="U26" s="385">
        <f t="shared" si="19"/>
        <v>8897579</v>
      </c>
      <c r="V26" s="386">
        <f t="shared" si="53"/>
        <v>0.75600000000000001</v>
      </c>
      <c r="W26" s="386">
        <f t="shared" si="20"/>
        <v>0.24399999999999999</v>
      </c>
      <c r="X26" s="387">
        <f t="shared" si="21"/>
        <v>1481.8039215686274</v>
      </c>
      <c r="Y26" s="384">
        <f>'Table 7 Local Revenue'!AQ26</f>
        <v>4434446</v>
      </c>
      <c r="Z26" s="384">
        <f t="shared" si="22"/>
        <v>1562710</v>
      </c>
      <c r="AA26" s="276">
        <f t="shared" si="23"/>
        <v>0</v>
      </c>
      <c r="AB26" s="14">
        <f t="shared" si="24"/>
        <v>4001567.1</v>
      </c>
      <c r="AC26" s="14">
        <f t="shared" si="25"/>
        <v>1562710</v>
      </c>
      <c r="AD26" s="384">
        <f t="shared" si="26"/>
        <v>655838.13280000002</v>
      </c>
      <c r="AE26" s="388">
        <f t="shared" si="27"/>
        <v>906871.86719999998</v>
      </c>
      <c r="AF26" s="16">
        <f t="shared" si="28"/>
        <v>0.58030000000000004</v>
      </c>
      <c r="AG26" s="388">
        <f t="shared" si="29"/>
        <v>9804450.8672000002</v>
      </c>
      <c r="AH26" s="14">
        <f t="shared" si="30"/>
        <v>5059</v>
      </c>
      <c r="AI26" s="388">
        <f>'Table 4 Level 3'!O24</f>
        <v>276577</v>
      </c>
      <c r="AJ26" s="14">
        <f t="shared" si="10"/>
        <v>142.71259029927759</v>
      </c>
      <c r="AK26" s="388">
        <f t="shared" si="31"/>
        <v>10081027.8672</v>
      </c>
      <c r="AL26" s="14">
        <f t="shared" si="32"/>
        <v>5201.7687653250778</v>
      </c>
      <c r="AM26" s="517">
        <f>'Table 4 Level 3'!R24</f>
        <v>2030485.453</v>
      </c>
      <c r="AN26" s="518">
        <f t="shared" si="33"/>
        <v>1047.7221119711041</v>
      </c>
      <c r="AO26" s="388">
        <f t="shared" si="34"/>
        <v>11834936.3202</v>
      </c>
      <c r="AP26" s="14">
        <f t="shared" si="35"/>
        <v>6106.7782869969042</v>
      </c>
      <c r="AQ26" s="16">
        <f t="shared" si="36"/>
        <v>0.72743611818045428</v>
      </c>
      <c r="AR26" s="389">
        <f t="shared" si="37"/>
        <v>14</v>
      </c>
      <c r="AS26" s="14">
        <f t="shared" si="38"/>
        <v>4434446</v>
      </c>
      <c r="AT26" s="14">
        <f t="shared" si="11"/>
        <v>2288.16</v>
      </c>
      <c r="AU26" s="389">
        <f t="shared" si="39"/>
        <v>56</v>
      </c>
      <c r="AV26" s="16">
        <f t="shared" si="40"/>
        <v>0.27256388181954577</v>
      </c>
      <c r="AW26" s="389">
        <f t="shared" si="41"/>
        <v>16269382.3202</v>
      </c>
      <c r="AX26" s="390">
        <f t="shared" si="12"/>
        <v>8394.9341177502574</v>
      </c>
      <c r="AY26" s="389">
        <f t="shared" si="42"/>
        <v>50</v>
      </c>
      <c r="AZ26" s="14">
        <v>11962583.051328</v>
      </c>
      <c r="BA26" s="276">
        <f t="shared" si="13"/>
        <v>-127646.73112799972</v>
      </c>
      <c r="BB26" s="276">
        <f t="shared" si="43"/>
        <v>8897579</v>
      </c>
      <c r="BC26" s="276">
        <v>9090310.5</v>
      </c>
      <c r="BD26" s="276">
        <f t="shared" si="44"/>
        <v>-192731.5</v>
      </c>
      <c r="BE26" s="276">
        <f t="shared" si="45"/>
        <v>906871.86719999998</v>
      </c>
      <c r="BF26" s="276">
        <v>831976.55132800003</v>
      </c>
      <c r="BG26" s="276">
        <f t="shared" si="46"/>
        <v>74895.315871999948</v>
      </c>
      <c r="BH26" s="276">
        <f t="shared" si="47"/>
        <v>4434446</v>
      </c>
      <c r="BI26" s="276">
        <v>4225743.5</v>
      </c>
      <c r="BJ26" s="276">
        <f t="shared" si="48"/>
        <v>208702.5</v>
      </c>
      <c r="BK26" s="81">
        <f t="shared" si="49"/>
        <v>1938</v>
      </c>
      <c r="BL26" s="81">
        <v>1958</v>
      </c>
      <c r="BM26" s="954">
        <f t="shared" si="50"/>
        <v>-20</v>
      </c>
      <c r="BN26" s="81">
        <f t="shared" si="51"/>
        <v>3053</v>
      </c>
      <c r="BO26" s="81">
        <v>3090</v>
      </c>
      <c r="BP26" s="954">
        <f t="shared" si="52"/>
        <v>-37</v>
      </c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</row>
    <row r="27" spans="1:148" s="21" customFormat="1">
      <c r="A27" s="104">
        <v>20</v>
      </c>
      <c r="B27" s="82" t="s">
        <v>121</v>
      </c>
      <c r="C27" s="82">
        <f>'Table 8 2.1.12 MFP Funded'!AD23</f>
        <v>5811</v>
      </c>
      <c r="D27" s="82">
        <f>'[7]Table 3 for Option A'!AD23</f>
        <v>4669</v>
      </c>
      <c r="E27" s="82">
        <f t="shared" si="3"/>
        <v>1027</v>
      </c>
      <c r="F27" s="82">
        <f>'[8]Table 3 Option A'!T31</f>
        <v>1939</v>
      </c>
      <c r="G27" s="82">
        <f t="shared" si="4"/>
        <v>116</v>
      </c>
      <c r="H27" s="82">
        <f>'[9]SWD_Option A'!Z25</f>
        <v>822</v>
      </c>
      <c r="I27" s="82">
        <f t="shared" si="14"/>
        <v>1233</v>
      </c>
      <c r="J27" s="82">
        <f>'[9]GiftedTalented-Option a'!AA25</f>
        <v>68</v>
      </c>
      <c r="K27" s="19">
        <f t="shared" si="15"/>
        <v>41</v>
      </c>
      <c r="L27" s="19">
        <f t="shared" si="5"/>
        <v>1689</v>
      </c>
      <c r="M27" s="66">
        <f t="shared" si="6"/>
        <v>4.5039999999999997E-2</v>
      </c>
      <c r="N27" s="19">
        <f t="shared" si="7"/>
        <v>262</v>
      </c>
      <c r="O27" s="19">
        <f t="shared" si="16"/>
        <v>2679</v>
      </c>
      <c r="P27" s="13">
        <f t="shared" si="8"/>
        <v>8490</v>
      </c>
      <c r="Q27" s="391">
        <f t="shared" si="17"/>
        <v>3855</v>
      </c>
      <c r="R27" s="391">
        <f t="shared" si="9"/>
        <v>32728950</v>
      </c>
      <c r="S27" s="391">
        <f>'Table 6 (Local Deduct Calc.)'!J28</f>
        <v>6279428.5</v>
      </c>
      <c r="T27" s="391">
        <f t="shared" si="18"/>
        <v>6279428.5</v>
      </c>
      <c r="U27" s="392">
        <f t="shared" si="19"/>
        <v>26449521.5</v>
      </c>
      <c r="V27" s="393">
        <f t="shared" si="53"/>
        <v>0.80810000000000004</v>
      </c>
      <c r="W27" s="394">
        <f t="shared" si="20"/>
        <v>0.19189999999999999</v>
      </c>
      <c r="X27" s="395">
        <f t="shared" si="21"/>
        <v>1080.6106522113234</v>
      </c>
      <c r="Y27" s="391">
        <f>'Table 7 Local Revenue'!AQ27</f>
        <v>13070209.5</v>
      </c>
      <c r="Z27" s="391">
        <f t="shared" si="22"/>
        <v>6790781</v>
      </c>
      <c r="AA27" s="277">
        <f t="shared" si="23"/>
        <v>0</v>
      </c>
      <c r="AB27" s="20">
        <f t="shared" si="24"/>
        <v>11127843</v>
      </c>
      <c r="AC27" s="20">
        <f t="shared" si="25"/>
        <v>6790781</v>
      </c>
      <c r="AD27" s="391">
        <f t="shared" si="26"/>
        <v>2241419.5031079999</v>
      </c>
      <c r="AE27" s="396">
        <f t="shared" si="27"/>
        <v>4549361.4968919996</v>
      </c>
      <c r="AF27" s="270">
        <f t="shared" si="28"/>
        <v>0.66990000000000005</v>
      </c>
      <c r="AG27" s="396">
        <f t="shared" si="29"/>
        <v>30998882.996891998</v>
      </c>
      <c r="AH27" s="20">
        <f t="shared" si="30"/>
        <v>5335</v>
      </c>
      <c r="AI27" s="396">
        <f>'Table 4 Level 3'!O25</f>
        <v>651348</v>
      </c>
      <c r="AJ27" s="20">
        <f t="shared" si="10"/>
        <v>112.08879710893133</v>
      </c>
      <c r="AK27" s="396">
        <f t="shared" si="31"/>
        <v>31650230.996891998</v>
      </c>
      <c r="AL27" s="20">
        <f t="shared" si="32"/>
        <v>5446.6066076220959</v>
      </c>
      <c r="AM27" s="519">
        <f>'Table 4 Level 3'!R25</f>
        <v>4057054.3169999998</v>
      </c>
      <c r="AN27" s="520">
        <f t="shared" si="33"/>
        <v>698.168011874032</v>
      </c>
      <c r="AO27" s="396">
        <f t="shared" si="34"/>
        <v>35055937.313891999</v>
      </c>
      <c r="AP27" s="20">
        <f t="shared" si="35"/>
        <v>6032.6858223871968</v>
      </c>
      <c r="AQ27" s="270">
        <f t="shared" si="36"/>
        <v>0.72841770294755492</v>
      </c>
      <c r="AR27" s="397">
        <f t="shared" si="37"/>
        <v>12</v>
      </c>
      <c r="AS27" s="20">
        <f t="shared" si="38"/>
        <v>13070209.5</v>
      </c>
      <c r="AT27" s="20">
        <f t="shared" si="11"/>
        <v>2249.2199999999998</v>
      </c>
      <c r="AU27" s="397">
        <f t="shared" si="39"/>
        <v>57</v>
      </c>
      <c r="AV27" s="270">
        <f t="shared" si="40"/>
        <v>0.27158229705244508</v>
      </c>
      <c r="AW27" s="397">
        <f t="shared" si="41"/>
        <v>48126146.813891999</v>
      </c>
      <c r="AX27" s="398">
        <f t="shared" si="12"/>
        <v>8281.9044594548268</v>
      </c>
      <c r="AY27" s="397">
        <f t="shared" si="42"/>
        <v>57</v>
      </c>
      <c r="AZ27" s="20">
        <v>34332859.735444002</v>
      </c>
      <c r="BA27" s="277">
        <f t="shared" si="13"/>
        <v>723077.57844799757</v>
      </c>
      <c r="BB27" s="277">
        <f t="shared" si="43"/>
        <v>26449521.5</v>
      </c>
      <c r="BC27" s="277">
        <v>25991586.5</v>
      </c>
      <c r="BD27" s="277">
        <f t="shared" si="44"/>
        <v>457935</v>
      </c>
      <c r="BE27" s="277">
        <f t="shared" si="45"/>
        <v>4549361.4968919996</v>
      </c>
      <c r="BF27" s="277">
        <v>4342980.235444</v>
      </c>
      <c r="BG27" s="277">
        <f t="shared" si="46"/>
        <v>206381.26144799963</v>
      </c>
      <c r="BH27" s="277">
        <f t="shared" si="47"/>
        <v>13070209.5</v>
      </c>
      <c r="BI27" s="277">
        <v>12789964.5</v>
      </c>
      <c r="BJ27" s="277">
        <f t="shared" si="48"/>
        <v>280245</v>
      </c>
      <c r="BK27" s="82">
        <f t="shared" si="49"/>
        <v>5811</v>
      </c>
      <c r="BL27" s="82">
        <v>5699</v>
      </c>
      <c r="BM27" s="955">
        <f t="shared" si="50"/>
        <v>112</v>
      </c>
      <c r="BN27" s="82">
        <f t="shared" si="51"/>
        <v>8490</v>
      </c>
      <c r="BO27" s="82">
        <v>8368</v>
      </c>
      <c r="BP27" s="955">
        <f t="shared" si="52"/>
        <v>122</v>
      </c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</row>
    <row r="28" spans="1:148" s="5" customFormat="1">
      <c r="A28" s="103">
        <v>21</v>
      </c>
      <c r="B28" s="81" t="s">
        <v>122</v>
      </c>
      <c r="C28" s="81">
        <f>'Table 8 2.1.12 MFP Funded'!AD24</f>
        <v>2950</v>
      </c>
      <c r="D28" s="81">
        <f>'[7]Table 3 for Option A'!AD24</f>
        <v>2425</v>
      </c>
      <c r="E28" s="81">
        <f t="shared" si="3"/>
        <v>534</v>
      </c>
      <c r="F28" s="81">
        <f>'[8]Table 3 Option A'!T32</f>
        <v>1206</v>
      </c>
      <c r="G28" s="81">
        <f t="shared" si="4"/>
        <v>72</v>
      </c>
      <c r="H28" s="81">
        <f>'[9]SWD_Option A'!Z26</f>
        <v>403</v>
      </c>
      <c r="I28" s="81">
        <f t="shared" si="14"/>
        <v>605</v>
      </c>
      <c r="J28" s="81">
        <f>'[9]GiftedTalented-Option a'!AA26</f>
        <v>32</v>
      </c>
      <c r="K28" s="13">
        <f t="shared" si="15"/>
        <v>19</v>
      </c>
      <c r="L28" s="13">
        <f t="shared" si="5"/>
        <v>4550</v>
      </c>
      <c r="M28" s="65">
        <f t="shared" si="6"/>
        <v>0.12132999999999999</v>
      </c>
      <c r="N28" s="13">
        <f t="shared" si="7"/>
        <v>358</v>
      </c>
      <c r="O28" s="13">
        <f t="shared" si="16"/>
        <v>1588</v>
      </c>
      <c r="P28" s="36">
        <f t="shared" si="8"/>
        <v>4538</v>
      </c>
      <c r="Q28" s="384">
        <f t="shared" si="17"/>
        <v>3855</v>
      </c>
      <c r="R28" s="384">
        <f t="shared" si="9"/>
        <v>17493990</v>
      </c>
      <c r="S28" s="384">
        <f>'Table 6 (Local Deduct Calc.)'!J29</f>
        <v>3077262.5</v>
      </c>
      <c r="T28" s="384">
        <f t="shared" si="18"/>
        <v>3077262.5</v>
      </c>
      <c r="U28" s="385">
        <f t="shared" si="19"/>
        <v>14416727.5</v>
      </c>
      <c r="V28" s="386">
        <f t="shared" si="53"/>
        <v>0.82410000000000005</v>
      </c>
      <c r="W28" s="386">
        <f t="shared" si="20"/>
        <v>0.1759</v>
      </c>
      <c r="X28" s="387">
        <f t="shared" si="21"/>
        <v>1043.1398305084747</v>
      </c>
      <c r="Y28" s="384">
        <f>'Table 7 Local Revenue'!AQ28</f>
        <v>6174410.5</v>
      </c>
      <c r="Z28" s="384">
        <f t="shared" si="22"/>
        <v>3097148</v>
      </c>
      <c r="AA28" s="276">
        <f t="shared" si="23"/>
        <v>0</v>
      </c>
      <c r="AB28" s="14">
        <f t="shared" si="24"/>
        <v>5947956.6000000006</v>
      </c>
      <c r="AC28" s="14">
        <f t="shared" si="25"/>
        <v>3097148</v>
      </c>
      <c r="AD28" s="384">
        <f t="shared" si="26"/>
        <v>937035.93310399994</v>
      </c>
      <c r="AE28" s="388">
        <f t="shared" si="27"/>
        <v>2160112.0668959999</v>
      </c>
      <c r="AF28" s="16">
        <f t="shared" si="28"/>
        <v>0.69750000000000001</v>
      </c>
      <c r="AG28" s="388">
        <f t="shared" si="29"/>
        <v>16576839.566895999</v>
      </c>
      <c r="AH28" s="14">
        <f t="shared" si="30"/>
        <v>5619</v>
      </c>
      <c r="AI28" s="388">
        <f>'Table 4 Level 3'!O26</f>
        <v>421001</v>
      </c>
      <c r="AJ28" s="14">
        <f t="shared" si="10"/>
        <v>142.71220338983051</v>
      </c>
      <c r="AK28" s="388">
        <f t="shared" si="31"/>
        <v>16997840.566895999</v>
      </c>
      <c r="AL28" s="14">
        <f t="shared" si="32"/>
        <v>5761.9798531850847</v>
      </c>
      <c r="AM28" s="517">
        <f>'Table 4 Level 3'!R26</f>
        <v>2220801.08</v>
      </c>
      <c r="AN28" s="518">
        <f t="shared" si="33"/>
        <v>752.81392542372885</v>
      </c>
      <c r="AO28" s="388">
        <f t="shared" si="34"/>
        <v>18797640.646895997</v>
      </c>
      <c r="AP28" s="14">
        <f t="shared" si="35"/>
        <v>6372.0815752189819</v>
      </c>
      <c r="AQ28" s="16">
        <f t="shared" si="36"/>
        <v>0.75274716267079755</v>
      </c>
      <c r="AR28" s="389">
        <f t="shared" si="37"/>
        <v>9</v>
      </c>
      <c r="AS28" s="14">
        <f t="shared" si="38"/>
        <v>6174410.5</v>
      </c>
      <c r="AT28" s="14">
        <f t="shared" si="11"/>
        <v>2093.02</v>
      </c>
      <c r="AU28" s="389">
        <f t="shared" si="39"/>
        <v>59</v>
      </c>
      <c r="AV28" s="16">
        <f t="shared" si="40"/>
        <v>0.24725283732920247</v>
      </c>
      <c r="AW28" s="389">
        <f t="shared" si="41"/>
        <v>24972051.146895997</v>
      </c>
      <c r="AX28" s="390">
        <f t="shared" si="12"/>
        <v>8465.1020836935586</v>
      </c>
      <c r="AY28" s="389">
        <f t="shared" si="42"/>
        <v>48</v>
      </c>
      <c r="AZ28" s="14">
        <v>18077881.655280001</v>
      </c>
      <c r="BA28" s="276">
        <f t="shared" si="13"/>
        <v>719758.99161599576</v>
      </c>
      <c r="BB28" s="276">
        <f t="shared" si="43"/>
        <v>14416727.5</v>
      </c>
      <c r="BC28" s="276">
        <v>13880268</v>
      </c>
      <c r="BD28" s="276">
        <f t="shared" si="44"/>
        <v>536459.5</v>
      </c>
      <c r="BE28" s="276">
        <f t="shared" si="45"/>
        <v>2160112.0668959999</v>
      </c>
      <c r="BF28" s="276">
        <v>2029963.6552800001</v>
      </c>
      <c r="BG28" s="276">
        <f t="shared" si="46"/>
        <v>130148.41161599988</v>
      </c>
      <c r="BH28" s="276">
        <f t="shared" si="47"/>
        <v>6174410.5</v>
      </c>
      <c r="BI28" s="276">
        <v>6081817</v>
      </c>
      <c r="BJ28" s="276">
        <f t="shared" si="48"/>
        <v>92593.5</v>
      </c>
      <c r="BK28" s="81">
        <f t="shared" si="49"/>
        <v>2950</v>
      </c>
      <c r="BL28" s="81">
        <v>2902</v>
      </c>
      <c r="BM28" s="954">
        <f t="shared" si="50"/>
        <v>48</v>
      </c>
      <c r="BN28" s="81">
        <f t="shared" si="51"/>
        <v>4538</v>
      </c>
      <c r="BO28" s="81">
        <v>4409</v>
      </c>
      <c r="BP28" s="954">
        <f t="shared" si="52"/>
        <v>129</v>
      </c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</row>
    <row r="29" spans="1:148" s="5" customFormat="1">
      <c r="A29" s="103">
        <v>22</v>
      </c>
      <c r="B29" s="81" t="s">
        <v>123</v>
      </c>
      <c r="C29" s="81">
        <f>'Table 8 2.1.12 MFP Funded'!AD25</f>
        <v>3277</v>
      </c>
      <c r="D29" s="81">
        <f>'[7]Table 3 for Option A'!AD25</f>
        <v>2173</v>
      </c>
      <c r="E29" s="81">
        <f t="shared" si="3"/>
        <v>478</v>
      </c>
      <c r="F29" s="81">
        <f>'[8]Table 3 Option A'!T33</f>
        <v>839.5</v>
      </c>
      <c r="G29" s="81">
        <f t="shared" si="4"/>
        <v>50</v>
      </c>
      <c r="H29" s="81">
        <f>'[9]SWD_Option A'!Z27</f>
        <v>520</v>
      </c>
      <c r="I29" s="81">
        <f t="shared" si="14"/>
        <v>780</v>
      </c>
      <c r="J29" s="81">
        <f>'[9]GiftedTalented-Option a'!AA27</f>
        <v>25</v>
      </c>
      <c r="K29" s="13">
        <f t="shared" si="15"/>
        <v>15</v>
      </c>
      <c r="L29" s="13">
        <f t="shared" si="5"/>
        <v>4223</v>
      </c>
      <c r="M29" s="65">
        <f t="shared" si="6"/>
        <v>0.11261</v>
      </c>
      <c r="N29" s="13">
        <f t="shared" si="7"/>
        <v>369</v>
      </c>
      <c r="O29" s="13">
        <f t="shared" si="16"/>
        <v>1692</v>
      </c>
      <c r="P29" s="13">
        <f t="shared" si="8"/>
        <v>4969</v>
      </c>
      <c r="Q29" s="384">
        <f t="shared" si="17"/>
        <v>3855</v>
      </c>
      <c r="R29" s="384">
        <f t="shared" si="9"/>
        <v>19155495</v>
      </c>
      <c r="S29" s="384">
        <f>'Table 6 (Local Deduct Calc.)'!J30</f>
        <v>1934451</v>
      </c>
      <c r="T29" s="384">
        <f t="shared" si="18"/>
        <v>1934451</v>
      </c>
      <c r="U29" s="385">
        <f t="shared" si="19"/>
        <v>17221044</v>
      </c>
      <c r="V29" s="386">
        <f t="shared" si="53"/>
        <v>0.89900000000000002</v>
      </c>
      <c r="W29" s="386">
        <f t="shared" si="20"/>
        <v>0.10100000000000001</v>
      </c>
      <c r="X29" s="387">
        <f t="shared" si="21"/>
        <v>590.31156545620991</v>
      </c>
      <c r="Y29" s="384">
        <f>'Table 7 Local Revenue'!AQ29</f>
        <v>5165748</v>
      </c>
      <c r="Z29" s="384">
        <f t="shared" si="22"/>
        <v>3231297</v>
      </c>
      <c r="AA29" s="276">
        <f t="shared" si="23"/>
        <v>0</v>
      </c>
      <c r="AB29" s="14">
        <f t="shared" si="24"/>
        <v>6512868.3000000007</v>
      </c>
      <c r="AC29" s="14">
        <f t="shared" si="25"/>
        <v>3231297</v>
      </c>
      <c r="AD29" s="384">
        <f t="shared" si="26"/>
        <v>561340.9148400001</v>
      </c>
      <c r="AE29" s="388">
        <f t="shared" si="27"/>
        <v>2669956.0851599998</v>
      </c>
      <c r="AF29" s="16">
        <f t="shared" si="28"/>
        <v>0.82630000000000003</v>
      </c>
      <c r="AG29" s="388">
        <f t="shared" si="29"/>
        <v>19891000.085159998</v>
      </c>
      <c r="AH29" s="14">
        <f t="shared" si="30"/>
        <v>6070</v>
      </c>
      <c r="AI29" s="388">
        <f>'Table 4 Level 3'!O27</f>
        <v>467668</v>
      </c>
      <c r="AJ29" s="14">
        <f t="shared" si="10"/>
        <v>142.712236801953</v>
      </c>
      <c r="AK29" s="388">
        <f t="shared" si="31"/>
        <v>20358668.085159998</v>
      </c>
      <c r="AL29" s="14">
        <f t="shared" si="32"/>
        <v>6212.5932514983215</v>
      </c>
      <c r="AM29" s="517">
        <f>'Table 4 Level 3'!R27</f>
        <v>2093743.36</v>
      </c>
      <c r="AN29" s="518">
        <f t="shared" si="33"/>
        <v>638.92076899603296</v>
      </c>
      <c r="AO29" s="388">
        <f t="shared" si="34"/>
        <v>21984743.445159998</v>
      </c>
      <c r="AP29" s="14">
        <f t="shared" si="35"/>
        <v>6708.8017836924009</v>
      </c>
      <c r="AQ29" s="16">
        <f t="shared" si="36"/>
        <v>0.80973648265505427</v>
      </c>
      <c r="AR29" s="389">
        <f t="shared" si="37"/>
        <v>1</v>
      </c>
      <c r="AS29" s="14">
        <f t="shared" si="38"/>
        <v>5165748</v>
      </c>
      <c r="AT29" s="14">
        <f t="shared" si="11"/>
        <v>1576.36</v>
      </c>
      <c r="AU29" s="389">
        <f t="shared" si="39"/>
        <v>68</v>
      </c>
      <c r="AV29" s="16">
        <f t="shared" si="40"/>
        <v>0.19026351734494573</v>
      </c>
      <c r="AW29" s="389">
        <f t="shared" si="41"/>
        <v>27150491.445159998</v>
      </c>
      <c r="AX29" s="390">
        <f t="shared" si="12"/>
        <v>8285.1667516508987</v>
      </c>
      <c r="AY29" s="389">
        <f t="shared" si="42"/>
        <v>56</v>
      </c>
      <c r="AZ29" s="14">
        <v>22092719.614</v>
      </c>
      <c r="BA29" s="276">
        <f t="shared" si="13"/>
        <v>-107976.16884000227</v>
      </c>
      <c r="BB29" s="276">
        <f t="shared" si="43"/>
        <v>17221044</v>
      </c>
      <c r="BC29" s="276">
        <v>17404002</v>
      </c>
      <c r="BD29" s="276">
        <f t="shared" si="44"/>
        <v>-182958</v>
      </c>
      <c r="BE29" s="276">
        <f t="shared" si="45"/>
        <v>2669956.0851599998</v>
      </c>
      <c r="BF29" s="276">
        <v>2596150.6140000001</v>
      </c>
      <c r="BG29" s="276">
        <f t="shared" si="46"/>
        <v>73805.471159999724</v>
      </c>
      <c r="BH29" s="276">
        <f t="shared" si="47"/>
        <v>5165748</v>
      </c>
      <c r="BI29" s="276">
        <v>5012748</v>
      </c>
      <c r="BJ29" s="276">
        <f t="shared" si="48"/>
        <v>153000</v>
      </c>
      <c r="BK29" s="81">
        <f t="shared" si="49"/>
        <v>3277</v>
      </c>
      <c r="BL29" s="81">
        <v>3306</v>
      </c>
      <c r="BM29" s="954">
        <f t="shared" si="50"/>
        <v>-29</v>
      </c>
      <c r="BN29" s="81">
        <f t="shared" si="51"/>
        <v>4969</v>
      </c>
      <c r="BO29" s="81">
        <v>5005</v>
      </c>
      <c r="BP29" s="954">
        <f t="shared" si="52"/>
        <v>-36</v>
      </c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</row>
    <row r="30" spans="1:148" s="5" customFormat="1">
      <c r="A30" s="103">
        <v>23</v>
      </c>
      <c r="B30" s="81" t="s">
        <v>124</v>
      </c>
      <c r="C30" s="81">
        <f>'Table 8 2.1.12 MFP Funded'!AD26</f>
        <v>13280</v>
      </c>
      <c r="D30" s="81">
        <f>'[7]Table 3 for Option A'!AD26</f>
        <v>9669</v>
      </c>
      <c r="E30" s="81">
        <f t="shared" si="3"/>
        <v>2127</v>
      </c>
      <c r="F30" s="81">
        <f>'[8]Table 3 Option A'!T34</f>
        <v>5556</v>
      </c>
      <c r="G30" s="81">
        <f t="shared" si="4"/>
        <v>333</v>
      </c>
      <c r="H30" s="81">
        <f>'[9]SWD_Option A'!Z28</f>
        <v>1575</v>
      </c>
      <c r="I30" s="81">
        <f t="shared" si="14"/>
        <v>2363</v>
      </c>
      <c r="J30" s="81">
        <f>'[9]GiftedTalented-Option a'!AA28</f>
        <v>430</v>
      </c>
      <c r="K30" s="13">
        <f t="shared" si="15"/>
        <v>258</v>
      </c>
      <c r="L30" s="13">
        <f t="shared" si="5"/>
        <v>0</v>
      </c>
      <c r="M30" s="65">
        <f t="shared" si="6"/>
        <v>0</v>
      </c>
      <c r="N30" s="13">
        <f t="shared" si="7"/>
        <v>0</v>
      </c>
      <c r="O30" s="13">
        <f t="shared" si="16"/>
        <v>5081</v>
      </c>
      <c r="P30" s="13">
        <f t="shared" si="8"/>
        <v>18361</v>
      </c>
      <c r="Q30" s="384">
        <f t="shared" si="17"/>
        <v>3855</v>
      </c>
      <c r="R30" s="384">
        <f t="shared" si="9"/>
        <v>70781655</v>
      </c>
      <c r="S30" s="384">
        <f>'Table 6 (Local Deduct Calc.)'!J31</f>
        <v>19999938</v>
      </c>
      <c r="T30" s="384">
        <f t="shared" si="18"/>
        <v>19999938</v>
      </c>
      <c r="U30" s="385">
        <f t="shared" si="19"/>
        <v>50781717</v>
      </c>
      <c r="V30" s="386">
        <f t="shared" si="53"/>
        <v>0.71740000000000004</v>
      </c>
      <c r="W30" s="386">
        <f t="shared" si="20"/>
        <v>0.28260000000000002</v>
      </c>
      <c r="X30" s="387">
        <f t="shared" si="21"/>
        <v>1506.0194277108433</v>
      </c>
      <c r="Y30" s="384">
        <f>'Table 7 Local Revenue'!AQ30</f>
        <v>41817240</v>
      </c>
      <c r="Z30" s="384">
        <f t="shared" si="22"/>
        <v>21817302</v>
      </c>
      <c r="AA30" s="276">
        <f t="shared" si="23"/>
        <v>0</v>
      </c>
      <c r="AB30" s="14">
        <f t="shared" si="24"/>
        <v>24065762.700000003</v>
      </c>
      <c r="AC30" s="14">
        <f t="shared" si="25"/>
        <v>21817302</v>
      </c>
      <c r="AD30" s="384">
        <f t="shared" si="26"/>
        <v>10604779.617744001</v>
      </c>
      <c r="AE30" s="388">
        <f t="shared" si="27"/>
        <v>11212522.382255999</v>
      </c>
      <c r="AF30" s="16">
        <f t="shared" si="28"/>
        <v>0.51390000000000002</v>
      </c>
      <c r="AG30" s="388">
        <f t="shared" si="29"/>
        <v>61994239.382256001</v>
      </c>
      <c r="AH30" s="14">
        <f t="shared" si="30"/>
        <v>4668</v>
      </c>
      <c r="AI30" s="388">
        <f>'Table 4 Level 3'!O28</f>
        <v>2075220</v>
      </c>
      <c r="AJ30" s="14">
        <f t="shared" si="10"/>
        <v>156.26656626506025</v>
      </c>
      <c r="AK30" s="388">
        <f t="shared" si="31"/>
        <v>64069459.382256001</v>
      </c>
      <c r="AL30" s="14">
        <f t="shared" si="32"/>
        <v>4824.5074836036147</v>
      </c>
      <c r="AM30" s="517">
        <f>'Table 4 Level 3'!R28</f>
        <v>11218116.382000001</v>
      </c>
      <c r="AN30" s="518">
        <f t="shared" si="33"/>
        <v>844.73767936746992</v>
      </c>
      <c r="AO30" s="388">
        <f t="shared" si="34"/>
        <v>73212355.764256001</v>
      </c>
      <c r="AP30" s="14">
        <f t="shared" si="35"/>
        <v>5512.9785967060243</v>
      </c>
      <c r="AQ30" s="16">
        <f t="shared" si="36"/>
        <v>0.63646538334620328</v>
      </c>
      <c r="AR30" s="389">
        <f t="shared" si="37"/>
        <v>38</v>
      </c>
      <c r="AS30" s="14">
        <f t="shared" si="38"/>
        <v>41817240</v>
      </c>
      <c r="AT30" s="14">
        <f t="shared" si="11"/>
        <v>3148.89</v>
      </c>
      <c r="AU30" s="389">
        <f t="shared" si="39"/>
        <v>34</v>
      </c>
      <c r="AV30" s="16">
        <f t="shared" si="40"/>
        <v>0.36353461665379666</v>
      </c>
      <c r="AW30" s="389">
        <f t="shared" si="41"/>
        <v>115029595.764256</v>
      </c>
      <c r="AX30" s="390">
        <f t="shared" si="12"/>
        <v>8661.8671509228916</v>
      </c>
      <c r="AY30" s="389">
        <f t="shared" si="42"/>
        <v>39</v>
      </c>
      <c r="AZ30" s="14">
        <v>72565767.913376004</v>
      </c>
      <c r="BA30" s="276">
        <f t="shared" si="13"/>
        <v>646587.85087999701</v>
      </c>
      <c r="BB30" s="276">
        <f t="shared" si="43"/>
        <v>50781717</v>
      </c>
      <c r="BC30" s="276">
        <v>50731634</v>
      </c>
      <c r="BD30" s="276">
        <f t="shared" si="44"/>
        <v>50083</v>
      </c>
      <c r="BE30" s="276">
        <f t="shared" si="45"/>
        <v>11212522.382255999</v>
      </c>
      <c r="BF30" s="276">
        <v>10802185.913376</v>
      </c>
      <c r="BG30" s="276">
        <f t="shared" si="46"/>
        <v>410336.46887999959</v>
      </c>
      <c r="BH30" s="276">
        <f t="shared" si="47"/>
        <v>41817240</v>
      </c>
      <c r="BI30" s="276">
        <v>40420758</v>
      </c>
      <c r="BJ30" s="276">
        <f t="shared" si="48"/>
        <v>1396482</v>
      </c>
      <c r="BK30" s="81">
        <f t="shared" si="49"/>
        <v>13280</v>
      </c>
      <c r="BL30" s="81">
        <v>13151</v>
      </c>
      <c r="BM30" s="954">
        <f t="shared" si="50"/>
        <v>129</v>
      </c>
      <c r="BN30" s="81">
        <f t="shared" si="51"/>
        <v>18361</v>
      </c>
      <c r="BO30" s="81">
        <v>18256</v>
      </c>
      <c r="BP30" s="954">
        <f t="shared" si="52"/>
        <v>105</v>
      </c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</row>
    <row r="31" spans="1:148" s="5" customFormat="1">
      <c r="A31" s="103">
        <v>24</v>
      </c>
      <c r="B31" s="81" t="s">
        <v>125</v>
      </c>
      <c r="C31" s="81">
        <f>'Table 8 2.1.12 MFP Funded'!AD27</f>
        <v>4471</v>
      </c>
      <c r="D31" s="81">
        <f>'[7]Table 3 for Option A'!AD27</f>
        <v>3658</v>
      </c>
      <c r="E31" s="81">
        <f t="shared" si="3"/>
        <v>805</v>
      </c>
      <c r="F31" s="81">
        <f>'[8]Table 3 Option A'!T35</f>
        <v>1202.5</v>
      </c>
      <c r="G31" s="81">
        <f t="shared" si="4"/>
        <v>72</v>
      </c>
      <c r="H31" s="81">
        <f>'[9]SWD_Option A'!Z29</f>
        <v>450</v>
      </c>
      <c r="I31" s="81">
        <f t="shared" si="14"/>
        <v>675</v>
      </c>
      <c r="J31" s="81">
        <f>'[9]GiftedTalented-Option a'!AA29</f>
        <v>111</v>
      </c>
      <c r="K31" s="13">
        <f t="shared" si="15"/>
        <v>67</v>
      </c>
      <c r="L31" s="13">
        <f t="shared" si="5"/>
        <v>3029</v>
      </c>
      <c r="M31" s="65">
        <f t="shared" si="6"/>
        <v>8.0769999999999995E-2</v>
      </c>
      <c r="N31" s="13">
        <f t="shared" si="7"/>
        <v>361</v>
      </c>
      <c r="O31" s="13">
        <f t="shared" si="16"/>
        <v>1980</v>
      </c>
      <c r="P31" s="13">
        <f t="shared" si="8"/>
        <v>6451</v>
      </c>
      <c r="Q31" s="384">
        <f t="shared" si="17"/>
        <v>3855</v>
      </c>
      <c r="R31" s="384">
        <f t="shared" si="9"/>
        <v>24868605</v>
      </c>
      <c r="S31" s="384">
        <f>'Table 6 (Local Deduct Calc.)'!J32</f>
        <v>15409005</v>
      </c>
      <c r="T31" s="384">
        <f t="shared" si="18"/>
        <v>15409005</v>
      </c>
      <c r="U31" s="385">
        <f t="shared" si="19"/>
        <v>9459600</v>
      </c>
      <c r="V31" s="386">
        <f t="shared" si="53"/>
        <v>0.38040000000000002</v>
      </c>
      <c r="W31" s="386">
        <f t="shared" si="20"/>
        <v>0.61960000000000004</v>
      </c>
      <c r="X31" s="387">
        <f t="shared" si="21"/>
        <v>3446.4336837396554</v>
      </c>
      <c r="Y31" s="384">
        <f>'Table 7 Local Revenue'!AQ31</f>
        <v>42329712</v>
      </c>
      <c r="Z31" s="384">
        <f t="shared" si="22"/>
        <v>26920707</v>
      </c>
      <c r="AA31" s="276">
        <f t="shared" si="23"/>
        <v>0</v>
      </c>
      <c r="AB31" s="14">
        <f t="shared" si="24"/>
        <v>8455325.7000000011</v>
      </c>
      <c r="AC31" s="14">
        <f t="shared" si="25"/>
        <v>8455325.7000000011</v>
      </c>
      <c r="AD31" s="384">
        <f t="shared" si="26"/>
        <v>9010942.062398402</v>
      </c>
      <c r="AE31" s="388">
        <f t="shared" si="27"/>
        <v>0</v>
      </c>
      <c r="AF31" s="16">
        <f t="shared" si="28"/>
        <v>0</v>
      </c>
      <c r="AG31" s="388">
        <f t="shared" si="29"/>
        <v>9459600</v>
      </c>
      <c r="AH31" s="14">
        <f t="shared" si="30"/>
        <v>2116</v>
      </c>
      <c r="AI31" s="388">
        <f>'Table 4 Level 3'!O29</f>
        <v>2408716</v>
      </c>
      <c r="AJ31" s="14">
        <f t="shared" si="10"/>
        <v>538.74211585774992</v>
      </c>
      <c r="AK31" s="388">
        <f t="shared" si="31"/>
        <v>11868316</v>
      </c>
      <c r="AL31" s="14">
        <f t="shared" si="32"/>
        <v>2654.5104003578617</v>
      </c>
      <c r="AM31" s="517">
        <f>'Table 4 Level 3'!R29</f>
        <v>6227213.5</v>
      </c>
      <c r="AN31" s="518">
        <f t="shared" si="33"/>
        <v>1392.8010512189667</v>
      </c>
      <c r="AO31" s="388">
        <f t="shared" si="34"/>
        <v>15686813.5</v>
      </c>
      <c r="AP31" s="14">
        <f t="shared" si="35"/>
        <v>3508.5693357190785</v>
      </c>
      <c r="AQ31" s="16">
        <f t="shared" si="36"/>
        <v>0.39662097816123354</v>
      </c>
      <c r="AR31" s="389">
        <f t="shared" si="37"/>
        <v>63</v>
      </c>
      <c r="AS31" s="14">
        <f t="shared" si="38"/>
        <v>23864330.699999999</v>
      </c>
      <c r="AT31" s="14">
        <f t="shared" si="11"/>
        <v>5337.58</v>
      </c>
      <c r="AU31" s="389">
        <f t="shared" si="39"/>
        <v>6</v>
      </c>
      <c r="AV31" s="16">
        <f t="shared" si="40"/>
        <v>0.60337902183876635</v>
      </c>
      <c r="AW31" s="389">
        <f t="shared" si="41"/>
        <v>39551144.200000003</v>
      </c>
      <c r="AX31" s="390">
        <f t="shared" si="12"/>
        <v>8846.1516886602549</v>
      </c>
      <c r="AY31" s="389">
        <f t="shared" si="42"/>
        <v>28</v>
      </c>
      <c r="AZ31" s="14">
        <v>14630943</v>
      </c>
      <c r="BA31" s="276">
        <f t="shared" si="13"/>
        <v>1055870.5</v>
      </c>
      <c r="BB31" s="276">
        <f t="shared" si="43"/>
        <v>9459600</v>
      </c>
      <c r="BC31" s="276">
        <v>8423489</v>
      </c>
      <c r="BD31" s="276">
        <f t="shared" si="44"/>
        <v>1036111</v>
      </c>
      <c r="BE31" s="276">
        <f t="shared" si="45"/>
        <v>0</v>
      </c>
      <c r="BF31" s="276">
        <v>0</v>
      </c>
      <c r="BG31" s="276">
        <f t="shared" si="46"/>
        <v>0</v>
      </c>
      <c r="BH31" s="276">
        <f t="shared" si="47"/>
        <v>42329712</v>
      </c>
      <c r="BI31" s="276">
        <v>43254243</v>
      </c>
      <c r="BJ31" s="276">
        <f t="shared" si="48"/>
        <v>-924531</v>
      </c>
      <c r="BK31" s="81">
        <f t="shared" si="49"/>
        <v>4471</v>
      </c>
      <c r="BL31" s="81">
        <v>4369</v>
      </c>
      <c r="BM31" s="954">
        <f t="shared" si="50"/>
        <v>102</v>
      </c>
      <c r="BN31" s="81">
        <f t="shared" si="51"/>
        <v>6451</v>
      </c>
      <c r="BO31" s="81">
        <v>6392</v>
      </c>
      <c r="BP31" s="954">
        <f t="shared" si="52"/>
        <v>59</v>
      </c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</row>
    <row r="32" spans="1:148" s="21" customFormat="1">
      <c r="A32" s="104">
        <v>25</v>
      </c>
      <c r="B32" s="82" t="s">
        <v>126</v>
      </c>
      <c r="C32" s="82">
        <f>'Table 8 2.1.12 MFP Funded'!AD28</f>
        <v>2226</v>
      </c>
      <c r="D32" s="82">
        <f>'[7]Table 3 for Option A'!AD28</f>
        <v>1398</v>
      </c>
      <c r="E32" s="82">
        <f t="shared" si="3"/>
        <v>308</v>
      </c>
      <c r="F32" s="82">
        <f>'[8]Table 3 Option A'!T36</f>
        <v>1195</v>
      </c>
      <c r="G32" s="82">
        <f t="shared" si="4"/>
        <v>72</v>
      </c>
      <c r="H32" s="82">
        <f>'[9]SWD_Option A'!Z30</f>
        <v>201</v>
      </c>
      <c r="I32" s="82">
        <f t="shared" si="14"/>
        <v>302</v>
      </c>
      <c r="J32" s="82">
        <f>'[9]GiftedTalented-Option a'!AA30</f>
        <v>77</v>
      </c>
      <c r="K32" s="19">
        <f t="shared" si="15"/>
        <v>46</v>
      </c>
      <c r="L32" s="19">
        <f t="shared" si="5"/>
        <v>5274</v>
      </c>
      <c r="M32" s="66">
        <f t="shared" si="6"/>
        <v>0.14063999999999999</v>
      </c>
      <c r="N32" s="19">
        <f t="shared" si="7"/>
        <v>313</v>
      </c>
      <c r="O32" s="19">
        <f t="shared" si="16"/>
        <v>1041</v>
      </c>
      <c r="P32" s="13">
        <f t="shared" si="8"/>
        <v>3267</v>
      </c>
      <c r="Q32" s="391">
        <f t="shared" si="17"/>
        <v>3855</v>
      </c>
      <c r="R32" s="391">
        <f t="shared" si="9"/>
        <v>12594285</v>
      </c>
      <c r="S32" s="391">
        <f>'Table 6 (Local Deduct Calc.)'!J33</f>
        <v>5404192.5</v>
      </c>
      <c r="T32" s="391">
        <f t="shared" si="18"/>
        <v>5404192.5</v>
      </c>
      <c r="U32" s="392">
        <f t="shared" si="19"/>
        <v>7190092.5</v>
      </c>
      <c r="V32" s="393">
        <f t="shared" si="53"/>
        <v>0.57089999999999996</v>
      </c>
      <c r="W32" s="394">
        <f t="shared" si="20"/>
        <v>0.42909999999999998</v>
      </c>
      <c r="X32" s="395">
        <f t="shared" si="21"/>
        <v>2427.7594339622642</v>
      </c>
      <c r="Y32" s="391">
        <f>'Table 7 Local Revenue'!AQ32</f>
        <v>11514408.5</v>
      </c>
      <c r="Z32" s="391">
        <f t="shared" si="22"/>
        <v>6110216</v>
      </c>
      <c r="AA32" s="277">
        <f t="shared" si="23"/>
        <v>0</v>
      </c>
      <c r="AB32" s="20">
        <f t="shared" si="24"/>
        <v>4282056.9000000004</v>
      </c>
      <c r="AC32" s="20">
        <f t="shared" si="25"/>
        <v>4282056.9000000004</v>
      </c>
      <c r="AD32" s="391">
        <f t="shared" si="26"/>
        <v>3160380.6591587998</v>
      </c>
      <c r="AE32" s="396">
        <f t="shared" si="27"/>
        <v>1121676.2408412006</v>
      </c>
      <c r="AF32" s="270">
        <f t="shared" si="28"/>
        <v>0.26190000000000002</v>
      </c>
      <c r="AG32" s="396">
        <f t="shared" si="29"/>
        <v>8311768.7408412006</v>
      </c>
      <c r="AH32" s="20">
        <f t="shared" si="30"/>
        <v>3734</v>
      </c>
      <c r="AI32" s="396">
        <f>'Table 4 Level 3'!O30</f>
        <v>317678</v>
      </c>
      <c r="AJ32" s="20">
        <f t="shared" si="10"/>
        <v>142.71248876909254</v>
      </c>
      <c r="AK32" s="396">
        <f t="shared" si="31"/>
        <v>8629446.7408412006</v>
      </c>
      <c r="AL32" s="20">
        <f t="shared" si="32"/>
        <v>3876.6607101712493</v>
      </c>
      <c r="AM32" s="519">
        <f>'Table 4 Level 3'!R30</f>
        <v>1772750.2339999999</v>
      </c>
      <c r="AN32" s="520">
        <f t="shared" si="33"/>
        <v>796.38375292003593</v>
      </c>
      <c r="AO32" s="396">
        <f t="shared" si="34"/>
        <v>10084518.9748412</v>
      </c>
      <c r="AP32" s="20">
        <f t="shared" si="35"/>
        <v>4530.3319743221919</v>
      </c>
      <c r="AQ32" s="270">
        <f t="shared" si="36"/>
        <v>0.51007218250930519</v>
      </c>
      <c r="AR32" s="397">
        <f t="shared" si="37"/>
        <v>55</v>
      </c>
      <c r="AS32" s="20">
        <f t="shared" si="38"/>
        <v>9686249.4000000004</v>
      </c>
      <c r="AT32" s="20">
        <f t="shared" si="11"/>
        <v>4351.41</v>
      </c>
      <c r="AU32" s="397">
        <f t="shared" si="39"/>
        <v>13</v>
      </c>
      <c r="AV32" s="270">
        <f t="shared" si="40"/>
        <v>0.48992781749069486</v>
      </c>
      <c r="AW32" s="397">
        <f t="shared" si="41"/>
        <v>19770768.374841198</v>
      </c>
      <c r="AX32" s="398">
        <f t="shared" si="12"/>
        <v>8881.7467991200356</v>
      </c>
      <c r="AY32" s="397">
        <f t="shared" si="42"/>
        <v>27</v>
      </c>
      <c r="AZ32" s="20">
        <v>9467402.9879759997</v>
      </c>
      <c r="BA32" s="277">
        <f t="shared" si="13"/>
        <v>617115.9868652001</v>
      </c>
      <c r="BB32" s="277">
        <f t="shared" si="43"/>
        <v>7190092.5</v>
      </c>
      <c r="BC32" s="277">
        <v>6798663.5</v>
      </c>
      <c r="BD32" s="277">
        <f t="shared" si="44"/>
        <v>391429</v>
      </c>
      <c r="BE32" s="277">
        <f t="shared" si="45"/>
        <v>1121676.2408412006</v>
      </c>
      <c r="BF32" s="277">
        <v>937126.48797600018</v>
      </c>
      <c r="BG32" s="277">
        <f t="shared" si="46"/>
        <v>184549.7528652004</v>
      </c>
      <c r="BH32" s="277">
        <f t="shared" si="47"/>
        <v>11514408.5</v>
      </c>
      <c r="BI32" s="277">
        <v>14414700.5</v>
      </c>
      <c r="BJ32" s="277">
        <f t="shared" si="48"/>
        <v>-2900292</v>
      </c>
      <c r="BK32" s="82">
        <f t="shared" si="49"/>
        <v>2226</v>
      </c>
      <c r="BL32" s="82">
        <v>2191</v>
      </c>
      <c r="BM32" s="955">
        <f t="shared" si="50"/>
        <v>35</v>
      </c>
      <c r="BN32" s="82">
        <f t="shared" si="51"/>
        <v>3267</v>
      </c>
      <c r="BO32" s="82">
        <v>3220</v>
      </c>
      <c r="BP32" s="955">
        <f t="shared" si="52"/>
        <v>47</v>
      </c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</row>
    <row r="33" spans="1:148" s="5" customFormat="1">
      <c r="A33" s="103">
        <v>26</v>
      </c>
      <c r="B33" s="81" t="s">
        <v>127</v>
      </c>
      <c r="C33" s="81">
        <f>'Table 8 2.1.12 MFP Funded'!AD29</f>
        <v>43806</v>
      </c>
      <c r="D33" s="81">
        <f>'[7]Table 3 for Option A'!AD29</f>
        <v>34561</v>
      </c>
      <c r="E33" s="81">
        <f t="shared" si="3"/>
        <v>7603</v>
      </c>
      <c r="F33" s="81">
        <f>'[8]Table 3 Option A'!T37</f>
        <v>12291.5</v>
      </c>
      <c r="G33" s="81">
        <f t="shared" si="4"/>
        <v>737</v>
      </c>
      <c r="H33" s="81">
        <f>'[9]SWD_Option A'!Z31</f>
        <v>5508</v>
      </c>
      <c r="I33" s="81">
        <f t="shared" si="14"/>
        <v>8262</v>
      </c>
      <c r="J33" s="81">
        <f>'[9]GiftedTalented-Option a'!AA31</f>
        <v>3326</v>
      </c>
      <c r="K33" s="13">
        <f t="shared" si="15"/>
        <v>1996</v>
      </c>
      <c r="L33" s="13">
        <f t="shared" si="5"/>
        <v>0</v>
      </c>
      <c r="M33" s="65">
        <f t="shared" si="6"/>
        <v>0</v>
      </c>
      <c r="N33" s="13">
        <f t="shared" si="7"/>
        <v>0</v>
      </c>
      <c r="O33" s="13">
        <f t="shared" si="16"/>
        <v>18598</v>
      </c>
      <c r="P33" s="36">
        <f t="shared" si="8"/>
        <v>62404</v>
      </c>
      <c r="Q33" s="384">
        <f t="shared" si="17"/>
        <v>3855</v>
      </c>
      <c r="R33" s="384">
        <f t="shared" si="9"/>
        <v>240567420</v>
      </c>
      <c r="S33" s="384">
        <f>'Table 6 (Local Deduct Calc.)'!J34</f>
        <v>131452158</v>
      </c>
      <c r="T33" s="384">
        <f t="shared" si="18"/>
        <v>131452158</v>
      </c>
      <c r="U33" s="385">
        <f t="shared" si="19"/>
        <v>109115262</v>
      </c>
      <c r="V33" s="386">
        <f t="shared" si="53"/>
        <v>0.4536</v>
      </c>
      <c r="W33" s="386">
        <f t="shared" si="20"/>
        <v>0.5464</v>
      </c>
      <c r="X33" s="387">
        <f t="shared" si="21"/>
        <v>3000.7797561977814</v>
      </c>
      <c r="Y33" s="384">
        <f>'Table 7 Local Revenue'!AQ33</f>
        <v>249052190</v>
      </c>
      <c r="Z33" s="384">
        <f t="shared" si="22"/>
        <v>117600032</v>
      </c>
      <c r="AA33" s="276">
        <f t="shared" si="23"/>
        <v>0</v>
      </c>
      <c r="AB33" s="14">
        <f t="shared" si="24"/>
        <v>81792922.800000012</v>
      </c>
      <c r="AC33" s="14">
        <f t="shared" si="25"/>
        <v>81792922.800000012</v>
      </c>
      <c r="AD33" s="384">
        <f t="shared" si="26"/>
        <v>76869643.190822408</v>
      </c>
      <c r="AE33" s="388">
        <f t="shared" si="27"/>
        <v>4923279.6091776043</v>
      </c>
      <c r="AF33" s="16">
        <f t="shared" si="28"/>
        <v>6.0199999999999997E-2</v>
      </c>
      <c r="AG33" s="388">
        <f t="shared" si="29"/>
        <v>114038541.6091776</v>
      </c>
      <c r="AH33" s="14">
        <f t="shared" si="30"/>
        <v>2603</v>
      </c>
      <c r="AI33" s="388">
        <f>'Table 4 Level 3'!O31</f>
        <v>23114045</v>
      </c>
      <c r="AJ33" s="14">
        <f t="shared" si="10"/>
        <v>527.64564214947723</v>
      </c>
      <c r="AK33" s="388">
        <f t="shared" si="31"/>
        <v>137152586.60917759</v>
      </c>
      <c r="AL33" s="14">
        <f t="shared" si="32"/>
        <v>3130.9087022137969</v>
      </c>
      <c r="AM33" s="517">
        <f>'Table 4 Level 3'!R31</f>
        <v>59760420.677000016</v>
      </c>
      <c r="AN33" s="518">
        <f t="shared" si="33"/>
        <v>1364.2062885677765</v>
      </c>
      <c r="AO33" s="388">
        <f t="shared" si="34"/>
        <v>173798962.28617764</v>
      </c>
      <c r="AP33" s="14">
        <f t="shared" si="35"/>
        <v>3967.4693486320971</v>
      </c>
      <c r="AQ33" s="16">
        <f t="shared" si="36"/>
        <v>0.44904182195998887</v>
      </c>
      <c r="AR33" s="389">
        <f t="shared" si="37"/>
        <v>61</v>
      </c>
      <c r="AS33" s="14">
        <f t="shared" si="38"/>
        <v>213245080.80000001</v>
      </c>
      <c r="AT33" s="14">
        <f t="shared" si="11"/>
        <v>4867.9399999999996</v>
      </c>
      <c r="AU33" s="389">
        <f t="shared" si="39"/>
        <v>10</v>
      </c>
      <c r="AV33" s="16">
        <f t="shared" si="40"/>
        <v>0.55095817804001113</v>
      </c>
      <c r="AW33" s="389">
        <f t="shared" si="41"/>
        <v>387044043.08617765</v>
      </c>
      <c r="AX33" s="390">
        <f t="shared" si="12"/>
        <v>8835.4116579047986</v>
      </c>
      <c r="AY33" s="389">
        <f t="shared" si="42"/>
        <v>31</v>
      </c>
      <c r="AZ33" s="14">
        <v>171608136.65816557</v>
      </c>
      <c r="BA33" s="276">
        <f t="shared" si="13"/>
        <v>2190825.6280120611</v>
      </c>
      <c r="BB33" s="276">
        <f t="shared" si="43"/>
        <v>109115262</v>
      </c>
      <c r="BC33" s="276">
        <v>107064228</v>
      </c>
      <c r="BD33" s="276">
        <f t="shared" si="44"/>
        <v>2051034</v>
      </c>
      <c r="BE33" s="276">
        <f t="shared" si="45"/>
        <v>4923279.6091776043</v>
      </c>
      <c r="BF33" s="276">
        <v>4600376.658165589</v>
      </c>
      <c r="BG33" s="276">
        <f t="shared" si="46"/>
        <v>322902.95101201534</v>
      </c>
      <c r="BH33" s="276">
        <f t="shared" si="47"/>
        <v>249052190</v>
      </c>
      <c r="BI33" s="276">
        <v>236391839</v>
      </c>
      <c r="BJ33" s="276">
        <f t="shared" si="48"/>
        <v>12660351</v>
      </c>
      <c r="BK33" s="81">
        <f t="shared" si="49"/>
        <v>43806</v>
      </c>
      <c r="BL33" s="81">
        <v>43040</v>
      </c>
      <c r="BM33" s="954">
        <f t="shared" si="50"/>
        <v>766</v>
      </c>
      <c r="BN33" s="81">
        <f t="shared" si="51"/>
        <v>62404</v>
      </c>
      <c r="BO33" s="81">
        <v>61473</v>
      </c>
      <c r="BP33" s="954">
        <f t="shared" si="52"/>
        <v>931</v>
      </c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</row>
    <row r="34" spans="1:148" s="5" customFormat="1">
      <c r="A34" s="103">
        <v>27</v>
      </c>
      <c r="B34" s="81" t="s">
        <v>128</v>
      </c>
      <c r="C34" s="81">
        <f>'Table 8 2.1.12 MFP Funded'!AD30</f>
        <v>5612</v>
      </c>
      <c r="D34" s="81">
        <f>'[7]Table 3 for Option A'!AD30</f>
        <v>3307</v>
      </c>
      <c r="E34" s="81">
        <f t="shared" si="3"/>
        <v>728</v>
      </c>
      <c r="F34" s="81">
        <f>'[8]Table 3 Option A'!T38</f>
        <v>1877.5</v>
      </c>
      <c r="G34" s="81">
        <f t="shared" si="4"/>
        <v>113</v>
      </c>
      <c r="H34" s="81">
        <f>'[9]SWD_Option A'!Z32</f>
        <v>838</v>
      </c>
      <c r="I34" s="81">
        <f t="shared" si="14"/>
        <v>1257</v>
      </c>
      <c r="J34" s="81">
        <f>'[9]GiftedTalented-Option a'!AA32</f>
        <v>147</v>
      </c>
      <c r="K34" s="13">
        <f t="shared" si="15"/>
        <v>88</v>
      </c>
      <c r="L34" s="13">
        <f t="shared" si="5"/>
        <v>1888</v>
      </c>
      <c r="M34" s="65">
        <f t="shared" si="6"/>
        <v>5.0349999999999999E-2</v>
      </c>
      <c r="N34" s="13">
        <f t="shared" si="7"/>
        <v>283</v>
      </c>
      <c r="O34" s="13">
        <f t="shared" si="16"/>
        <v>2469</v>
      </c>
      <c r="P34" s="13">
        <f t="shared" si="8"/>
        <v>8081</v>
      </c>
      <c r="Q34" s="384">
        <f t="shared" si="17"/>
        <v>3855</v>
      </c>
      <c r="R34" s="384">
        <f t="shared" si="9"/>
        <v>31152255</v>
      </c>
      <c r="S34" s="384">
        <f>'Table 6 (Local Deduct Calc.)'!J35</f>
        <v>6699677</v>
      </c>
      <c r="T34" s="384">
        <f t="shared" si="18"/>
        <v>6699677</v>
      </c>
      <c r="U34" s="385">
        <f t="shared" si="19"/>
        <v>24452578</v>
      </c>
      <c r="V34" s="386">
        <f t="shared" si="53"/>
        <v>0.78490000000000004</v>
      </c>
      <c r="W34" s="386">
        <f t="shared" si="20"/>
        <v>0.21510000000000001</v>
      </c>
      <c r="X34" s="387">
        <f t="shared" si="21"/>
        <v>1193.8127227369921</v>
      </c>
      <c r="Y34" s="384">
        <f>'Table 7 Local Revenue'!AQ34</f>
        <v>17151807</v>
      </c>
      <c r="Z34" s="384">
        <f t="shared" si="22"/>
        <v>10452130</v>
      </c>
      <c r="AA34" s="276">
        <f t="shared" si="23"/>
        <v>0</v>
      </c>
      <c r="AB34" s="14">
        <f t="shared" si="24"/>
        <v>10591766.700000001</v>
      </c>
      <c r="AC34" s="14">
        <f t="shared" si="25"/>
        <v>10452130</v>
      </c>
      <c r="AD34" s="384">
        <f t="shared" si="26"/>
        <v>3866995.4403600004</v>
      </c>
      <c r="AE34" s="388">
        <f t="shared" si="27"/>
        <v>6585134.5596399996</v>
      </c>
      <c r="AF34" s="16">
        <f t="shared" si="28"/>
        <v>0.63</v>
      </c>
      <c r="AG34" s="388">
        <f t="shared" si="29"/>
        <v>31037712.559639998</v>
      </c>
      <c r="AH34" s="14">
        <f t="shared" si="30"/>
        <v>5531</v>
      </c>
      <c r="AI34" s="388">
        <f>'Table 4 Level 3'!O32</f>
        <v>800902</v>
      </c>
      <c r="AJ34" s="14">
        <f t="shared" si="10"/>
        <v>142.71240199572344</v>
      </c>
      <c r="AK34" s="388">
        <f t="shared" si="31"/>
        <v>31838614.559639998</v>
      </c>
      <c r="AL34" s="14">
        <f t="shared" si="32"/>
        <v>5673.3097932359224</v>
      </c>
      <c r="AM34" s="517">
        <f>'Table 4 Level 3'!R32</f>
        <v>4689592.3540000003</v>
      </c>
      <c r="AN34" s="518">
        <f t="shared" si="33"/>
        <v>835.63655630791163</v>
      </c>
      <c r="AO34" s="388">
        <f t="shared" si="34"/>
        <v>35727304.91364</v>
      </c>
      <c r="AP34" s="14">
        <f t="shared" si="35"/>
        <v>6366.2339475481112</v>
      </c>
      <c r="AQ34" s="16">
        <f t="shared" si="36"/>
        <v>0.67564116757460624</v>
      </c>
      <c r="AR34" s="389">
        <f t="shared" si="37"/>
        <v>28</v>
      </c>
      <c r="AS34" s="14">
        <f t="shared" si="38"/>
        <v>17151807</v>
      </c>
      <c r="AT34" s="14">
        <f t="shared" si="11"/>
        <v>3056.27</v>
      </c>
      <c r="AU34" s="389">
        <f t="shared" si="39"/>
        <v>39</v>
      </c>
      <c r="AV34" s="16">
        <f t="shared" si="40"/>
        <v>0.32435883242539376</v>
      </c>
      <c r="AW34" s="389">
        <f t="shared" si="41"/>
        <v>52879111.91364</v>
      </c>
      <c r="AX34" s="390">
        <f t="shared" si="12"/>
        <v>9422.5074685744839</v>
      </c>
      <c r="AY34" s="389">
        <f t="shared" si="42"/>
        <v>10</v>
      </c>
      <c r="AZ34" s="14">
        <v>35878738.515599996</v>
      </c>
      <c r="BA34" s="276">
        <f t="shared" si="13"/>
        <v>-151433.60195999593</v>
      </c>
      <c r="BB34" s="276">
        <f t="shared" si="43"/>
        <v>24452578</v>
      </c>
      <c r="BC34" s="276">
        <v>24813855</v>
      </c>
      <c r="BD34" s="276">
        <f t="shared" si="44"/>
        <v>-361277</v>
      </c>
      <c r="BE34" s="276">
        <f t="shared" si="45"/>
        <v>6585134.5596399996</v>
      </c>
      <c r="BF34" s="276">
        <v>6419614.5156000005</v>
      </c>
      <c r="BG34" s="276">
        <f t="shared" si="46"/>
        <v>165520.04403999913</v>
      </c>
      <c r="BH34" s="276">
        <f t="shared" si="47"/>
        <v>17151807</v>
      </c>
      <c r="BI34" s="276">
        <v>16316074</v>
      </c>
      <c r="BJ34" s="276">
        <f t="shared" si="48"/>
        <v>835733</v>
      </c>
      <c r="BK34" s="81">
        <f t="shared" si="49"/>
        <v>5612</v>
      </c>
      <c r="BL34" s="81">
        <v>5599</v>
      </c>
      <c r="BM34" s="954">
        <f t="shared" si="50"/>
        <v>13</v>
      </c>
      <c r="BN34" s="81">
        <f t="shared" si="51"/>
        <v>8081</v>
      </c>
      <c r="BO34" s="81">
        <v>8097</v>
      </c>
      <c r="BP34" s="954">
        <f t="shared" si="52"/>
        <v>-16</v>
      </c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</row>
    <row r="35" spans="1:148" s="5" customFormat="1">
      <c r="A35" s="103">
        <v>28</v>
      </c>
      <c r="B35" s="81" t="s">
        <v>129</v>
      </c>
      <c r="C35" s="81">
        <f>'Table 8 2.1.12 MFP Funded'!AD31</f>
        <v>29640</v>
      </c>
      <c r="D35" s="81">
        <f>'[7]Table 3 for Option A'!AD31</f>
        <v>18097</v>
      </c>
      <c r="E35" s="81">
        <f t="shared" si="3"/>
        <v>3981</v>
      </c>
      <c r="F35" s="81">
        <f>'[8]Table 3 Option A'!T39</f>
        <v>7350.5</v>
      </c>
      <c r="G35" s="81">
        <f t="shared" si="4"/>
        <v>441</v>
      </c>
      <c r="H35" s="81">
        <f>'[9]SWD_Option A'!Z33</f>
        <v>2884</v>
      </c>
      <c r="I35" s="81">
        <f t="shared" si="14"/>
        <v>4326</v>
      </c>
      <c r="J35" s="81">
        <f>'[9]GiftedTalented-Option a'!AA33</f>
        <v>1309</v>
      </c>
      <c r="K35" s="13">
        <f t="shared" si="15"/>
        <v>785</v>
      </c>
      <c r="L35" s="13">
        <f t="shared" si="5"/>
        <v>0</v>
      </c>
      <c r="M35" s="65">
        <f t="shared" si="6"/>
        <v>0</v>
      </c>
      <c r="N35" s="13">
        <f t="shared" si="7"/>
        <v>0</v>
      </c>
      <c r="O35" s="13">
        <f t="shared" si="16"/>
        <v>9533</v>
      </c>
      <c r="P35" s="13">
        <f t="shared" si="8"/>
        <v>39173</v>
      </c>
      <c r="Q35" s="384">
        <f t="shared" si="17"/>
        <v>3855</v>
      </c>
      <c r="R35" s="384">
        <f t="shared" si="9"/>
        <v>151011915</v>
      </c>
      <c r="S35" s="384">
        <f>'Table 6 (Local Deduct Calc.)'!J36</f>
        <v>71789288.5</v>
      </c>
      <c r="T35" s="384">
        <f t="shared" si="18"/>
        <v>71789288.5</v>
      </c>
      <c r="U35" s="385">
        <f t="shared" si="19"/>
        <v>79222626.5</v>
      </c>
      <c r="V35" s="386">
        <f t="shared" si="53"/>
        <v>0.52459999999999996</v>
      </c>
      <c r="W35" s="386">
        <f t="shared" si="20"/>
        <v>0.47539999999999999</v>
      </c>
      <c r="X35" s="387">
        <f t="shared" si="21"/>
        <v>2422.0407726045883</v>
      </c>
      <c r="Y35" s="384">
        <f>'Table 7 Local Revenue'!AQ35</f>
        <v>152643073.5</v>
      </c>
      <c r="Z35" s="384">
        <f t="shared" si="22"/>
        <v>80853785</v>
      </c>
      <c r="AA35" s="276">
        <f t="shared" si="23"/>
        <v>0</v>
      </c>
      <c r="AB35" s="14">
        <f t="shared" si="24"/>
        <v>51344051.100000001</v>
      </c>
      <c r="AC35" s="14">
        <f t="shared" si="25"/>
        <v>51344051.100000001</v>
      </c>
      <c r="AD35" s="384">
        <f t="shared" si="26"/>
        <v>41983414.4558568</v>
      </c>
      <c r="AE35" s="388">
        <f t="shared" si="27"/>
        <v>9360636.6441432014</v>
      </c>
      <c r="AF35" s="16">
        <f t="shared" si="28"/>
        <v>0.18229999999999999</v>
      </c>
      <c r="AG35" s="388">
        <f t="shared" si="29"/>
        <v>88583263.144143194</v>
      </c>
      <c r="AH35" s="14">
        <f t="shared" si="30"/>
        <v>2989</v>
      </c>
      <c r="AI35" s="388">
        <f>'Table 4 Level 3'!O33</f>
        <v>7026371</v>
      </c>
      <c r="AJ35" s="14">
        <f t="shared" si="10"/>
        <v>237.05705128205128</v>
      </c>
      <c r="AK35" s="388">
        <f t="shared" si="31"/>
        <v>95609634.144143194</v>
      </c>
      <c r="AL35" s="14">
        <f t="shared" si="32"/>
        <v>3225.6961587092846</v>
      </c>
      <c r="AM35" s="517">
        <f>'Table 4 Level 3'!R33</f>
        <v>27603109.559999995</v>
      </c>
      <c r="AN35" s="518">
        <f t="shared" si="33"/>
        <v>931.27899999999988</v>
      </c>
      <c r="AO35" s="388">
        <f t="shared" si="34"/>
        <v>116186372.7041432</v>
      </c>
      <c r="AP35" s="14">
        <f t="shared" si="35"/>
        <v>3919.9181074272333</v>
      </c>
      <c r="AQ35" s="16">
        <f t="shared" si="36"/>
        <v>0.4854860119357236</v>
      </c>
      <c r="AR35" s="389">
        <f t="shared" si="37"/>
        <v>58</v>
      </c>
      <c r="AS35" s="14">
        <f t="shared" si="38"/>
        <v>123133339.59999999</v>
      </c>
      <c r="AT35" s="14">
        <f t="shared" si="11"/>
        <v>4154.3</v>
      </c>
      <c r="AU35" s="389">
        <f t="shared" si="39"/>
        <v>15</v>
      </c>
      <c r="AV35" s="16">
        <f t="shared" si="40"/>
        <v>0.5145139880642764</v>
      </c>
      <c r="AW35" s="389">
        <f t="shared" si="41"/>
        <v>239319712.30414319</v>
      </c>
      <c r="AX35" s="390">
        <f t="shared" si="12"/>
        <v>8074.2143152544932</v>
      </c>
      <c r="AY35" s="389">
        <f t="shared" si="42"/>
        <v>60</v>
      </c>
      <c r="AZ35" s="14">
        <v>119866171.9033408</v>
      </c>
      <c r="BA35" s="276">
        <f t="shared" si="13"/>
        <v>-3679799.1991976053</v>
      </c>
      <c r="BB35" s="276">
        <f t="shared" si="43"/>
        <v>79222626.5</v>
      </c>
      <c r="BC35" s="276">
        <v>81629233</v>
      </c>
      <c r="BD35" s="276">
        <f t="shared" si="44"/>
        <v>-2406606.5</v>
      </c>
      <c r="BE35" s="276">
        <f t="shared" si="45"/>
        <v>9360636.6441432014</v>
      </c>
      <c r="BF35" s="276">
        <v>10716909.903340802</v>
      </c>
      <c r="BG35" s="276">
        <f t="shared" si="46"/>
        <v>-1356273.2591976002</v>
      </c>
      <c r="BH35" s="276">
        <f t="shared" si="47"/>
        <v>152643073.5</v>
      </c>
      <c r="BI35" s="276">
        <v>143884045</v>
      </c>
      <c r="BJ35" s="276">
        <f t="shared" si="48"/>
        <v>8759028.5</v>
      </c>
      <c r="BK35" s="81">
        <f t="shared" si="49"/>
        <v>29640</v>
      </c>
      <c r="BL35" s="81">
        <v>29511</v>
      </c>
      <c r="BM35" s="954">
        <f t="shared" si="50"/>
        <v>129</v>
      </c>
      <c r="BN35" s="81">
        <f t="shared" si="51"/>
        <v>39173</v>
      </c>
      <c r="BO35" s="81">
        <v>39224</v>
      </c>
      <c r="BP35" s="954">
        <f t="shared" si="52"/>
        <v>-51</v>
      </c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</row>
    <row r="36" spans="1:148" s="5" customFormat="1">
      <c r="A36" s="103">
        <v>29</v>
      </c>
      <c r="B36" s="81" t="s">
        <v>130</v>
      </c>
      <c r="C36" s="81">
        <f>'Table 8 2.1.12 MFP Funded'!AD32</f>
        <v>13531</v>
      </c>
      <c r="D36" s="81">
        <f>'[7]Table 3 for Option A'!AD32</f>
        <v>8258</v>
      </c>
      <c r="E36" s="81">
        <f t="shared" si="3"/>
        <v>1817</v>
      </c>
      <c r="F36" s="81">
        <f>'[8]Table 3 Option A'!T40</f>
        <v>6266.5</v>
      </c>
      <c r="G36" s="81">
        <f t="shared" si="4"/>
        <v>376</v>
      </c>
      <c r="H36" s="81">
        <f>'[9]SWD_Option A'!Z34</f>
        <v>1221</v>
      </c>
      <c r="I36" s="81">
        <f t="shared" si="14"/>
        <v>1832</v>
      </c>
      <c r="J36" s="81">
        <f>'[9]GiftedTalented-Option a'!AA34</f>
        <v>215</v>
      </c>
      <c r="K36" s="13">
        <f t="shared" si="15"/>
        <v>129</v>
      </c>
      <c r="L36" s="13">
        <f t="shared" si="5"/>
        <v>0</v>
      </c>
      <c r="M36" s="65">
        <f t="shared" si="6"/>
        <v>0</v>
      </c>
      <c r="N36" s="13">
        <f t="shared" si="7"/>
        <v>0</v>
      </c>
      <c r="O36" s="13">
        <f t="shared" si="16"/>
        <v>4154</v>
      </c>
      <c r="P36" s="13">
        <f t="shared" si="8"/>
        <v>17685</v>
      </c>
      <c r="Q36" s="384">
        <f t="shared" si="17"/>
        <v>3855</v>
      </c>
      <c r="R36" s="384">
        <f t="shared" si="9"/>
        <v>68175675</v>
      </c>
      <c r="S36" s="384">
        <f>'Table 6 (Local Deduct Calc.)'!J37</f>
        <v>25429528.5</v>
      </c>
      <c r="T36" s="384">
        <f t="shared" si="18"/>
        <v>25429528.5</v>
      </c>
      <c r="U36" s="385">
        <f t="shared" si="19"/>
        <v>42746146.5</v>
      </c>
      <c r="V36" s="386">
        <f t="shared" si="53"/>
        <v>0.627</v>
      </c>
      <c r="W36" s="386">
        <f t="shared" si="20"/>
        <v>0.373</v>
      </c>
      <c r="X36" s="387">
        <f t="shared" si="21"/>
        <v>1879.3532259256522</v>
      </c>
      <c r="Y36" s="384">
        <f>'Table 7 Local Revenue'!AQ36</f>
        <v>60331639.5</v>
      </c>
      <c r="Z36" s="384">
        <f t="shared" si="22"/>
        <v>34902111</v>
      </c>
      <c r="AA36" s="276">
        <f t="shared" si="23"/>
        <v>0</v>
      </c>
      <c r="AB36" s="14">
        <f t="shared" si="24"/>
        <v>23179729.5</v>
      </c>
      <c r="AC36" s="14">
        <f t="shared" si="25"/>
        <v>23179729.5</v>
      </c>
      <c r="AD36" s="384">
        <f t="shared" si="26"/>
        <v>14871187.258020001</v>
      </c>
      <c r="AE36" s="388">
        <f t="shared" si="27"/>
        <v>8308542.2419799995</v>
      </c>
      <c r="AF36" s="16">
        <f t="shared" si="28"/>
        <v>0.3584</v>
      </c>
      <c r="AG36" s="388">
        <f t="shared" si="29"/>
        <v>51054688.741980001</v>
      </c>
      <c r="AH36" s="14">
        <f t="shared" si="30"/>
        <v>3773</v>
      </c>
      <c r="AI36" s="388">
        <f>'Table 4 Level 3'!O34</f>
        <v>2471041</v>
      </c>
      <c r="AJ36" s="14">
        <f t="shared" si="10"/>
        <v>182.62072278471658</v>
      </c>
      <c r="AK36" s="388">
        <f t="shared" si="31"/>
        <v>53525729.741980001</v>
      </c>
      <c r="AL36" s="14">
        <f t="shared" si="32"/>
        <v>3955.7852148385191</v>
      </c>
      <c r="AM36" s="517">
        <f>'Table 4 Level 3'!R34</f>
        <v>12684533.064999999</v>
      </c>
      <c r="AN36" s="518">
        <f t="shared" si="33"/>
        <v>937.44239634912424</v>
      </c>
      <c r="AO36" s="388">
        <f t="shared" si="34"/>
        <v>63739221.806979999</v>
      </c>
      <c r="AP36" s="14">
        <f t="shared" si="35"/>
        <v>4710.6068884029264</v>
      </c>
      <c r="AQ36" s="16">
        <f t="shared" si="36"/>
        <v>0.56733497343699701</v>
      </c>
      <c r="AR36" s="389">
        <f t="shared" si="37"/>
        <v>48</v>
      </c>
      <c r="AS36" s="14">
        <f t="shared" si="38"/>
        <v>48609258</v>
      </c>
      <c r="AT36" s="14">
        <f t="shared" si="11"/>
        <v>3592.44</v>
      </c>
      <c r="AU36" s="389">
        <f t="shared" si="39"/>
        <v>23</v>
      </c>
      <c r="AV36" s="16">
        <f t="shared" si="40"/>
        <v>0.43266502656300293</v>
      </c>
      <c r="AW36" s="389">
        <f t="shared" si="41"/>
        <v>112348479.80698</v>
      </c>
      <c r="AX36" s="390">
        <f t="shared" si="12"/>
        <v>8303.0433675988479</v>
      </c>
      <c r="AY36" s="389">
        <f t="shared" si="42"/>
        <v>54</v>
      </c>
      <c r="AZ36" s="14">
        <v>66681242.241313599</v>
      </c>
      <c r="BA36" s="276">
        <f t="shared" si="13"/>
        <v>-2942020.4343336001</v>
      </c>
      <c r="BB36" s="276">
        <f t="shared" si="43"/>
        <v>42746146.5</v>
      </c>
      <c r="BC36" s="276">
        <v>44513542</v>
      </c>
      <c r="BD36" s="276">
        <f t="shared" si="44"/>
        <v>-1767395.5</v>
      </c>
      <c r="BE36" s="276">
        <f t="shared" si="45"/>
        <v>8308542.2419799995</v>
      </c>
      <c r="BF36" s="276">
        <v>9389215.2413135991</v>
      </c>
      <c r="BG36" s="276">
        <f t="shared" si="46"/>
        <v>-1080672.9993335996</v>
      </c>
      <c r="BH36" s="276">
        <f t="shared" si="47"/>
        <v>60331639.5</v>
      </c>
      <c r="BI36" s="276">
        <v>54067766</v>
      </c>
      <c r="BJ36" s="276">
        <f t="shared" si="48"/>
        <v>6263873.5</v>
      </c>
      <c r="BK36" s="81">
        <f t="shared" si="49"/>
        <v>13531</v>
      </c>
      <c r="BL36" s="81">
        <v>13458</v>
      </c>
      <c r="BM36" s="954">
        <f t="shared" si="50"/>
        <v>73</v>
      </c>
      <c r="BN36" s="81">
        <f t="shared" si="51"/>
        <v>17685</v>
      </c>
      <c r="BO36" s="81">
        <v>17633</v>
      </c>
      <c r="BP36" s="954">
        <f t="shared" si="52"/>
        <v>52</v>
      </c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</row>
    <row r="37" spans="1:148" s="21" customFormat="1">
      <c r="A37" s="104">
        <v>30</v>
      </c>
      <c r="B37" s="82" t="s">
        <v>131</v>
      </c>
      <c r="C37" s="82">
        <f>'Table 8 2.1.12 MFP Funded'!AD33</f>
        <v>2435</v>
      </c>
      <c r="D37" s="82">
        <f>'[7]Table 3 for Option A'!AD33</f>
        <v>1317</v>
      </c>
      <c r="E37" s="82">
        <f t="shared" si="3"/>
        <v>290</v>
      </c>
      <c r="F37" s="82">
        <f>'[8]Table 3 Option A'!T41</f>
        <v>854</v>
      </c>
      <c r="G37" s="82">
        <f t="shared" si="4"/>
        <v>51</v>
      </c>
      <c r="H37" s="82">
        <f>'[9]SWD_Option A'!Z35</f>
        <v>205</v>
      </c>
      <c r="I37" s="82">
        <f t="shared" si="14"/>
        <v>308</v>
      </c>
      <c r="J37" s="82">
        <f>'[9]GiftedTalented-Option a'!AA35</f>
        <v>29</v>
      </c>
      <c r="K37" s="19">
        <f t="shared" si="15"/>
        <v>17</v>
      </c>
      <c r="L37" s="19">
        <f t="shared" si="5"/>
        <v>5065</v>
      </c>
      <c r="M37" s="66">
        <f t="shared" si="6"/>
        <v>0.13507</v>
      </c>
      <c r="N37" s="19">
        <f t="shared" si="7"/>
        <v>329</v>
      </c>
      <c r="O37" s="19">
        <f t="shared" si="16"/>
        <v>995</v>
      </c>
      <c r="P37" s="13">
        <f t="shared" si="8"/>
        <v>3430</v>
      </c>
      <c r="Q37" s="391">
        <f t="shared" si="17"/>
        <v>3855</v>
      </c>
      <c r="R37" s="391">
        <f t="shared" si="9"/>
        <v>13222650</v>
      </c>
      <c r="S37" s="391">
        <f>'Table 6 (Local Deduct Calc.)'!J38</f>
        <v>2780225</v>
      </c>
      <c r="T37" s="391">
        <f t="shared" si="18"/>
        <v>2780225</v>
      </c>
      <c r="U37" s="392">
        <f t="shared" si="19"/>
        <v>10442425</v>
      </c>
      <c r="V37" s="393">
        <f t="shared" si="53"/>
        <v>0.78969999999999996</v>
      </c>
      <c r="W37" s="394">
        <f t="shared" si="20"/>
        <v>0.21029999999999999</v>
      </c>
      <c r="X37" s="395">
        <f t="shared" si="21"/>
        <v>1141.7761806981518</v>
      </c>
      <c r="Y37" s="391">
        <f>'Table 7 Local Revenue'!AQ37</f>
        <v>8831392</v>
      </c>
      <c r="Z37" s="391">
        <f t="shared" si="22"/>
        <v>6051167</v>
      </c>
      <c r="AA37" s="277">
        <f t="shared" si="23"/>
        <v>0</v>
      </c>
      <c r="AB37" s="20">
        <f t="shared" si="24"/>
        <v>4495701</v>
      </c>
      <c r="AC37" s="20">
        <f t="shared" si="25"/>
        <v>4495701</v>
      </c>
      <c r="AD37" s="391">
        <f t="shared" si="26"/>
        <v>1626166.9829159998</v>
      </c>
      <c r="AE37" s="396">
        <f t="shared" si="27"/>
        <v>2869534.0170840002</v>
      </c>
      <c r="AF37" s="270">
        <f t="shared" si="28"/>
        <v>0.63829999999999998</v>
      </c>
      <c r="AG37" s="396">
        <f t="shared" si="29"/>
        <v>13311959.017084001</v>
      </c>
      <c r="AH37" s="20">
        <f t="shared" si="30"/>
        <v>5467</v>
      </c>
      <c r="AI37" s="396">
        <f>'Table 4 Level 3'!O35</f>
        <v>347505</v>
      </c>
      <c r="AJ37" s="20">
        <f t="shared" si="10"/>
        <v>142.71252566735112</v>
      </c>
      <c r="AK37" s="396">
        <f t="shared" si="31"/>
        <v>13659464.017084001</v>
      </c>
      <c r="AL37" s="20">
        <f t="shared" si="32"/>
        <v>5609.6361466464068</v>
      </c>
      <c r="AM37" s="519">
        <f>'Table 4 Level 3'!R35</f>
        <v>2117873.0819999995</v>
      </c>
      <c r="AN37" s="520">
        <f t="shared" si="33"/>
        <v>869.76307268993821</v>
      </c>
      <c r="AO37" s="396">
        <f t="shared" si="34"/>
        <v>15429832.099084001</v>
      </c>
      <c r="AP37" s="20">
        <f t="shared" si="35"/>
        <v>6336.6866936689939</v>
      </c>
      <c r="AQ37" s="270">
        <f t="shared" si="36"/>
        <v>0.67955590963978751</v>
      </c>
      <c r="AR37" s="397">
        <f t="shared" si="37"/>
        <v>27</v>
      </c>
      <c r="AS37" s="20">
        <f t="shared" si="38"/>
        <v>7275926</v>
      </c>
      <c r="AT37" s="20">
        <f t="shared" si="11"/>
        <v>2988.06</v>
      </c>
      <c r="AU37" s="397">
        <f t="shared" si="39"/>
        <v>43</v>
      </c>
      <c r="AV37" s="270">
        <f t="shared" si="40"/>
        <v>0.32044409036021249</v>
      </c>
      <c r="AW37" s="397">
        <f t="shared" si="41"/>
        <v>22705758.099084001</v>
      </c>
      <c r="AX37" s="398">
        <f t="shared" si="12"/>
        <v>9324.7466526012322</v>
      </c>
      <c r="AY37" s="397">
        <f t="shared" si="42"/>
        <v>12</v>
      </c>
      <c r="AZ37" s="20">
        <v>15881213.792093601</v>
      </c>
      <c r="BA37" s="277">
        <f t="shared" si="13"/>
        <v>-451381.69300960004</v>
      </c>
      <c r="BB37" s="277">
        <f t="shared" si="43"/>
        <v>10442425</v>
      </c>
      <c r="BC37" s="277">
        <v>10755193</v>
      </c>
      <c r="BD37" s="277">
        <f t="shared" si="44"/>
        <v>-312768</v>
      </c>
      <c r="BE37" s="277">
        <f t="shared" si="45"/>
        <v>2869534.0170840002</v>
      </c>
      <c r="BF37" s="277">
        <v>3018420.7920936001</v>
      </c>
      <c r="BG37" s="277">
        <f t="shared" si="46"/>
        <v>-148886.77500959998</v>
      </c>
      <c r="BH37" s="277">
        <f t="shared" si="47"/>
        <v>8831392</v>
      </c>
      <c r="BI37" s="277">
        <v>8316938</v>
      </c>
      <c r="BJ37" s="277">
        <f t="shared" si="48"/>
        <v>514454</v>
      </c>
      <c r="BK37" s="82">
        <f t="shared" si="49"/>
        <v>2435</v>
      </c>
      <c r="BL37" s="82">
        <v>2440</v>
      </c>
      <c r="BM37" s="955">
        <f t="shared" si="50"/>
        <v>-5</v>
      </c>
      <c r="BN37" s="82">
        <f t="shared" si="51"/>
        <v>3430</v>
      </c>
      <c r="BO37" s="82">
        <v>3466</v>
      </c>
      <c r="BP37" s="955">
        <f t="shared" si="52"/>
        <v>-36</v>
      </c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</row>
    <row r="38" spans="1:148" s="5" customFormat="1">
      <c r="A38" s="103">
        <v>31</v>
      </c>
      <c r="B38" s="81" t="s">
        <v>132</v>
      </c>
      <c r="C38" s="81">
        <f>'Table 8 2.1.12 MFP Funded'!AD34</f>
        <v>6456</v>
      </c>
      <c r="D38" s="81">
        <f>'[7]Table 3 for Option A'!AD34</f>
        <v>3873</v>
      </c>
      <c r="E38" s="81">
        <f t="shared" si="3"/>
        <v>852</v>
      </c>
      <c r="F38" s="81">
        <f>'[8]Table 3 Option A'!T42</f>
        <v>2066.5</v>
      </c>
      <c r="G38" s="81">
        <f t="shared" si="4"/>
        <v>124</v>
      </c>
      <c r="H38" s="81">
        <f>'[9]SWD_Option A'!Z36</f>
        <v>716</v>
      </c>
      <c r="I38" s="81">
        <f t="shared" si="14"/>
        <v>1074</v>
      </c>
      <c r="J38" s="81">
        <f>'[9]GiftedTalented-Option a'!AA36</f>
        <v>326</v>
      </c>
      <c r="K38" s="13">
        <f t="shared" si="15"/>
        <v>196</v>
      </c>
      <c r="L38" s="13">
        <f t="shared" si="5"/>
        <v>1044</v>
      </c>
      <c r="M38" s="65">
        <f t="shared" si="6"/>
        <v>2.784E-2</v>
      </c>
      <c r="N38" s="13">
        <f t="shared" si="7"/>
        <v>180</v>
      </c>
      <c r="O38" s="13">
        <f t="shared" si="16"/>
        <v>2426</v>
      </c>
      <c r="P38" s="36">
        <f t="shared" si="8"/>
        <v>8882</v>
      </c>
      <c r="Q38" s="384">
        <f t="shared" si="17"/>
        <v>3855</v>
      </c>
      <c r="R38" s="384">
        <f t="shared" si="9"/>
        <v>34240110</v>
      </c>
      <c r="S38" s="384">
        <f>'Table 6 (Local Deduct Calc.)'!J39</f>
        <v>12528508</v>
      </c>
      <c r="T38" s="384">
        <f t="shared" si="18"/>
        <v>12528508</v>
      </c>
      <c r="U38" s="385">
        <f t="shared" si="19"/>
        <v>21711602</v>
      </c>
      <c r="V38" s="386">
        <f t="shared" si="53"/>
        <v>0.6341</v>
      </c>
      <c r="W38" s="386">
        <f t="shared" si="20"/>
        <v>0.3659</v>
      </c>
      <c r="X38" s="387">
        <f t="shared" si="21"/>
        <v>1940.599132589839</v>
      </c>
      <c r="Y38" s="384">
        <f>'Table 7 Local Revenue'!AQ38</f>
        <v>30941104</v>
      </c>
      <c r="Z38" s="384">
        <f t="shared" si="22"/>
        <v>18412596</v>
      </c>
      <c r="AA38" s="276">
        <f t="shared" si="23"/>
        <v>0</v>
      </c>
      <c r="AB38" s="14">
        <f t="shared" si="24"/>
        <v>11641637.4</v>
      </c>
      <c r="AC38" s="14">
        <f t="shared" si="25"/>
        <v>11641637.4</v>
      </c>
      <c r="AD38" s="384">
        <f t="shared" si="26"/>
        <v>7326641.2144152001</v>
      </c>
      <c r="AE38" s="388">
        <f t="shared" si="27"/>
        <v>4314996.1855848003</v>
      </c>
      <c r="AF38" s="16">
        <f t="shared" si="28"/>
        <v>0.37069999999999997</v>
      </c>
      <c r="AG38" s="388">
        <f t="shared" si="29"/>
        <v>26026598.185584798</v>
      </c>
      <c r="AH38" s="14">
        <f t="shared" si="30"/>
        <v>4031</v>
      </c>
      <c r="AI38" s="388">
        <f>'Table 4 Level 3'!O36</f>
        <v>921351</v>
      </c>
      <c r="AJ38" s="14">
        <f t="shared" si="10"/>
        <v>142.71236059479554</v>
      </c>
      <c r="AK38" s="388">
        <f t="shared" si="31"/>
        <v>26947949.185584798</v>
      </c>
      <c r="AL38" s="14">
        <f t="shared" si="32"/>
        <v>4174.0937400224284</v>
      </c>
      <c r="AM38" s="517">
        <f>'Table 4 Level 3'!R36</f>
        <v>4929243.2310000006</v>
      </c>
      <c r="AN38" s="518">
        <f t="shared" si="33"/>
        <v>763.51351161710045</v>
      </c>
      <c r="AO38" s="388">
        <f t="shared" si="34"/>
        <v>30955841.416584797</v>
      </c>
      <c r="AP38" s="14">
        <f t="shared" si="35"/>
        <v>4794.8948910447334</v>
      </c>
      <c r="AQ38" s="16">
        <f t="shared" si="36"/>
        <v>0.5615471614064903</v>
      </c>
      <c r="AR38" s="389">
        <f t="shared" si="37"/>
        <v>50</v>
      </c>
      <c r="AS38" s="14">
        <f t="shared" si="38"/>
        <v>24170145.399999999</v>
      </c>
      <c r="AT38" s="14">
        <f t="shared" si="11"/>
        <v>3743.83</v>
      </c>
      <c r="AU38" s="389">
        <f t="shared" si="39"/>
        <v>22</v>
      </c>
      <c r="AV38" s="16">
        <f t="shared" si="40"/>
        <v>0.43845283859350975</v>
      </c>
      <c r="AW38" s="389">
        <f t="shared" si="41"/>
        <v>55125986.816584796</v>
      </c>
      <c r="AX38" s="390">
        <f t="shared" si="12"/>
        <v>8538.7216258650551</v>
      </c>
      <c r="AY38" s="389">
        <f t="shared" si="42"/>
        <v>43</v>
      </c>
      <c r="AZ38" s="14">
        <v>31403529.1727456</v>
      </c>
      <c r="BA38" s="276">
        <f t="shared" si="13"/>
        <v>-447687.75616080314</v>
      </c>
      <c r="BB38" s="276">
        <f t="shared" si="43"/>
        <v>21711602</v>
      </c>
      <c r="BC38" s="276">
        <v>22044881</v>
      </c>
      <c r="BD38" s="276">
        <f t="shared" si="44"/>
        <v>-333279</v>
      </c>
      <c r="BE38" s="276">
        <f t="shared" si="45"/>
        <v>4314996.1855848003</v>
      </c>
      <c r="BF38" s="276">
        <v>4458073.1727456013</v>
      </c>
      <c r="BG38" s="276">
        <f t="shared" si="46"/>
        <v>-143076.98716080096</v>
      </c>
      <c r="BH38" s="276">
        <f t="shared" si="47"/>
        <v>30941104</v>
      </c>
      <c r="BI38" s="276">
        <v>29400777</v>
      </c>
      <c r="BJ38" s="276">
        <f t="shared" si="48"/>
        <v>1540327</v>
      </c>
      <c r="BK38" s="81">
        <f t="shared" si="49"/>
        <v>6456</v>
      </c>
      <c r="BL38" s="81">
        <v>6470</v>
      </c>
      <c r="BM38" s="954">
        <f t="shared" si="50"/>
        <v>-14</v>
      </c>
      <c r="BN38" s="81">
        <f t="shared" si="51"/>
        <v>8882</v>
      </c>
      <c r="BO38" s="81">
        <v>8936</v>
      </c>
      <c r="BP38" s="954">
        <f t="shared" si="52"/>
        <v>-54</v>
      </c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</row>
    <row r="39" spans="1:148" s="5" customFormat="1">
      <c r="A39" s="103">
        <v>32</v>
      </c>
      <c r="B39" s="81" t="s">
        <v>133</v>
      </c>
      <c r="C39" s="81">
        <f>'Table 8 2.1.12 MFP Funded'!AD35</f>
        <v>24424</v>
      </c>
      <c r="D39" s="81">
        <f>'[7]Table 3 for Option A'!AD35</f>
        <v>12225</v>
      </c>
      <c r="E39" s="81">
        <f t="shared" si="3"/>
        <v>2690</v>
      </c>
      <c r="F39" s="81">
        <f>'[8]Table 3 Option A'!T43</f>
        <v>10246.5</v>
      </c>
      <c r="G39" s="81">
        <f t="shared" si="4"/>
        <v>615</v>
      </c>
      <c r="H39" s="81">
        <f>'[9]SWD_Option A'!Z37</f>
        <v>3194</v>
      </c>
      <c r="I39" s="81">
        <f t="shared" si="14"/>
        <v>4791</v>
      </c>
      <c r="J39" s="81">
        <f>'[9]GiftedTalented-Option a'!AA37</f>
        <v>1124</v>
      </c>
      <c r="K39" s="13">
        <f t="shared" si="15"/>
        <v>674</v>
      </c>
      <c r="L39" s="13">
        <f t="shared" si="5"/>
        <v>0</v>
      </c>
      <c r="M39" s="65">
        <f t="shared" si="6"/>
        <v>0</v>
      </c>
      <c r="N39" s="13">
        <f t="shared" si="7"/>
        <v>0</v>
      </c>
      <c r="O39" s="13">
        <f t="shared" si="16"/>
        <v>8770</v>
      </c>
      <c r="P39" s="13">
        <f t="shared" si="8"/>
        <v>33194</v>
      </c>
      <c r="Q39" s="384">
        <f t="shared" si="17"/>
        <v>3855</v>
      </c>
      <c r="R39" s="384">
        <f t="shared" si="9"/>
        <v>127962870</v>
      </c>
      <c r="S39" s="384">
        <f>'Table 6 (Local Deduct Calc.)'!J40</f>
        <v>18701094.5</v>
      </c>
      <c r="T39" s="384">
        <f t="shared" si="18"/>
        <v>18701094.5</v>
      </c>
      <c r="U39" s="385">
        <f t="shared" si="19"/>
        <v>109261775.5</v>
      </c>
      <c r="V39" s="386">
        <f t="shared" si="53"/>
        <v>0.85389999999999999</v>
      </c>
      <c r="W39" s="386">
        <f t="shared" si="20"/>
        <v>0.14610000000000001</v>
      </c>
      <c r="X39" s="387">
        <f t="shared" si="21"/>
        <v>765.68516622993775</v>
      </c>
      <c r="Y39" s="384">
        <f>'Table 7 Local Revenue'!AQ39</f>
        <v>47836836.5</v>
      </c>
      <c r="Z39" s="497">
        <f>IF(Y39-T39&gt;0,Y39-T39,0)-758118</f>
        <v>28377624</v>
      </c>
      <c r="AA39" s="276">
        <f t="shared" si="23"/>
        <v>0</v>
      </c>
      <c r="AB39" s="14">
        <f t="shared" si="24"/>
        <v>43507375.800000004</v>
      </c>
      <c r="AC39" s="14">
        <f t="shared" si="25"/>
        <v>28377624</v>
      </c>
      <c r="AD39" s="384">
        <f t="shared" si="26"/>
        <v>7131069.8902080003</v>
      </c>
      <c r="AE39" s="388">
        <f t="shared" si="27"/>
        <v>21246554.109792002</v>
      </c>
      <c r="AF39" s="16">
        <f t="shared" si="28"/>
        <v>0.74870000000000003</v>
      </c>
      <c r="AG39" s="388">
        <f t="shared" si="29"/>
        <v>130508329.60979199</v>
      </c>
      <c r="AH39" s="14">
        <f t="shared" si="30"/>
        <v>5343</v>
      </c>
      <c r="AI39" s="388">
        <f>'Table 4 Level 3'!O37</f>
        <v>3485606</v>
      </c>
      <c r="AJ39" s="14">
        <f t="shared" si="10"/>
        <v>142.71233213232887</v>
      </c>
      <c r="AK39" s="388">
        <f t="shared" si="31"/>
        <v>133993935.60979199</v>
      </c>
      <c r="AL39" s="14">
        <f t="shared" si="32"/>
        <v>5486.1585166144778</v>
      </c>
      <c r="AM39" s="517">
        <f>'Table 4 Level 3'!R37</f>
        <v>17153454.112999998</v>
      </c>
      <c r="AN39" s="518">
        <f t="shared" si="33"/>
        <v>702.31960829511945</v>
      </c>
      <c r="AO39" s="388">
        <f t="shared" si="34"/>
        <v>147661783.722792</v>
      </c>
      <c r="AP39" s="14">
        <f t="shared" si="35"/>
        <v>6045.765792777268</v>
      </c>
      <c r="AQ39" s="16">
        <f t="shared" si="36"/>
        <v>0.75824896227216354</v>
      </c>
      <c r="AR39" s="389">
        <f t="shared" si="37"/>
        <v>8</v>
      </c>
      <c r="AS39" s="14">
        <f t="shared" si="38"/>
        <v>47078718.5</v>
      </c>
      <c r="AT39" s="14">
        <f t="shared" si="11"/>
        <v>1927.56</v>
      </c>
      <c r="AU39" s="389">
        <f t="shared" si="39"/>
        <v>62</v>
      </c>
      <c r="AV39" s="16">
        <f t="shared" si="40"/>
        <v>0.2417510377278364</v>
      </c>
      <c r="AW39" s="389">
        <f t="shared" si="41"/>
        <v>194740502.222792</v>
      </c>
      <c r="AX39" s="390">
        <f t="shared" si="12"/>
        <v>7973.3255086305271</v>
      </c>
      <c r="AY39" s="389">
        <f t="shared" si="42"/>
        <v>62</v>
      </c>
      <c r="AZ39" s="14">
        <v>143816290.96811199</v>
      </c>
      <c r="BA39" s="276">
        <f t="shared" si="13"/>
        <v>3845492.7546800077</v>
      </c>
      <c r="BB39" s="276">
        <f t="shared" si="43"/>
        <v>109261775.5</v>
      </c>
      <c r="BC39" s="276">
        <v>106409412.5</v>
      </c>
      <c r="BD39" s="276">
        <f t="shared" si="44"/>
        <v>2852363</v>
      </c>
      <c r="BE39" s="276">
        <f t="shared" si="45"/>
        <v>21246554.109792002</v>
      </c>
      <c r="BF39" s="276">
        <v>20659169.468111999</v>
      </c>
      <c r="BG39" s="276">
        <f t="shared" si="46"/>
        <v>587384.64168000221</v>
      </c>
      <c r="BH39" s="276">
        <f t="shared" si="47"/>
        <v>47836836.5</v>
      </c>
      <c r="BI39" s="276">
        <v>46684467.5</v>
      </c>
      <c r="BJ39" s="276">
        <f t="shared" si="48"/>
        <v>1152369</v>
      </c>
      <c r="BK39" s="81">
        <f t="shared" si="49"/>
        <v>24424</v>
      </c>
      <c r="BL39" s="81">
        <v>24050</v>
      </c>
      <c r="BM39" s="954">
        <f t="shared" si="50"/>
        <v>374</v>
      </c>
      <c r="BN39" s="81">
        <f t="shared" si="51"/>
        <v>33194</v>
      </c>
      <c r="BO39" s="81">
        <v>32374</v>
      </c>
      <c r="BP39" s="954">
        <f t="shared" si="52"/>
        <v>820</v>
      </c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</row>
    <row r="40" spans="1:148" s="5" customFormat="1">
      <c r="A40" s="103">
        <v>33</v>
      </c>
      <c r="B40" s="81" t="s">
        <v>134</v>
      </c>
      <c r="C40" s="81">
        <f>'Table 8 2.1.12 MFP Funded'!AD36</f>
        <v>1866</v>
      </c>
      <c r="D40" s="81">
        <f>'[7]Table 3 for Option A'!AD36</f>
        <v>1712</v>
      </c>
      <c r="E40" s="81">
        <f t="shared" ref="E40:E76" si="54">ROUND($E$4*D40,0)</f>
        <v>377</v>
      </c>
      <c r="F40" s="81">
        <f>'[8]Table 3 Option A'!T44</f>
        <v>709.5</v>
      </c>
      <c r="G40" s="81">
        <f t="shared" ref="G40:G76" si="55">ROUND($G$4*F40,0)</f>
        <v>43</v>
      </c>
      <c r="H40" s="81">
        <f>'[9]SWD_Option A'!Z38</f>
        <v>211</v>
      </c>
      <c r="I40" s="81">
        <f t="shared" si="14"/>
        <v>317</v>
      </c>
      <c r="J40" s="81">
        <f>'[9]GiftedTalented-Option a'!AA38</f>
        <v>9</v>
      </c>
      <c r="K40" s="13">
        <f t="shared" si="15"/>
        <v>5</v>
      </c>
      <c r="L40" s="13">
        <f t="shared" ref="L40:L76" si="56">IF(C40&lt;$L$4,$L$4-C40,0)</f>
        <v>5634</v>
      </c>
      <c r="M40" s="65">
        <f t="shared" ref="M40:M71" si="57">ROUND(L40/$M$4,5)</f>
        <v>0.15024000000000001</v>
      </c>
      <c r="N40" s="13">
        <f t="shared" ref="N40:N71" si="58" xml:space="preserve"> ROUND(C40*M40,0)</f>
        <v>280</v>
      </c>
      <c r="O40" s="13">
        <f t="shared" si="16"/>
        <v>1022</v>
      </c>
      <c r="P40" s="13">
        <f t="shared" ref="P40:P71" si="59">O40+C40</f>
        <v>2888</v>
      </c>
      <c r="Q40" s="384">
        <f t="shared" si="17"/>
        <v>3855</v>
      </c>
      <c r="R40" s="384">
        <f t="shared" ref="R40:R71" si="60">ROUND(P40*Q40,0)</f>
        <v>11133240</v>
      </c>
      <c r="S40" s="384">
        <f>'Table 6 (Local Deduct Calc.)'!J41</f>
        <v>2853312.5</v>
      </c>
      <c r="T40" s="384">
        <f t="shared" si="18"/>
        <v>2853312.5</v>
      </c>
      <c r="U40" s="385">
        <f t="shared" si="19"/>
        <v>8279927.5</v>
      </c>
      <c r="V40" s="386">
        <f t="shared" si="53"/>
        <v>0.74370000000000003</v>
      </c>
      <c r="W40" s="386">
        <f t="shared" si="20"/>
        <v>0.25629999999999997</v>
      </c>
      <c r="X40" s="387">
        <f t="shared" si="21"/>
        <v>1529.1063772775992</v>
      </c>
      <c r="Y40" s="384">
        <f>'Table 7 Local Revenue'!AQ40</f>
        <v>5533546.5</v>
      </c>
      <c r="Z40" s="384">
        <f t="shared" si="22"/>
        <v>2680234</v>
      </c>
      <c r="AA40" s="276">
        <f t="shared" si="23"/>
        <v>0</v>
      </c>
      <c r="AB40" s="14">
        <f t="shared" si="24"/>
        <v>3785301.6</v>
      </c>
      <c r="AC40" s="14">
        <f t="shared" si="25"/>
        <v>2680234</v>
      </c>
      <c r="AD40" s="384">
        <f t="shared" si="26"/>
        <v>1181543.6356239999</v>
      </c>
      <c r="AE40" s="388">
        <f t="shared" si="27"/>
        <v>1498690.3643760001</v>
      </c>
      <c r="AF40" s="16">
        <f t="shared" si="28"/>
        <v>0.55920000000000003</v>
      </c>
      <c r="AG40" s="388">
        <f t="shared" si="29"/>
        <v>9778617.8643760011</v>
      </c>
      <c r="AH40" s="14">
        <f t="shared" si="30"/>
        <v>5240</v>
      </c>
      <c r="AI40" s="388">
        <f>'Table 4 Level 3'!O38</f>
        <v>286301</v>
      </c>
      <c r="AJ40" s="14">
        <f t="shared" ref="AJ40:AJ71" si="61">AI40/C40</f>
        <v>153.43033226152198</v>
      </c>
      <c r="AK40" s="388">
        <f t="shared" si="31"/>
        <v>10064918.864376001</v>
      </c>
      <c r="AL40" s="14">
        <f t="shared" ref="AL40:AL71" si="62">AK40/C40</f>
        <v>5393.8471941993575</v>
      </c>
      <c r="AM40" s="517">
        <f>'Table 4 Level 3'!R38</f>
        <v>1508781.8050000002</v>
      </c>
      <c r="AN40" s="518">
        <f t="shared" si="33"/>
        <v>808.56474008574503</v>
      </c>
      <c r="AO40" s="388">
        <f t="shared" si="34"/>
        <v>11287399.669376001</v>
      </c>
      <c r="AP40" s="14">
        <f t="shared" si="35"/>
        <v>6048.9816020235803</v>
      </c>
      <c r="AQ40" s="16">
        <f t="shared" si="36"/>
        <v>0.67103238757910633</v>
      </c>
      <c r="AR40" s="389">
        <f t="shared" si="37"/>
        <v>29</v>
      </c>
      <c r="AS40" s="14">
        <f t="shared" si="38"/>
        <v>5533546.5</v>
      </c>
      <c r="AT40" s="14">
        <f t="shared" ref="AT40:AT71" si="63">ROUND(AS40/C40,2)</f>
        <v>2965.46</v>
      </c>
      <c r="AU40" s="389">
        <f t="shared" si="39"/>
        <v>44</v>
      </c>
      <c r="AV40" s="16">
        <f t="shared" si="40"/>
        <v>0.32896761242089367</v>
      </c>
      <c r="AW40" s="389">
        <f t="shared" si="41"/>
        <v>16820946.169376001</v>
      </c>
      <c r="AX40" s="390">
        <f t="shared" ref="AX40:AX71" si="64">AW40/C40</f>
        <v>9014.440605239015</v>
      </c>
      <c r="AY40" s="389">
        <f t="shared" si="42"/>
        <v>23</v>
      </c>
      <c r="AZ40" s="14">
        <v>11685028.229952</v>
      </c>
      <c r="BA40" s="276">
        <f t="shared" ref="BA40:BA71" si="65">AO40-AZ40</f>
        <v>-397628.56057599932</v>
      </c>
      <c r="BB40" s="276">
        <f t="shared" si="43"/>
        <v>8279927.5</v>
      </c>
      <c r="BC40" s="276">
        <v>8208387</v>
      </c>
      <c r="BD40" s="276">
        <f t="shared" si="44"/>
        <v>71540.5</v>
      </c>
      <c r="BE40" s="276">
        <f t="shared" si="45"/>
        <v>1498690.3643760001</v>
      </c>
      <c r="BF40" s="276">
        <v>2005861.2299520001</v>
      </c>
      <c r="BG40" s="276">
        <f t="shared" si="46"/>
        <v>-507170.86557599995</v>
      </c>
      <c r="BH40" s="276">
        <f t="shared" si="47"/>
        <v>5533546.5</v>
      </c>
      <c r="BI40" s="276">
        <v>6247975</v>
      </c>
      <c r="BJ40" s="276">
        <f t="shared" si="48"/>
        <v>-714428.5</v>
      </c>
      <c r="BK40" s="81">
        <f t="shared" si="49"/>
        <v>1866</v>
      </c>
      <c r="BL40" s="81">
        <v>1832</v>
      </c>
      <c r="BM40" s="954">
        <f t="shared" si="50"/>
        <v>34</v>
      </c>
      <c r="BN40" s="81">
        <f t="shared" si="51"/>
        <v>2888</v>
      </c>
      <c r="BO40" s="81">
        <v>2838</v>
      </c>
      <c r="BP40" s="954">
        <f t="shared" si="52"/>
        <v>50</v>
      </c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</row>
    <row r="41" spans="1:148" s="5" customFormat="1">
      <c r="A41" s="103">
        <v>34</v>
      </c>
      <c r="B41" s="81" t="s">
        <v>135</v>
      </c>
      <c r="C41" s="599">
        <f>'Table 8 2.1.12 MFP Funded'!AD37</f>
        <v>4326</v>
      </c>
      <c r="D41" s="599">
        <f>'[7]Table 3 for Option A'!AD37</f>
        <v>3711</v>
      </c>
      <c r="E41" s="599">
        <f t="shared" si="54"/>
        <v>816</v>
      </c>
      <c r="F41" s="599">
        <f>'[8]Table 3 Option A'!T45</f>
        <v>1388.5</v>
      </c>
      <c r="G41" s="599">
        <f t="shared" si="55"/>
        <v>83</v>
      </c>
      <c r="H41" s="599">
        <f>'[9]SWD_Option A'!Z39</f>
        <v>703</v>
      </c>
      <c r="I41" s="599">
        <f t="shared" si="14"/>
        <v>1055</v>
      </c>
      <c r="J41" s="599">
        <f>'[9]GiftedTalented-Option a'!AA39</f>
        <v>43</v>
      </c>
      <c r="K41" s="599">
        <f t="shared" si="15"/>
        <v>26</v>
      </c>
      <c r="L41" s="13">
        <f t="shared" si="56"/>
        <v>3174</v>
      </c>
      <c r="M41" s="65">
        <f t="shared" si="57"/>
        <v>8.4640000000000007E-2</v>
      </c>
      <c r="N41" s="13">
        <f t="shared" si="58"/>
        <v>366</v>
      </c>
      <c r="O41" s="13">
        <f t="shared" si="16"/>
        <v>2346</v>
      </c>
      <c r="P41" s="13">
        <f t="shared" si="59"/>
        <v>6672</v>
      </c>
      <c r="Q41" s="384">
        <f t="shared" si="17"/>
        <v>3855</v>
      </c>
      <c r="R41" s="384">
        <f t="shared" si="60"/>
        <v>25720560</v>
      </c>
      <c r="S41" s="384">
        <f>'Table 6 (Local Deduct Calc.)'!J42</f>
        <v>5328532</v>
      </c>
      <c r="T41" s="384">
        <f t="shared" si="18"/>
        <v>5328532</v>
      </c>
      <c r="U41" s="385">
        <f t="shared" si="19"/>
        <v>20392028</v>
      </c>
      <c r="V41" s="386">
        <f t="shared" si="53"/>
        <v>0.79279999999999995</v>
      </c>
      <c r="W41" s="386">
        <f t="shared" si="20"/>
        <v>0.2072</v>
      </c>
      <c r="X41" s="387">
        <f t="shared" si="21"/>
        <v>1231.7457235321313</v>
      </c>
      <c r="Y41" s="384">
        <f>'Table 7 Local Revenue'!AQ41</f>
        <v>12102443</v>
      </c>
      <c r="Z41" s="384">
        <f t="shared" si="22"/>
        <v>6773911</v>
      </c>
      <c r="AA41" s="276">
        <f t="shared" si="23"/>
        <v>0</v>
      </c>
      <c r="AB41" s="14">
        <f t="shared" si="24"/>
        <v>8744990.4000000004</v>
      </c>
      <c r="AC41" s="14">
        <f t="shared" si="25"/>
        <v>6773911</v>
      </c>
      <c r="AD41" s="384">
        <f t="shared" si="26"/>
        <v>2414113.4978239997</v>
      </c>
      <c r="AE41" s="388">
        <f t="shared" si="27"/>
        <v>4359797.5021759998</v>
      </c>
      <c r="AF41" s="16">
        <f t="shared" si="28"/>
        <v>0.64359999999999995</v>
      </c>
      <c r="AG41" s="388">
        <f t="shared" si="29"/>
        <v>24751825.502176002</v>
      </c>
      <c r="AH41" s="14">
        <f t="shared" si="30"/>
        <v>5722</v>
      </c>
      <c r="AI41" s="388">
        <f>'Table 4 Level 3'!O39</f>
        <v>617374</v>
      </c>
      <c r="AJ41" s="14">
        <f t="shared" si="61"/>
        <v>142.71243643088303</v>
      </c>
      <c r="AK41" s="388">
        <f t="shared" si="31"/>
        <v>25369199.502176002</v>
      </c>
      <c r="AL41" s="14">
        <f t="shared" si="62"/>
        <v>5864.3549473361072</v>
      </c>
      <c r="AM41" s="517">
        <f>'Table 4 Level 3'!R39</f>
        <v>3402892.1060000006</v>
      </c>
      <c r="AN41" s="518">
        <f t="shared" si="33"/>
        <v>786.61398659269548</v>
      </c>
      <c r="AO41" s="388">
        <f>AG41+AM41</f>
        <v>28154717.608176</v>
      </c>
      <c r="AP41" s="14">
        <f t="shared" si="35"/>
        <v>6508.2564974979196</v>
      </c>
      <c r="AQ41" s="16">
        <f t="shared" si="36"/>
        <v>0.69937166911016413</v>
      </c>
      <c r="AR41" s="389">
        <f t="shared" si="37"/>
        <v>18</v>
      </c>
      <c r="AS41" s="14">
        <f t="shared" si="38"/>
        <v>12102443</v>
      </c>
      <c r="AT41" s="14">
        <f t="shared" si="63"/>
        <v>2797.61</v>
      </c>
      <c r="AU41" s="389">
        <f t="shared" si="39"/>
        <v>50</v>
      </c>
      <c r="AV41" s="16">
        <f t="shared" si="40"/>
        <v>0.30062833088983587</v>
      </c>
      <c r="AW41" s="389">
        <f t="shared" si="41"/>
        <v>40257160.608176</v>
      </c>
      <c r="AX41" s="390">
        <f t="shared" si="64"/>
        <v>9305.8623689727228</v>
      </c>
      <c r="AY41" s="389">
        <f t="shared" si="42"/>
        <v>14</v>
      </c>
      <c r="AZ41" s="14">
        <v>27974839.478</v>
      </c>
      <c r="BA41" s="276">
        <f t="shared" si="65"/>
        <v>179878.1301760003</v>
      </c>
      <c r="BB41" s="276">
        <f t="shared" si="43"/>
        <v>20392028</v>
      </c>
      <c r="BC41" s="276">
        <v>20450170</v>
      </c>
      <c r="BD41" s="276">
        <f t="shared" si="44"/>
        <v>-58142</v>
      </c>
      <c r="BE41" s="276">
        <f t="shared" si="45"/>
        <v>4359797.5021759998</v>
      </c>
      <c r="BF41" s="276">
        <v>4116868.4780000001</v>
      </c>
      <c r="BG41" s="276">
        <f t="shared" si="46"/>
        <v>242929.02417599969</v>
      </c>
      <c r="BH41" s="276">
        <f t="shared" si="47"/>
        <v>12102443</v>
      </c>
      <c r="BI41" s="276">
        <v>11732830</v>
      </c>
      <c r="BJ41" s="276">
        <f t="shared" si="48"/>
        <v>369613</v>
      </c>
      <c r="BK41" s="81">
        <f t="shared" si="49"/>
        <v>4326</v>
      </c>
      <c r="BL41" s="81">
        <v>4365</v>
      </c>
      <c r="BM41" s="954">
        <f t="shared" si="50"/>
        <v>-39</v>
      </c>
      <c r="BN41" s="81">
        <f t="shared" si="51"/>
        <v>6672</v>
      </c>
      <c r="BO41" s="81">
        <v>6690</v>
      </c>
      <c r="BP41" s="954">
        <f t="shared" si="52"/>
        <v>-18</v>
      </c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</row>
    <row r="42" spans="1:148" s="21" customFormat="1">
      <c r="A42" s="104">
        <v>35</v>
      </c>
      <c r="B42" s="82" t="s">
        <v>136</v>
      </c>
      <c r="C42" s="781">
        <f>'Table 8 2.1.12 MFP Funded'!AD38</f>
        <v>6458</v>
      </c>
      <c r="D42" s="781">
        <f>'[7]Table 3 for Option A'!AD38</f>
        <v>4792</v>
      </c>
      <c r="E42" s="781">
        <f t="shared" si="54"/>
        <v>1054</v>
      </c>
      <c r="F42" s="781">
        <f>'[8]Table 3 Option A'!T46</f>
        <v>1791</v>
      </c>
      <c r="G42" s="781">
        <f t="shared" si="55"/>
        <v>107</v>
      </c>
      <c r="H42" s="781">
        <f>'[9]SWD_Option A'!Z40</f>
        <v>777</v>
      </c>
      <c r="I42" s="781">
        <f t="shared" si="14"/>
        <v>1166</v>
      </c>
      <c r="J42" s="781">
        <f>'[9]GiftedTalented-Option a'!AA40</f>
        <v>234</v>
      </c>
      <c r="K42" s="781">
        <f t="shared" si="15"/>
        <v>140</v>
      </c>
      <c r="L42" s="19">
        <f t="shared" si="56"/>
        <v>1042</v>
      </c>
      <c r="M42" s="66">
        <f t="shared" si="57"/>
        <v>2.7789999999999999E-2</v>
      </c>
      <c r="N42" s="19">
        <f t="shared" si="58"/>
        <v>179</v>
      </c>
      <c r="O42" s="19">
        <f t="shared" si="16"/>
        <v>2646</v>
      </c>
      <c r="P42" s="13">
        <f t="shared" si="59"/>
        <v>9104</v>
      </c>
      <c r="Q42" s="391">
        <f t="shared" si="17"/>
        <v>3855</v>
      </c>
      <c r="R42" s="391">
        <f t="shared" si="60"/>
        <v>35095920</v>
      </c>
      <c r="S42" s="391">
        <f>'Table 6 (Local Deduct Calc.)'!J43</f>
        <v>10156028</v>
      </c>
      <c r="T42" s="391">
        <f t="shared" si="18"/>
        <v>10156028</v>
      </c>
      <c r="U42" s="392">
        <f t="shared" si="19"/>
        <v>24939892</v>
      </c>
      <c r="V42" s="393">
        <f t="shared" si="53"/>
        <v>0.71060000000000001</v>
      </c>
      <c r="W42" s="394">
        <f t="shared" si="20"/>
        <v>0.28939999999999999</v>
      </c>
      <c r="X42" s="395">
        <f t="shared" si="21"/>
        <v>1572.6274388355528</v>
      </c>
      <c r="Y42" s="391">
        <f>'Table 7 Local Revenue'!AQ42</f>
        <v>21012488</v>
      </c>
      <c r="Z42" s="391">
        <f t="shared" si="22"/>
        <v>10856460</v>
      </c>
      <c r="AA42" s="277">
        <f t="shared" si="23"/>
        <v>0</v>
      </c>
      <c r="AB42" s="20">
        <f t="shared" si="24"/>
        <v>11932612.800000001</v>
      </c>
      <c r="AC42" s="20">
        <f t="shared" si="25"/>
        <v>10856460</v>
      </c>
      <c r="AD42" s="391">
        <f t="shared" si="26"/>
        <v>5403998.3812800003</v>
      </c>
      <c r="AE42" s="396">
        <f t="shared" si="27"/>
        <v>5452461.6187199997</v>
      </c>
      <c r="AF42" s="270">
        <f t="shared" si="28"/>
        <v>0.50219999999999998</v>
      </c>
      <c r="AG42" s="396">
        <f t="shared" si="29"/>
        <v>30392353.618719999</v>
      </c>
      <c r="AH42" s="20">
        <f t="shared" si="30"/>
        <v>4706</v>
      </c>
      <c r="AI42" s="396">
        <f>'Table 4 Level 3'!O40</f>
        <v>921636</v>
      </c>
      <c r="AJ42" s="20">
        <f t="shared" si="61"/>
        <v>142.71229482812015</v>
      </c>
      <c r="AK42" s="396">
        <f t="shared" si="31"/>
        <v>31313989.618719999</v>
      </c>
      <c r="AL42" s="20">
        <f t="shared" si="62"/>
        <v>4848.8680115701454</v>
      </c>
      <c r="AM42" s="519">
        <f>'Table 4 Level 3'!R40</f>
        <v>4394651.9639999997</v>
      </c>
      <c r="AN42" s="520">
        <f t="shared" si="33"/>
        <v>680.49736203158864</v>
      </c>
      <c r="AO42" s="396">
        <f t="shared" si="34"/>
        <v>34787005.582719997</v>
      </c>
      <c r="AP42" s="20">
        <f t="shared" si="35"/>
        <v>5386.6530787736137</v>
      </c>
      <c r="AQ42" s="270">
        <f t="shared" si="36"/>
        <v>0.62342869709292215</v>
      </c>
      <c r="AR42" s="397">
        <f t="shared" si="37"/>
        <v>40</v>
      </c>
      <c r="AS42" s="20">
        <f t="shared" si="38"/>
        <v>21012488</v>
      </c>
      <c r="AT42" s="20">
        <f t="shared" si="63"/>
        <v>3253.71</v>
      </c>
      <c r="AU42" s="397">
        <f t="shared" si="39"/>
        <v>32</v>
      </c>
      <c r="AV42" s="270">
        <f t="shared" si="40"/>
        <v>0.37657130290707785</v>
      </c>
      <c r="AW42" s="397">
        <f t="shared" si="41"/>
        <v>55799493.582719997</v>
      </c>
      <c r="AX42" s="398">
        <f t="shared" si="64"/>
        <v>8640.3675414555582</v>
      </c>
      <c r="AY42" s="397">
        <f t="shared" si="42"/>
        <v>40</v>
      </c>
      <c r="AZ42" s="20">
        <v>35425391.286192</v>
      </c>
      <c r="BA42" s="277">
        <f t="shared" si="65"/>
        <v>-638385.70347200334</v>
      </c>
      <c r="BB42" s="277">
        <f t="shared" si="43"/>
        <v>24939892</v>
      </c>
      <c r="BC42" s="277">
        <v>26115488.5</v>
      </c>
      <c r="BD42" s="277">
        <f t="shared" si="44"/>
        <v>-1175596.5</v>
      </c>
      <c r="BE42" s="277">
        <f t="shared" si="45"/>
        <v>5452461.6187199997</v>
      </c>
      <c r="BF42" s="277">
        <v>4967083.7861919999</v>
      </c>
      <c r="BG42" s="277">
        <f t="shared" si="46"/>
        <v>485377.83252799977</v>
      </c>
      <c r="BH42" s="277">
        <f t="shared" si="47"/>
        <v>21012488</v>
      </c>
      <c r="BI42" s="277">
        <v>17876173.5</v>
      </c>
      <c r="BJ42" s="277">
        <f t="shared" si="48"/>
        <v>3136314.5</v>
      </c>
      <c r="BK42" s="82">
        <f t="shared" si="49"/>
        <v>6458</v>
      </c>
      <c r="BL42" s="82">
        <v>6438</v>
      </c>
      <c r="BM42" s="955">
        <f t="shared" si="50"/>
        <v>20</v>
      </c>
      <c r="BN42" s="82">
        <f t="shared" si="51"/>
        <v>9104</v>
      </c>
      <c r="BO42" s="82">
        <v>9108</v>
      </c>
      <c r="BP42" s="955">
        <f t="shared" si="52"/>
        <v>-4</v>
      </c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</row>
    <row r="43" spans="1:148" s="5" customFormat="1">
      <c r="A43" s="103">
        <v>36</v>
      </c>
      <c r="B43" s="81" t="s">
        <v>137</v>
      </c>
      <c r="C43" s="599">
        <f>'Table 8 2.1.12 MFP Funded'!AD39</f>
        <v>41738</v>
      </c>
      <c r="D43" s="599">
        <f>'[7]Table 3 for Option A'!AD39</f>
        <v>36584</v>
      </c>
      <c r="E43" s="599">
        <f t="shared" si="54"/>
        <v>8048</v>
      </c>
      <c r="F43" s="599">
        <f>'[8]Table 3 Option A'!T47</f>
        <v>6353.5</v>
      </c>
      <c r="G43" s="599">
        <f t="shared" si="55"/>
        <v>381</v>
      </c>
      <c r="H43" s="599">
        <f>'[9]SWD_Option A'!Z41</f>
        <v>4478</v>
      </c>
      <c r="I43" s="599">
        <f t="shared" si="14"/>
        <v>6717</v>
      </c>
      <c r="J43" s="599">
        <f>'[9]GiftedTalented-Option a'!AA41</f>
        <v>2748</v>
      </c>
      <c r="K43" s="599">
        <f t="shared" si="15"/>
        <v>1649</v>
      </c>
      <c r="L43" s="13">
        <f t="shared" si="56"/>
        <v>0</v>
      </c>
      <c r="M43" s="65">
        <f t="shared" si="57"/>
        <v>0</v>
      </c>
      <c r="N43" s="13">
        <f t="shared" si="58"/>
        <v>0</v>
      </c>
      <c r="O43" s="13">
        <f t="shared" si="16"/>
        <v>16795</v>
      </c>
      <c r="P43" s="36">
        <f t="shared" si="59"/>
        <v>58533</v>
      </c>
      <c r="Q43" s="384">
        <f t="shared" si="17"/>
        <v>3855</v>
      </c>
      <c r="R43" s="384">
        <f t="shared" si="60"/>
        <v>225644715</v>
      </c>
      <c r="S43" s="384">
        <f>'Table 6 (Local Deduct Calc.)'!J44</f>
        <v>104208995</v>
      </c>
      <c r="T43" s="384">
        <f t="shared" si="18"/>
        <v>104208995</v>
      </c>
      <c r="U43" s="385">
        <f t="shared" si="19"/>
        <v>121435720</v>
      </c>
      <c r="V43" s="386">
        <f t="shared" si="53"/>
        <v>0.53820000000000001</v>
      </c>
      <c r="W43" s="386">
        <f t="shared" si="20"/>
        <v>0.46179999999999999</v>
      </c>
      <c r="X43" s="387">
        <f t="shared" si="21"/>
        <v>2496.7414586228379</v>
      </c>
      <c r="Y43" s="384">
        <f>'Table 7 Local Revenue'!AQ43</f>
        <v>208681564</v>
      </c>
      <c r="Z43" s="384">
        <f t="shared" si="22"/>
        <v>104472569</v>
      </c>
      <c r="AA43" s="276">
        <f t="shared" si="23"/>
        <v>0</v>
      </c>
      <c r="AB43" s="14">
        <f t="shared" si="24"/>
        <v>76719203.100000009</v>
      </c>
      <c r="AC43" s="14">
        <f t="shared" si="25"/>
        <v>76719203.100000009</v>
      </c>
      <c r="AD43" s="384">
        <f t="shared" si="26"/>
        <v>60937756.14551761</v>
      </c>
      <c r="AE43" s="388">
        <f t="shared" si="27"/>
        <v>15781446.954482399</v>
      </c>
      <c r="AF43" s="16">
        <f t="shared" si="28"/>
        <v>0.20569999999999999</v>
      </c>
      <c r="AG43" s="388">
        <f t="shared" si="29"/>
        <v>137217166.95448241</v>
      </c>
      <c r="AH43" s="14">
        <f t="shared" si="30"/>
        <v>3288</v>
      </c>
      <c r="AI43" s="388">
        <f>'Table 4 Level 3'!O41</f>
        <v>6476528</v>
      </c>
      <c r="AJ43" s="14">
        <f t="shared" si="61"/>
        <v>155.17101921510374</v>
      </c>
      <c r="AK43" s="388">
        <f t="shared" si="31"/>
        <v>143693694.95448241</v>
      </c>
      <c r="AL43" s="14">
        <f t="shared" si="62"/>
        <v>3442.7546828904692</v>
      </c>
      <c r="AM43" s="517">
        <f>'Table 4 Level 3'!R41</f>
        <v>37339241.695378512</v>
      </c>
      <c r="AN43" s="518">
        <f t="shared" si="33"/>
        <v>894.61022797878456</v>
      </c>
      <c r="AO43" s="388">
        <f>AG43+AM43</f>
        <v>174556408.64986092</v>
      </c>
      <c r="AP43" s="14">
        <f t="shared" si="35"/>
        <v>4182.1938916541503</v>
      </c>
      <c r="AQ43" s="16">
        <f t="shared" si="36"/>
        <v>0.49103788275335564</v>
      </c>
      <c r="AR43" s="389">
        <f t="shared" si="37"/>
        <v>57</v>
      </c>
      <c r="AS43" s="14">
        <f t="shared" si="38"/>
        <v>180928198.09999999</v>
      </c>
      <c r="AT43" s="14">
        <f t="shared" si="63"/>
        <v>4334.8599999999997</v>
      </c>
      <c r="AU43" s="389">
        <f t="shared" si="39"/>
        <v>14</v>
      </c>
      <c r="AV43" s="16">
        <f t="shared" si="40"/>
        <v>0.50896211724664442</v>
      </c>
      <c r="AW43" s="389">
        <f t="shared" si="41"/>
        <v>355484606.74986088</v>
      </c>
      <c r="AX43" s="390">
        <f t="shared" si="64"/>
        <v>8517.0493734692809</v>
      </c>
      <c r="AY43" s="389">
        <f t="shared" si="42"/>
        <v>45</v>
      </c>
      <c r="AZ43" s="14">
        <v>149242600.65349659</v>
      </c>
      <c r="BA43" s="276">
        <f t="shared" si="65"/>
        <v>25313807.996364325</v>
      </c>
      <c r="BB43" s="276">
        <f t="shared" si="43"/>
        <v>121435720</v>
      </c>
      <c r="BC43" s="276">
        <v>104578335</v>
      </c>
      <c r="BD43" s="276">
        <f t="shared" si="44"/>
        <v>16857385</v>
      </c>
      <c r="BE43" s="276">
        <f t="shared" si="45"/>
        <v>15781446.954482399</v>
      </c>
      <c r="BF43" s="276">
        <v>11486662.633202411</v>
      </c>
      <c r="BG43" s="276">
        <f t="shared" si="46"/>
        <v>4294784.3212799877</v>
      </c>
      <c r="BH43" s="276">
        <f t="shared" si="47"/>
        <v>208681564</v>
      </c>
      <c r="BI43" s="276">
        <v>197062873</v>
      </c>
      <c r="BJ43" s="276">
        <f t="shared" si="48"/>
        <v>11618691</v>
      </c>
      <c r="BK43" s="495">
        <f t="shared" si="49"/>
        <v>41738</v>
      </c>
      <c r="BL43" s="495">
        <v>37409</v>
      </c>
      <c r="BM43" s="957">
        <f t="shared" si="50"/>
        <v>4329</v>
      </c>
      <c r="BN43" s="495">
        <f t="shared" si="51"/>
        <v>58533</v>
      </c>
      <c r="BO43" s="495">
        <v>52639</v>
      </c>
      <c r="BP43" s="957">
        <f t="shared" si="52"/>
        <v>5894</v>
      </c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</row>
    <row r="44" spans="1:148" s="5" customFormat="1">
      <c r="A44" s="103">
        <v>37</v>
      </c>
      <c r="B44" s="81" t="s">
        <v>138</v>
      </c>
      <c r="C44" s="599">
        <f>'Table 8 2.1.12 MFP Funded'!AD40</f>
        <v>19261</v>
      </c>
      <c r="D44" s="599">
        <f>'[7]Table 3 for Option A'!AD40</f>
        <v>11303</v>
      </c>
      <c r="E44" s="599">
        <f t="shared" si="54"/>
        <v>2487</v>
      </c>
      <c r="F44" s="599">
        <f>'[8]Table 3 Option A'!T48</f>
        <v>4203</v>
      </c>
      <c r="G44" s="599">
        <f t="shared" si="55"/>
        <v>252</v>
      </c>
      <c r="H44" s="599">
        <f>'[9]SWD_Option A'!Z42</f>
        <v>2493</v>
      </c>
      <c r="I44" s="599">
        <f t="shared" si="14"/>
        <v>3740</v>
      </c>
      <c r="J44" s="599">
        <f>'[9]GiftedTalented-Option a'!AA42</f>
        <v>932</v>
      </c>
      <c r="K44" s="599">
        <f t="shared" si="15"/>
        <v>559</v>
      </c>
      <c r="L44" s="13">
        <f t="shared" si="56"/>
        <v>0</v>
      </c>
      <c r="M44" s="65">
        <f t="shared" si="57"/>
        <v>0</v>
      </c>
      <c r="N44" s="13">
        <f t="shared" si="58"/>
        <v>0</v>
      </c>
      <c r="O44" s="13">
        <f t="shared" si="16"/>
        <v>7038</v>
      </c>
      <c r="P44" s="13">
        <f t="shared" si="59"/>
        <v>26299</v>
      </c>
      <c r="Q44" s="384">
        <f t="shared" si="17"/>
        <v>3855</v>
      </c>
      <c r="R44" s="384">
        <f t="shared" si="60"/>
        <v>101382645</v>
      </c>
      <c r="S44" s="384">
        <f>'Table 6 (Local Deduct Calc.)'!J45</f>
        <v>20720291.5</v>
      </c>
      <c r="T44" s="384">
        <f t="shared" si="18"/>
        <v>20720291.5</v>
      </c>
      <c r="U44" s="385">
        <f t="shared" si="19"/>
        <v>80662353.5</v>
      </c>
      <c r="V44" s="386">
        <f t="shared" si="53"/>
        <v>0.79559999999999997</v>
      </c>
      <c r="W44" s="386">
        <f t="shared" si="20"/>
        <v>0.2044</v>
      </c>
      <c r="X44" s="387">
        <f t="shared" si="21"/>
        <v>1075.7640569025491</v>
      </c>
      <c r="Y44" s="384">
        <f>'Table 7 Local Revenue'!AQ44</f>
        <v>59737697.5</v>
      </c>
      <c r="Z44" s="384">
        <f t="shared" si="22"/>
        <v>39017406</v>
      </c>
      <c r="AA44" s="276">
        <f t="shared" si="23"/>
        <v>0</v>
      </c>
      <c r="AB44" s="14">
        <f t="shared" si="24"/>
        <v>34470099.300000004</v>
      </c>
      <c r="AC44" s="14">
        <f t="shared" si="25"/>
        <v>34470099.300000004</v>
      </c>
      <c r="AD44" s="384">
        <f t="shared" si="26"/>
        <v>12118583.870702401</v>
      </c>
      <c r="AE44" s="388">
        <f t="shared" si="27"/>
        <v>22351515.429297604</v>
      </c>
      <c r="AF44" s="16">
        <f t="shared" si="28"/>
        <v>0.64839999999999998</v>
      </c>
      <c r="AG44" s="388">
        <f t="shared" si="29"/>
        <v>103013868.9292976</v>
      </c>
      <c r="AH44" s="14">
        <f t="shared" si="30"/>
        <v>5348</v>
      </c>
      <c r="AI44" s="388">
        <f>'Table 4 Level 3'!O42</f>
        <v>2768782</v>
      </c>
      <c r="AJ44" s="14">
        <f t="shared" si="61"/>
        <v>143.75068791859198</v>
      </c>
      <c r="AK44" s="388">
        <f t="shared" si="31"/>
        <v>105782650.9292976</v>
      </c>
      <c r="AL44" s="14">
        <f t="shared" si="62"/>
        <v>5492.0643232073926</v>
      </c>
      <c r="AM44" s="517">
        <f>'Table 4 Level 3'!R42</f>
        <v>15355807.297</v>
      </c>
      <c r="AN44" s="518">
        <f t="shared" si="33"/>
        <v>797.24870448055663</v>
      </c>
      <c r="AO44" s="388">
        <f t="shared" si="34"/>
        <v>118369676.2262976</v>
      </c>
      <c r="AP44" s="14">
        <f t="shared" si="35"/>
        <v>6145.562339769358</v>
      </c>
      <c r="AQ44" s="16">
        <f t="shared" si="36"/>
        <v>0.68200985546037141</v>
      </c>
      <c r="AR44" s="389">
        <f t="shared" si="37"/>
        <v>25</v>
      </c>
      <c r="AS44" s="14">
        <f t="shared" si="38"/>
        <v>55190390.799999997</v>
      </c>
      <c r="AT44" s="14">
        <f t="shared" si="63"/>
        <v>2865.4</v>
      </c>
      <c r="AU44" s="389">
        <f t="shared" si="39"/>
        <v>48</v>
      </c>
      <c r="AV44" s="16">
        <f t="shared" si="40"/>
        <v>0.31799014453962859</v>
      </c>
      <c r="AW44" s="389">
        <f t="shared" si="41"/>
        <v>173560067.0262976</v>
      </c>
      <c r="AX44" s="390">
        <f t="shared" si="64"/>
        <v>9010.9582589843521</v>
      </c>
      <c r="AY44" s="389">
        <f t="shared" si="42"/>
        <v>24</v>
      </c>
      <c r="AZ44" s="14">
        <v>116712950.68237481</v>
      </c>
      <c r="BA44" s="276">
        <f t="shared" si="65"/>
        <v>1656725.5439227968</v>
      </c>
      <c r="BB44" s="276">
        <f t="shared" si="43"/>
        <v>80662353.5</v>
      </c>
      <c r="BC44" s="276">
        <v>79519232</v>
      </c>
      <c r="BD44" s="276">
        <f t="shared" si="44"/>
        <v>1143121.5</v>
      </c>
      <c r="BE44" s="276">
        <f t="shared" si="45"/>
        <v>22351515.429297604</v>
      </c>
      <c r="BF44" s="276">
        <v>22117840.682374805</v>
      </c>
      <c r="BG44" s="276">
        <f t="shared" si="46"/>
        <v>233674.74692279845</v>
      </c>
      <c r="BH44" s="276">
        <f t="shared" si="47"/>
        <v>59737697.5</v>
      </c>
      <c r="BI44" s="276">
        <v>56194552</v>
      </c>
      <c r="BJ44" s="276">
        <f t="shared" si="48"/>
        <v>3543145.5</v>
      </c>
      <c r="BK44" s="81">
        <f t="shared" si="49"/>
        <v>19261</v>
      </c>
      <c r="BL44" s="81">
        <v>19053</v>
      </c>
      <c r="BM44" s="954">
        <f t="shared" si="50"/>
        <v>208</v>
      </c>
      <c r="BN44" s="81">
        <f t="shared" si="51"/>
        <v>26299</v>
      </c>
      <c r="BO44" s="81">
        <v>25839</v>
      </c>
      <c r="BP44" s="954">
        <f t="shared" si="52"/>
        <v>460</v>
      </c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</row>
    <row r="45" spans="1:148" s="5" customFormat="1">
      <c r="A45" s="103">
        <v>38</v>
      </c>
      <c r="B45" s="81" t="s">
        <v>139</v>
      </c>
      <c r="C45" s="599">
        <f>'Table 8 2.1.12 MFP Funded'!AD41</f>
        <v>3759</v>
      </c>
      <c r="D45" s="599">
        <f>'[7]Table 3 for Option A'!AD41</f>
        <v>2446</v>
      </c>
      <c r="E45" s="599">
        <f t="shared" si="54"/>
        <v>538</v>
      </c>
      <c r="F45" s="599">
        <f>'[8]Table 3 Option A'!T49</f>
        <v>807</v>
      </c>
      <c r="G45" s="599">
        <f t="shared" si="55"/>
        <v>48</v>
      </c>
      <c r="H45" s="599">
        <f>'[9]SWD_Option A'!Z43</f>
        <v>454</v>
      </c>
      <c r="I45" s="599">
        <f t="shared" si="14"/>
        <v>681</v>
      </c>
      <c r="J45" s="599">
        <f>'[9]GiftedTalented-Option a'!AA43</f>
        <v>179</v>
      </c>
      <c r="K45" s="599">
        <f t="shared" si="15"/>
        <v>107</v>
      </c>
      <c r="L45" s="13">
        <f t="shared" si="56"/>
        <v>3741</v>
      </c>
      <c r="M45" s="65">
        <f t="shared" si="57"/>
        <v>9.9760000000000001E-2</v>
      </c>
      <c r="N45" s="13">
        <f t="shared" si="58"/>
        <v>375</v>
      </c>
      <c r="O45" s="13">
        <f t="shared" si="16"/>
        <v>1749</v>
      </c>
      <c r="P45" s="13">
        <f t="shared" si="59"/>
        <v>5508</v>
      </c>
      <c r="Q45" s="384">
        <f t="shared" si="17"/>
        <v>3855</v>
      </c>
      <c r="R45" s="384">
        <f t="shared" si="60"/>
        <v>21233340</v>
      </c>
      <c r="S45" s="384">
        <f>'Table 6 (Local Deduct Calc.)'!J46</f>
        <v>23579939.5</v>
      </c>
      <c r="T45" s="384">
        <f t="shared" si="18"/>
        <v>15925005</v>
      </c>
      <c r="U45" s="385">
        <f t="shared" si="19"/>
        <v>5308335</v>
      </c>
      <c r="V45" s="386">
        <f t="shared" si="53"/>
        <v>0.25</v>
      </c>
      <c r="W45" s="386">
        <f t="shared" si="20"/>
        <v>0.75</v>
      </c>
      <c r="X45" s="387">
        <f t="shared" si="21"/>
        <v>4236.5003990422983</v>
      </c>
      <c r="Y45" s="384">
        <f>'Table 7 Local Revenue'!AQ45</f>
        <v>43099251.5</v>
      </c>
      <c r="Z45" s="384">
        <f t="shared" si="22"/>
        <v>27174246.5</v>
      </c>
      <c r="AA45" s="276">
        <f t="shared" si="23"/>
        <v>0</v>
      </c>
      <c r="AB45" s="14">
        <f t="shared" si="24"/>
        <v>7219335.6000000006</v>
      </c>
      <c r="AC45" s="14">
        <f t="shared" si="25"/>
        <v>7219335.6000000006</v>
      </c>
      <c r="AD45" s="384">
        <f t="shared" si="26"/>
        <v>9312942.9240000006</v>
      </c>
      <c r="AE45" s="388">
        <f t="shared" si="27"/>
        <v>0</v>
      </c>
      <c r="AF45" s="16">
        <f t="shared" si="28"/>
        <v>0</v>
      </c>
      <c r="AG45" s="388">
        <f t="shared" si="29"/>
        <v>5308335</v>
      </c>
      <c r="AH45" s="14">
        <f t="shared" si="30"/>
        <v>1412</v>
      </c>
      <c r="AI45" s="388">
        <f>'Table 4 Level 3'!O43</f>
        <v>3325795</v>
      </c>
      <c r="AJ45" s="14">
        <f t="shared" si="61"/>
        <v>884.75525405693008</v>
      </c>
      <c r="AK45" s="388">
        <f t="shared" si="31"/>
        <v>8634130</v>
      </c>
      <c r="AL45" s="14">
        <f t="shared" si="62"/>
        <v>2296.9220537376964</v>
      </c>
      <c r="AM45" s="517">
        <f>'Table 4 Level 3'!R43</f>
        <v>6445132.3120000008</v>
      </c>
      <c r="AN45" s="518">
        <f t="shared" si="33"/>
        <v>1714.5869412077682</v>
      </c>
      <c r="AO45" s="388">
        <f t="shared" si="34"/>
        <v>11753467.312000001</v>
      </c>
      <c r="AP45" s="14">
        <f t="shared" si="35"/>
        <v>3126.7537408885346</v>
      </c>
      <c r="AQ45" s="16">
        <f t="shared" si="36"/>
        <v>0.33679672206455236</v>
      </c>
      <c r="AR45" s="389">
        <f t="shared" si="37"/>
        <v>65</v>
      </c>
      <c r="AS45" s="14">
        <f t="shared" si="38"/>
        <v>23144340.600000001</v>
      </c>
      <c r="AT45" s="14">
        <f t="shared" si="63"/>
        <v>6157.05</v>
      </c>
      <c r="AU45" s="389">
        <f t="shared" si="39"/>
        <v>3</v>
      </c>
      <c r="AV45" s="16">
        <f t="shared" si="40"/>
        <v>0.66320327793544764</v>
      </c>
      <c r="AW45" s="389">
        <f t="shared" si="41"/>
        <v>34897807.912</v>
      </c>
      <c r="AX45" s="390">
        <f t="shared" si="64"/>
        <v>9283.8009874966756</v>
      </c>
      <c r="AY45" s="389">
        <f t="shared" si="42"/>
        <v>15</v>
      </c>
      <c r="AZ45" s="14">
        <v>12028311.25</v>
      </c>
      <c r="BA45" s="276">
        <f t="shared" si="65"/>
        <v>-274843.93799999915</v>
      </c>
      <c r="BB45" s="276">
        <f t="shared" si="43"/>
        <v>5308335</v>
      </c>
      <c r="BC45" s="276">
        <v>5218706.25</v>
      </c>
      <c r="BD45" s="276">
        <f t="shared" si="44"/>
        <v>89628.75</v>
      </c>
      <c r="BE45" s="276">
        <f t="shared" si="45"/>
        <v>0</v>
      </c>
      <c r="BF45" s="276">
        <v>0</v>
      </c>
      <c r="BG45" s="276">
        <f t="shared" si="46"/>
        <v>0</v>
      </c>
      <c r="BH45" s="276">
        <f t="shared" si="47"/>
        <v>43099251.5</v>
      </c>
      <c r="BI45" s="276">
        <v>36585331</v>
      </c>
      <c r="BJ45" s="276">
        <f t="shared" si="48"/>
        <v>6513920.5</v>
      </c>
      <c r="BK45" s="81">
        <f t="shared" si="49"/>
        <v>3759</v>
      </c>
      <c r="BL45" s="81">
        <v>3728</v>
      </c>
      <c r="BM45" s="954">
        <f t="shared" si="50"/>
        <v>31</v>
      </c>
      <c r="BN45" s="81">
        <f t="shared" si="51"/>
        <v>5508</v>
      </c>
      <c r="BO45" s="81">
        <v>5415</v>
      </c>
      <c r="BP45" s="954">
        <f t="shared" si="52"/>
        <v>93</v>
      </c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</row>
    <row r="46" spans="1:148" s="5" customFormat="1">
      <c r="A46" s="103">
        <v>39</v>
      </c>
      <c r="B46" s="81" t="s">
        <v>140</v>
      </c>
      <c r="C46" s="599">
        <f>'Table 8 2.1.12 MFP Funded'!AD42</f>
        <v>2872</v>
      </c>
      <c r="D46" s="599">
        <f>'[7]Table 3 for Option A'!AD42</f>
        <v>2435</v>
      </c>
      <c r="E46" s="599">
        <f t="shared" si="54"/>
        <v>536</v>
      </c>
      <c r="F46" s="599">
        <f>'[8]Table 3 Option A'!T50</f>
        <v>840</v>
      </c>
      <c r="G46" s="599">
        <f t="shared" si="55"/>
        <v>50</v>
      </c>
      <c r="H46" s="599">
        <f>'[9]SWD_Option A'!Z44</f>
        <v>507</v>
      </c>
      <c r="I46" s="599">
        <f t="shared" si="14"/>
        <v>761</v>
      </c>
      <c r="J46" s="599">
        <f>'[9]GiftedTalented-Option a'!AA44</f>
        <v>34</v>
      </c>
      <c r="K46" s="599">
        <f t="shared" si="15"/>
        <v>20</v>
      </c>
      <c r="L46" s="13">
        <f t="shared" si="56"/>
        <v>4628</v>
      </c>
      <c r="M46" s="65">
        <f t="shared" si="57"/>
        <v>0.12341000000000001</v>
      </c>
      <c r="N46" s="13">
        <f t="shared" si="58"/>
        <v>354</v>
      </c>
      <c r="O46" s="13">
        <f t="shared" si="16"/>
        <v>1721</v>
      </c>
      <c r="P46" s="13">
        <f t="shared" si="59"/>
        <v>4593</v>
      </c>
      <c r="Q46" s="384">
        <f t="shared" si="17"/>
        <v>3855</v>
      </c>
      <c r="R46" s="384">
        <f t="shared" si="60"/>
        <v>17706015</v>
      </c>
      <c r="S46" s="384">
        <f>'Table 6 (Local Deduct Calc.)'!J47</f>
        <v>8468789</v>
      </c>
      <c r="T46" s="384">
        <f t="shared" si="18"/>
        <v>8468789</v>
      </c>
      <c r="U46" s="385">
        <f t="shared" si="19"/>
        <v>9237226</v>
      </c>
      <c r="V46" s="386">
        <f t="shared" si="53"/>
        <v>0.52170000000000005</v>
      </c>
      <c r="W46" s="386">
        <f t="shared" si="20"/>
        <v>0.4783</v>
      </c>
      <c r="X46" s="387">
        <f t="shared" si="21"/>
        <v>2948.7426880222843</v>
      </c>
      <c r="Y46" s="384">
        <f>'Table 7 Local Revenue'!AQ46</f>
        <v>11927659</v>
      </c>
      <c r="Z46" s="384">
        <f t="shared" si="22"/>
        <v>3458870</v>
      </c>
      <c r="AA46" s="276">
        <f t="shared" si="23"/>
        <v>0</v>
      </c>
      <c r="AB46" s="14">
        <f t="shared" si="24"/>
        <v>6020045.1000000006</v>
      </c>
      <c r="AC46" s="14">
        <f t="shared" si="25"/>
        <v>3458870</v>
      </c>
      <c r="AD46" s="384">
        <f t="shared" si="26"/>
        <v>2845529.3361199996</v>
      </c>
      <c r="AE46" s="388">
        <f t="shared" si="27"/>
        <v>613340.66388000036</v>
      </c>
      <c r="AF46" s="16">
        <f t="shared" si="28"/>
        <v>0.17730000000000001</v>
      </c>
      <c r="AG46" s="388">
        <f t="shared" si="29"/>
        <v>9850566.6638799999</v>
      </c>
      <c r="AH46" s="14">
        <f t="shared" si="30"/>
        <v>3430</v>
      </c>
      <c r="AI46" s="388">
        <f>'Table 4 Level 3'!O44</f>
        <v>754558</v>
      </c>
      <c r="AJ46" s="14">
        <f t="shared" si="61"/>
        <v>262.72910863509748</v>
      </c>
      <c r="AK46" s="388">
        <f t="shared" si="31"/>
        <v>10605124.66388</v>
      </c>
      <c r="AL46" s="14">
        <f t="shared" si="62"/>
        <v>3692.59215316156</v>
      </c>
      <c r="AM46" s="517">
        <f>'Table 4 Level 3'!R44</f>
        <v>2992715.7053389833</v>
      </c>
      <c r="AN46" s="518">
        <f t="shared" si="33"/>
        <v>1042.0319308283367</v>
      </c>
      <c r="AO46" s="388">
        <f t="shared" si="34"/>
        <v>12843282.369218983</v>
      </c>
      <c r="AP46" s="14">
        <f t="shared" si="35"/>
        <v>4471.8949753547986</v>
      </c>
      <c r="AQ46" s="16">
        <f t="shared" si="36"/>
        <v>0.51848180405361499</v>
      </c>
      <c r="AR46" s="389">
        <f t="shared" si="37"/>
        <v>54</v>
      </c>
      <c r="AS46" s="14">
        <f t="shared" si="38"/>
        <v>11927659</v>
      </c>
      <c r="AT46" s="14">
        <f t="shared" si="63"/>
        <v>4153.08</v>
      </c>
      <c r="AU46" s="389">
        <f t="shared" si="39"/>
        <v>16</v>
      </c>
      <c r="AV46" s="16">
        <f t="shared" si="40"/>
        <v>0.48151819594638501</v>
      </c>
      <c r="AW46" s="389">
        <f t="shared" si="41"/>
        <v>24770941.369218983</v>
      </c>
      <c r="AX46" s="390">
        <f t="shared" si="64"/>
        <v>8624.9795853826545</v>
      </c>
      <c r="AY46" s="389">
        <f t="shared" si="42"/>
        <v>41</v>
      </c>
      <c r="AZ46" s="14">
        <v>12418883.398632459</v>
      </c>
      <c r="BA46" s="276">
        <f t="shared" si="65"/>
        <v>424398.97058652341</v>
      </c>
      <c r="BB46" s="276">
        <f t="shared" si="43"/>
        <v>9237226</v>
      </c>
      <c r="BC46" s="276">
        <v>8960599</v>
      </c>
      <c r="BD46" s="276">
        <f t="shared" si="44"/>
        <v>276627</v>
      </c>
      <c r="BE46" s="276">
        <f t="shared" si="45"/>
        <v>613340.66388000036</v>
      </c>
      <c r="BF46" s="276">
        <v>570562.1158400001</v>
      </c>
      <c r="BG46" s="276">
        <f t="shared" si="46"/>
        <v>42778.548040000256</v>
      </c>
      <c r="BH46" s="276">
        <f t="shared" si="47"/>
        <v>11927659</v>
      </c>
      <c r="BI46" s="276">
        <v>12092907</v>
      </c>
      <c r="BJ46" s="276">
        <f t="shared" si="48"/>
        <v>-165248</v>
      </c>
      <c r="BK46" s="581">
        <f t="shared" si="49"/>
        <v>2872</v>
      </c>
      <c r="BL46" s="581">
        <v>2817</v>
      </c>
      <c r="BM46" s="956">
        <f t="shared" si="50"/>
        <v>55</v>
      </c>
      <c r="BN46" s="581">
        <f t="shared" si="51"/>
        <v>4593</v>
      </c>
      <c r="BO46" s="581">
        <v>4540</v>
      </c>
      <c r="BP46" s="956">
        <f t="shared" si="52"/>
        <v>53</v>
      </c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</row>
    <row r="47" spans="1:148" s="21" customFormat="1">
      <c r="A47" s="104">
        <v>40</v>
      </c>
      <c r="B47" s="82" t="s">
        <v>141</v>
      </c>
      <c r="C47" s="781">
        <f>'Table 8 2.1.12 MFP Funded'!AD43</f>
        <v>22989</v>
      </c>
      <c r="D47" s="781">
        <f>'[7]Table 3 for Option A'!AD43</f>
        <v>16227</v>
      </c>
      <c r="E47" s="781">
        <f t="shared" si="54"/>
        <v>3570</v>
      </c>
      <c r="F47" s="781">
        <f>'[8]Table 3 Option A'!T51</f>
        <v>9886</v>
      </c>
      <c r="G47" s="781">
        <f t="shared" si="55"/>
        <v>593</v>
      </c>
      <c r="H47" s="781">
        <f>'[9]SWD_Option A'!Z45</f>
        <v>2605</v>
      </c>
      <c r="I47" s="781">
        <f t="shared" si="14"/>
        <v>3908</v>
      </c>
      <c r="J47" s="781">
        <f>'[9]GiftedTalented-Option a'!AA45</f>
        <v>637</v>
      </c>
      <c r="K47" s="781">
        <f t="shared" si="15"/>
        <v>382</v>
      </c>
      <c r="L47" s="19">
        <f t="shared" si="56"/>
        <v>0</v>
      </c>
      <c r="M47" s="66">
        <f t="shared" si="57"/>
        <v>0</v>
      </c>
      <c r="N47" s="19">
        <f t="shared" si="58"/>
        <v>0</v>
      </c>
      <c r="O47" s="19">
        <f t="shared" si="16"/>
        <v>8453</v>
      </c>
      <c r="P47" s="13">
        <f t="shared" si="59"/>
        <v>31442</v>
      </c>
      <c r="Q47" s="391">
        <f t="shared" si="17"/>
        <v>3855</v>
      </c>
      <c r="R47" s="391">
        <f t="shared" si="60"/>
        <v>121208910</v>
      </c>
      <c r="S47" s="391">
        <f>'Table 6 (Local Deduct Calc.)'!J48</f>
        <v>31480961.5</v>
      </c>
      <c r="T47" s="391">
        <f t="shared" si="18"/>
        <v>31480961.5</v>
      </c>
      <c r="U47" s="392">
        <f t="shared" si="19"/>
        <v>89727948.5</v>
      </c>
      <c r="V47" s="393">
        <f t="shared" si="53"/>
        <v>0.74029999999999996</v>
      </c>
      <c r="W47" s="394">
        <f t="shared" si="20"/>
        <v>0.25969999999999999</v>
      </c>
      <c r="X47" s="395">
        <f t="shared" si="21"/>
        <v>1369.3923833137587</v>
      </c>
      <c r="Y47" s="391">
        <f>'Table 7 Local Revenue'!AQ47</f>
        <v>66859423.5</v>
      </c>
      <c r="Z47" s="391">
        <f t="shared" si="22"/>
        <v>35378462</v>
      </c>
      <c r="AA47" s="277">
        <f t="shared" si="23"/>
        <v>0</v>
      </c>
      <c r="AB47" s="20">
        <f t="shared" si="24"/>
        <v>41211029.400000006</v>
      </c>
      <c r="AC47" s="20">
        <f t="shared" si="25"/>
        <v>35378462</v>
      </c>
      <c r="AD47" s="391">
        <f t="shared" si="26"/>
        <v>15802992.920007998</v>
      </c>
      <c r="AE47" s="396">
        <f t="shared" si="27"/>
        <v>19575469.079992004</v>
      </c>
      <c r="AF47" s="270">
        <f t="shared" si="28"/>
        <v>0.55330000000000001</v>
      </c>
      <c r="AG47" s="396">
        <f t="shared" si="29"/>
        <v>109303417.579992</v>
      </c>
      <c r="AH47" s="20">
        <f t="shared" si="30"/>
        <v>4755</v>
      </c>
      <c r="AI47" s="396">
        <f>'Table 4 Level 3'!O45</f>
        <v>3280814</v>
      </c>
      <c r="AJ47" s="20">
        <f t="shared" si="61"/>
        <v>142.71234068467527</v>
      </c>
      <c r="AK47" s="396">
        <f t="shared" si="31"/>
        <v>112584231.579992</v>
      </c>
      <c r="AL47" s="20">
        <f t="shared" si="62"/>
        <v>4897.3087815908475</v>
      </c>
      <c r="AM47" s="519">
        <f>'Table 4 Level 3'!R45</f>
        <v>19375469.545000002</v>
      </c>
      <c r="AN47" s="520">
        <f t="shared" si="33"/>
        <v>842.81480468919926</v>
      </c>
      <c r="AO47" s="396">
        <f t="shared" si="34"/>
        <v>128678887.124992</v>
      </c>
      <c r="AP47" s="20">
        <f t="shared" si="35"/>
        <v>5597.4112455953718</v>
      </c>
      <c r="AQ47" s="270">
        <f t="shared" si="36"/>
        <v>0.65807506832651019</v>
      </c>
      <c r="AR47" s="397">
        <f t="shared" si="37"/>
        <v>32</v>
      </c>
      <c r="AS47" s="20">
        <f t="shared" si="38"/>
        <v>66859423.5</v>
      </c>
      <c r="AT47" s="20">
        <f t="shared" si="63"/>
        <v>2908.32</v>
      </c>
      <c r="AU47" s="397">
        <f t="shared" si="39"/>
        <v>45</v>
      </c>
      <c r="AV47" s="270">
        <f t="shared" si="40"/>
        <v>0.3419249316734897</v>
      </c>
      <c r="AW47" s="397">
        <f t="shared" si="41"/>
        <v>195538310.62499201</v>
      </c>
      <c r="AX47" s="398">
        <f t="shared" si="64"/>
        <v>8505.7336389139164</v>
      </c>
      <c r="AY47" s="397">
        <f t="shared" si="42"/>
        <v>46</v>
      </c>
      <c r="AZ47" s="20">
        <v>125169112.865096</v>
      </c>
      <c r="BA47" s="277">
        <f t="shared" si="65"/>
        <v>3509774.2598959953</v>
      </c>
      <c r="BB47" s="277">
        <f t="shared" si="43"/>
        <v>89727948.5</v>
      </c>
      <c r="BC47" s="277">
        <v>87762600</v>
      </c>
      <c r="BD47" s="277">
        <f t="shared" si="44"/>
        <v>1965348.5</v>
      </c>
      <c r="BE47" s="277">
        <f t="shared" si="45"/>
        <v>19575469.079992004</v>
      </c>
      <c r="BF47" s="277">
        <v>18357668.865095999</v>
      </c>
      <c r="BG47" s="277">
        <f t="shared" si="46"/>
        <v>1217800.2148960046</v>
      </c>
      <c r="BH47" s="277">
        <f t="shared" si="47"/>
        <v>66859423.5</v>
      </c>
      <c r="BI47" s="277">
        <v>64736027</v>
      </c>
      <c r="BJ47" s="277">
        <f t="shared" si="48"/>
        <v>2123396.5</v>
      </c>
      <c r="BK47" s="82">
        <f t="shared" si="49"/>
        <v>22989</v>
      </c>
      <c r="BL47" s="82">
        <v>22762</v>
      </c>
      <c r="BM47" s="955">
        <f t="shared" si="50"/>
        <v>227</v>
      </c>
      <c r="BN47" s="82">
        <f t="shared" si="51"/>
        <v>31442</v>
      </c>
      <c r="BO47" s="82">
        <v>30874</v>
      </c>
      <c r="BP47" s="955">
        <f t="shared" si="52"/>
        <v>568</v>
      </c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 s="5" customFormat="1">
      <c r="A48" s="103">
        <v>41</v>
      </c>
      <c r="B48" s="81" t="s">
        <v>142</v>
      </c>
      <c r="C48" s="599">
        <f>'Table 8 2.1.12 MFP Funded'!AD44</f>
        <v>1404</v>
      </c>
      <c r="D48" s="599">
        <f>'[7]Table 3 for Option A'!AD44</f>
        <v>1226</v>
      </c>
      <c r="E48" s="599">
        <f t="shared" si="54"/>
        <v>270</v>
      </c>
      <c r="F48" s="599">
        <f>'[8]Table 3 Option A'!T52</f>
        <v>773.5</v>
      </c>
      <c r="G48" s="599">
        <f t="shared" si="55"/>
        <v>46</v>
      </c>
      <c r="H48" s="599">
        <f>'[9]SWD_Option A'!Z46</f>
        <v>128</v>
      </c>
      <c r="I48" s="599">
        <f t="shared" si="14"/>
        <v>192</v>
      </c>
      <c r="J48" s="599">
        <f>'[9]GiftedTalented-Option a'!AA46</f>
        <v>3</v>
      </c>
      <c r="K48" s="599">
        <f t="shared" si="15"/>
        <v>2</v>
      </c>
      <c r="L48" s="13">
        <f t="shared" si="56"/>
        <v>6096</v>
      </c>
      <c r="M48" s="65">
        <f t="shared" si="57"/>
        <v>0.16256000000000001</v>
      </c>
      <c r="N48" s="13">
        <f t="shared" si="58"/>
        <v>228</v>
      </c>
      <c r="O48" s="13">
        <f t="shared" si="16"/>
        <v>738</v>
      </c>
      <c r="P48" s="36">
        <f t="shared" si="59"/>
        <v>2142</v>
      </c>
      <c r="Q48" s="384">
        <f t="shared" si="17"/>
        <v>3855</v>
      </c>
      <c r="R48" s="384">
        <f t="shared" si="60"/>
        <v>8257410</v>
      </c>
      <c r="S48" s="384">
        <f>'Table 6 (Local Deduct Calc.)'!J49</f>
        <v>9426982</v>
      </c>
      <c r="T48" s="384">
        <f t="shared" si="18"/>
        <v>6193057.5</v>
      </c>
      <c r="U48" s="385">
        <f t="shared" si="19"/>
        <v>2064352.5</v>
      </c>
      <c r="V48" s="386">
        <f t="shared" si="53"/>
        <v>0.25</v>
      </c>
      <c r="W48" s="386">
        <f t="shared" si="20"/>
        <v>0.75</v>
      </c>
      <c r="X48" s="387">
        <f t="shared" si="21"/>
        <v>4411.0096153846152</v>
      </c>
      <c r="Y48" s="384">
        <f>'Table 7 Local Revenue'!AQ48</f>
        <v>24584879</v>
      </c>
      <c r="Z48" s="384">
        <f t="shared" si="22"/>
        <v>18391821.5</v>
      </c>
      <c r="AA48" s="276">
        <f t="shared" si="23"/>
        <v>0</v>
      </c>
      <c r="AB48" s="14">
        <f t="shared" si="24"/>
        <v>2807519.4000000004</v>
      </c>
      <c r="AC48" s="14">
        <f t="shared" si="25"/>
        <v>2807519.4000000004</v>
      </c>
      <c r="AD48" s="384">
        <f t="shared" si="26"/>
        <v>3621700.0260000005</v>
      </c>
      <c r="AE48" s="388">
        <f t="shared" si="27"/>
        <v>0</v>
      </c>
      <c r="AF48" s="16">
        <f t="shared" si="28"/>
        <v>0</v>
      </c>
      <c r="AG48" s="388">
        <f t="shared" si="29"/>
        <v>2064352.5</v>
      </c>
      <c r="AH48" s="14">
        <f t="shared" si="30"/>
        <v>1470</v>
      </c>
      <c r="AI48" s="388">
        <f>'Table 4 Level 3'!O46</f>
        <v>200368</v>
      </c>
      <c r="AJ48" s="14">
        <f t="shared" si="61"/>
        <v>142.71225071225072</v>
      </c>
      <c r="AK48" s="388">
        <f t="shared" si="31"/>
        <v>2264720.5</v>
      </c>
      <c r="AL48" s="14">
        <f t="shared" si="62"/>
        <v>1613.0487891737891</v>
      </c>
      <c r="AM48" s="517">
        <f>'Table 4 Level 3'!R46</f>
        <v>1444355.014</v>
      </c>
      <c r="AN48" s="518">
        <f t="shared" si="33"/>
        <v>1028.7428874643874</v>
      </c>
      <c r="AO48" s="388">
        <f t="shared" si="34"/>
        <v>3508707.514</v>
      </c>
      <c r="AP48" s="14">
        <f t="shared" si="35"/>
        <v>2499.079425925926</v>
      </c>
      <c r="AQ48" s="16">
        <f t="shared" si="36"/>
        <v>0.28048826758412848</v>
      </c>
      <c r="AR48" s="389">
        <f t="shared" si="37"/>
        <v>67</v>
      </c>
      <c r="AS48" s="14">
        <f t="shared" si="38"/>
        <v>9000576.9000000004</v>
      </c>
      <c r="AT48" s="14">
        <f t="shared" si="63"/>
        <v>6410.67</v>
      </c>
      <c r="AU48" s="389">
        <f t="shared" si="39"/>
        <v>1</v>
      </c>
      <c r="AV48" s="16">
        <f t="shared" si="40"/>
        <v>0.71951173241587152</v>
      </c>
      <c r="AW48" s="389">
        <f t="shared" si="41"/>
        <v>12509284.414000001</v>
      </c>
      <c r="AX48" s="390">
        <f t="shared" si="64"/>
        <v>8909.7467336182344</v>
      </c>
      <c r="AY48" s="389">
        <f t="shared" si="42"/>
        <v>26</v>
      </c>
      <c r="AZ48" s="14">
        <v>4494177</v>
      </c>
      <c r="BA48" s="276">
        <f t="shared" si="65"/>
        <v>-985469.48600000003</v>
      </c>
      <c r="BB48" s="276">
        <f t="shared" si="43"/>
        <v>2064352.5</v>
      </c>
      <c r="BC48" s="276">
        <v>3027453</v>
      </c>
      <c r="BD48" s="276">
        <f t="shared" si="44"/>
        <v>-963100.5</v>
      </c>
      <c r="BE48" s="276">
        <f t="shared" si="45"/>
        <v>0</v>
      </c>
      <c r="BF48" s="276">
        <v>0</v>
      </c>
      <c r="BG48" s="276">
        <f t="shared" si="46"/>
        <v>0</v>
      </c>
      <c r="BH48" s="276">
        <f t="shared" si="47"/>
        <v>24584879</v>
      </c>
      <c r="BI48" s="276">
        <v>21464123</v>
      </c>
      <c r="BJ48" s="276">
        <f t="shared" si="48"/>
        <v>3120756</v>
      </c>
      <c r="BK48" s="81">
        <f t="shared" si="49"/>
        <v>1404</v>
      </c>
      <c r="BL48" s="81">
        <v>1434</v>
      </c>
      <c r="BM48" s="954">
        <f t="shared" si="50"/>
        <v>-30</v>
      </c>
      <c r="BN48" s="81">
        <f t="shared" si="51"/>
        <v>2142</v>
      </c>
      <c r="BO48" s="81">
        <v>2194</v>
      </c>
      <c r="BP48" s="954">
        <f t="shared" si="52"/>
        <v>-52</v>
      </c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</row>
    <row r="49" spans="1:148" s="5" customFormat="1">
      <c r="A49" s="103">
        <v>42</v>
      </c>
      <c r="B49" s="81" t="s">
        <v>143</v>
      </c>
      <c r="C49" s="599">
        <f>'Table 8 2.1.12 MFP Funded'!AD45</f>
        <v>3435</v>
      </c>
      <c r="D49" s="599">
        <f>'[7]Table 3 for Option A'!AD45</f>
        <v>2857</v>
      </c>
      <c r="E49" s="599">
        <f t="shared" si="54"/>
        <v>629</v>
      </c>
      <c r="F49" s="599">
        <f>'[8]Table 3 Option A'!T53</f>
        <v>1024</v>
      </c>
      <c r="G49" s="599">
        <f t="shared" si="55"/>
        <v>61</v>
      </c>
      <c r="H49" s="599">
        <f>'[9]SWD_Option A'!Z47</f>
        <v>404</v>
      </c>
      <c r="I49" s="599">
        <f t="shared" si="14"/>
        <v>606</v>
      </c>
      <c r="J49" s="599">
        <f>'[9]GiftedTalented-Option a'!AA47</f>
        <v>52</v>
      </c>
      <c r="K49" s="599">
        <f t="shared" si="15"/>
        <v>31</v>
      </c>
      <c r="L49" s="13">
        <f t="shared" si="56"/>
        <v>4065</v>
      </c>
      <c r="M49" s="65">
        <f t="shared" si="57"/>
        <v>0.1084</v>
      </c>
      <c r="N49" s="13">
        <f t="shared" si="58"/>
        <v>372</v>
      </c>
      <c r="O49" s="13">
        <f t="shared" si="16"/>
        <v>1699</v>
      </c>
      <c r="P49" s="13">
        <f t="shared" si="59"/>
        <v>5134</v>
      </c>
      <c r="Q49" s="384">
        <f t="shared" si="17"/>
        <v>3855</v>
      </c>
      <c r="R49" s="384">
        <f t="shared" si="60"/>
        <v>19791570</v>
      </c>
      <c r="S49" s="384">
        <f>'Table 6 (Local Deduct Calc.)'!J50</f>
        <v>5148678.5</v>
      </c>
      <c r="T49" s="384">
        <f t="shared" si="18"/>
        <v>5148678.5</v>
      </c>
      <c r="U49" s="385">
        <f t="shared" si="19"/>
        <v>14642891.5</v>
      </c>
      <c r="V49" s="386">
        <f t="shared" si="53"/>
        <v>0.7399</v>
      </c>
      <c r="W49" s="386">
        <f t="shared" si="20"/>
        <v>0.2601</v>
      </c>
      <c r="X49" s="387">
        <f t="shared" si="21"/>
        <v>1498.8874818049489</v>
      </c>
      <c r="Y49" s="384">
        <f>'Table 7 Local Revenue'!AQ49</f>
        <v>10455819.5</v>
      </c>
      <c r="Z49" s="384">
        <f t="shared" si="22"/>
        <v>5307141</v>
      </c>
      <c r="AA49" s="276">
        <f t="shared" si="23"/>
        <v>0</v>
      </c>
      <c r="AB49" s="14">
        <f t="shared" si="24"/>
        <v>6729133.8000000007</v>
      </c>
      <c r="AC49" s="14">
        <f t="shared" si="25"/>
        <v>5307141</v>
      </c>
      <c r="AD49" s="384">
        <f t="shared" si="26"/>
        <v>2374266.283452</v>
      </c>
      <c r="AE49" s="388">
        <f t="shared" si="27"/>
        <v>2932874.716548</v>
      </c>
      <c r="AF49" s="16">
        <f t="shared" si="28"/>
        <v>0.55259999999999998</v>
      </c>
      <c r="AG49" s="388">
        <f t="shared" si="29"/>
        <v>17575766.216548</v>
      </c>
      <c r="AH49" s="14">
        <f t="shared" si="30"/>
        <v>5117</v>
      </c>
      <c r="AI49" s="388">
        <f>'Table 4 Level 3'!O47</f>
        <v>490217</v>
      </c>
      <c r="AJ49" s="14">
        <f t="shared" si="61"/>
        <v>142.71237263464337</v>
      </c>
      <c r="AK49" s="388">
        <f t="shared" si="31"/>
        <v>18065983.216548</v>
      </c>
      <c r="AL49" s="14">
        <f t="shared" si="62"/>
        <v>5259.3837602759822</v>
      </c>
      <c r="AM49" s="517">
        <f>'Table 4 Level 3'!R47</f>
        <v>2324881.0920000002</v>
      </c>
      <c r="AN49" s="518">
        <f t="shared" si="33"/>
        <v>676.82127860262017</v>
      </c>
      <c r="AO49" s="388">
        <f t="shared" si="34"/>
        <v>19900647.308548</v>
      </c>
      <c r="AP49" s="14">
        <f t="shared" si="35"/>
        <v>5793.4926662439593</v>
      </c>
      <c r="AQ49" s="16">
        <f t="shared" si="36"/>
        <v>0.65556533420233964</v>
      </c>
      <c r="AR49" s="389">
        <f t="shared" si="37"/>
        <v>33</v>
      </c>
      <c r="AS49" s="14">
        <f t="shared" si="38"/>
        <v>10455819.5</v>
      </c>
      <c r="AT49" s="14">
        <f t="shared" si="63"/>
        <v>3043.91</v>
      </c>
      <c r="AU49" s="389">
        <f t="shared" si="39"/>
        <v>40</v>
      </c>
      <c r="AV49" s="16">
        <f t="shared" si="40"/>
        <v>0.34443466579766036</v>
      </c>
      <c r="AW49" s="389">
        <f t="shared" si="41"/>
        <v>30356466.808548</v>
      </c>
      <c r="AX49" s="390">
        <f t="shared" si="64"/>
        <v>8837.3993620227066</v>
      </c>
      <c r="AY49" s="389">
        <f t="shared" si="42"/>
        <v>30</v>
      </c>
      <c r="AZ49" s="14">
        <v>19904635.490291201</v>
      </c>
      <c r="BA49" s="276">
        <f t="shared" si="65"/>
        <v>-3988.1817432008684</v>
      </c>
      <c r="BB49" s="276">
        <f t="shared" si="43"/>
        <v>14642891.5</v>
      </c>
      <c r="BC49" s="276">
        <v>14114585.5</v>
      </c>
      <c r="BD49" s="276">
        <f t="shared" si="44"/>
        <v>528306</v>
      </c>
      <c r="BE49" s="276">
        <f t="shared" si="45"/>
        <v>2932874.716548</v>
      </c>
      <c r="BF49" s="276">
        <v>3577486.9902912001</v>
      </c>
      <c r="BG49" s="276">
        <f t="shared" si="46"/>
        <v>-644612.27374320012</v>
      </c>
      <c r="BH49" s="276">
        <f t="shared" si="47"/>
        <v>10455819.5</v>
      </c>
      <c r="BI49" s="276">
        <v>12254816.5</v>
      </c>
      <c r="BJ49" s="276">
        <f t="shared" si="48"/>
        <v>-1798997</v>
      </c>
      <c r="BK49" s="81">
        <f t="shared" si="49"/>
        <v>3435</v>
      </c>
      <c r="BL49" s="81">
        <v>3298</v>
      </c>
      <c r="BM49" s="954">
        <f t="shared" si="50"/>
        <v>137</v>
      </c>
      <c r="BN49" s="81">
        <f t="shared" si="51"/>
        <v>5134</v>
      </c>
      <c r="BO49" s="81">
        <v>4956</v>
      </c>
      <c r="BP49" s="954">
        <f t="shared" si="52"/>
        <v>178</v>
      </c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</row>
    <row r="50" spans="1:148" s="5" customFormat="1">
      <c r="A50" s="103">
        <v>43</v>
      </c>
      <c r="B50" s="81" t="s">
        <v>144</v>
      </c>
      <c r="C50" s="81">
        <f>'Table 8 2.1.12 MFP Funded'!AD46</f>
        <v>3986</v>
      </c>
      <c r="D50" s="81">
        <f>'[7]Table 3 for Option A'!AD46</f>
        <v>2761</v>
      </c>
      <c r="E50" s="81">
        <f t="shared" si="54"/>
        <v>607</v>
      </c>
      <c r="F50" s="81">
        <f>'[8]Table 3 Option A'!T54</f>
        <v>1657</v>
      </c>
      <c r="G50" s="81">
        <f t="shared" si="55"/>
        <v>99</v>
      </c>
      <c r="H50" s="81">
        <f>'[9]SWD_Option A'!Z48</f>
        <v>541</v>
      </c>
      <c r="I50" s="81">
        <f t="shared" si="14"/>
        <v>812</v>
      </c>
      <c r="J50" s="81">
        <f>'[9]GiftedTalented-Option a'!AA48</f>
        <v>84</v>
      </c>
      <c r="K50" s="13">
        <f t="shared" si="15"/>
        <v>50</v>
      </c>
      <c r="L50" s="13">
        <f t="shared" si="56"/>
        <v>3514</v>
      </c>
      <c r="M50" s="65">
        <f t="shared" si="57"/>
        <v>9.3710000000000002E-2</v>
      </c>
      <c r="N50" s="13">
        <f t="shared" si="58"/>
        <v>374</v>
      </c>
      <c r="O50" s="13">
        <f t="shared" si="16"/>
        <v>1942</v>
      </c>
      <c r="P50" s="13">
        <f t="shared" si="59"/>
        <v>5928</v>
      </c>
      <c r="Q50" s="384">
        <f t="shared" si="17"/>
        <v>3855</v>
      </c>
      <c r="R50" s="384">
        <f t="shared" si="60"/>
        <v>22852440</v>
      </c>
      <c r="S50" s="384">
        <f>'Table 6 (Local Deduct Calc.)'!J51</f>
        <v>5589808</v>
      </c>
      <c r="T50" s="384">
        <f t="shared" si="18"/>
        <v>5589808</v>
      </c>
      <c r="U50" s="385">
        <f t="shared" si="19"/>
        <v>17262632</v>
      </c>
      <c r="V50" s="386">
        <f t="shared" si="53"/>
        <v>0.75539999999999996</v>
      </c>
      <c r="W50" s="386">
        <f t="shared" si="20"/>
        <v>0.24460000000000001</v>
      </c>
      <c r="X50" s="387">
        <f t="shared" si="21"/>
        <v>1402.3602609131963</v>
      </c>
      <c r="Y50" s="384">
        <f>'Table 7 Local Revenue'!AQ50</f>
        <v>21451119</v>
      </c>
      <c r="Z50" s="384">
        <f t="shared" si="22"/>
        <v>15861311</v>
      </c>
      <c r="AA50" s="276">
        <f t="shared" si="23"/>
        <v>0</v>
      </c>
      <c r="AB50" s="14">
        <f t="shared" si="24"/>
        <v>7769829.6000000006</v>
      </c>
      <c r="AC50" s="14">
        <f t="shared" si="25"/>
        <v>7769829.6000000006</v>
      </c>
      <c r="AD50" s="384">
        <f t="shared" si="26"/>
        <v>3268860.5506752003</v>
      </c>
      <c r="AE50" s="388">
        <f t="shared" si="27"/>
        <v>4500969.0493248003</v>
      </c>
      <c r="AF50" s="16">
        <f t="shared" si="28"/>
        <v>0.57930000000000004</v>
      </c>
      <c r="AG50" s="388">
        <f t="shared" si="29"/>
        <v>21763601.049324799</v>
      </c>
      <c r="AH50" s="14">
        <f t="shared" si="30"/>
        <v>5460</v>
      </c>
      <c r="AI50" s="388">
        <f>'Table 4 Level 3'!O48</f>
        <v>568851</v>
      </c>
      <c r="AJ50" s="14">
        <f t="shared" si="61"/>
        <v>142.7122428499749</v>
      </c>
      <c r="AK50" s="388">
        <f t="shared" si="31"/>
        <v>22332452.049324799</v>
      </c>
      <c r="AL50" s="14">
        <f t="shared" si="62"/>
        <v>5602.7225412254893</v>
      </c>
      <c r="AM50" s="517">
        <f>'Table 4 Level 3'!R48</f>
        <v>2858039.7789999992</v>
      </c>
      <c r="AN50" s="518">
        <f t="shared" si="33"/>
        <v>717.01951304565955</v>
      </c>
      <c r="AO50" s="388">
        <f t="shared" si="34"/>
        <v>24621640.828324798</v>
      </c>
      <c r="AP50" s="14">
        <f t="shared" si="35"/>
        <v>6177.0298114211737</v>
      </c>
      <c r="AQ50" s="16">
        <f t="shared" si="36"/>
        <v>0.6482572953616812</v>
      </c>
      <c r="AR50" s="389">
        <f t="shared" si="37"/>
        <v>36</v>
      </c>
      <c r="AS50" s="14">
        <f t="shared" si="38"/>
        <v>13359637.6</v>
      </c>
      <c r="AT50" s="14">
        <f t="shared" si="63"/>
        <v>3351.64</v>
      </c>
      <c r="AU50" s="389">
        <f t="shared" si="39"/>
        <v>30</v>
      </c>
      <c r="AV50" s="16">
        <f t="shared" si="40"/>
        <v>0.35174270463831886</v>
      </c>
      <c r="AW50" s="389">
        <f t="shared" si="41"/>
        <v>37981278.428324796</v>
      </c>
      <c r="AX50" s="390">
        <f t="shared" si="64"/>
        <v>9528.6699519128942</v>
      </c>
      <c r="AY50" s="389">
        <f t="shared" si="42"/>
        <v>9</v>
      </c>
      <c r="AZ50" s="14">
        <v>26024561.8218536</v>
      </c>
      <c r="BA50" s="276">
        <f t="shared" si="65"/>
        <v>-1402920.9935288019</v>
      </c>
      <c r="BB50" s="276">
        <f t="shared" si="43"/>
        <v>17262632</v>
      </c>
      <c r="BC50" s="276">
        <v>18137570</v>
      </c>
      <c r="BD50" s="276">
        <f t="shared" si="44"/>
        <v>-874938</v>
      </c>
      <c r="BE50" s="276">
        <f t="shared" si="45"/>
        <v>4500969.0493248003</v>
      </c>
      <c r="BF50" s="276">
        <v>5055663.8218536004</v>
      </c>
      <c r="BG50" s="276">
        <f t="shared" si="46"/>
        <v>-554694.77252880018</v>
      </c>
      <c r="BH50" s="276">
        <f t="shared" si="47"/>
        <v>21451119</v>
      </c>
      <c r="BI50" s="276">
        <v>13340763</v>
      </c>
      <c r="BJ50" s="276">
        <f t="shared" si="48"/>
        <v>8110356</v>
      </c>
      <c r="BK50" s="81">
        <f t="shared" si="49"/>
        <v>3986</v>
      </c>
      <c r="BL50" s="81">
        <v>3981</v>
      </c>
      <c r="BM50" s="954">
        <f t="shared" si="50"/>
        <v>5</v>
      </c>
      <c r="BN50" s="81">
        <f t="shared" si="51"/>
        <v>5928</v>
      </c>
      <c r="BO50" s="81">
        <v>5883</v>
      </c>
      <c r="BP50" s="954">
        <f t="shared" si="52"/>
        <v>45</v>
      </c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</row>
    <row r="51" spans="1:148" s="5" customFormat="1">
      <c r="A51" s="103">
        <v>44</v>
      </c>
      <c r="B51" s="81" t="s">
        <v>145</v>
      </c>
      <c r="C51" s="81">
        <f>'Table 8 2.1.12 MFP Funded'!AD47</f>
        <v>5856</v>
      </c>
      <c r="D51" s="81">
        <f>'[7]Table 3 for Option A'!AD47</f>
        <v>4443</v>
      </c>
      <c r="E51" s="81">
        <f t="shared" si="54"/>
        <v>977</v>
      </c>
      <c r="F51" s="81">
        <f>'[8]Table 3 Option A'!T55</f>
        <v>1610.5</v>
      </c>
      <c r="G51" s="81">
        <f t="shared" si="55"/>
        <v>97</v>
      </c>
      <c r="H51" s="81">
        <f>'[9]SWD_Option A'!Z49</f>
        <v>651</v>
      </c>
      <c r="I51" s="81">
        <f t="shared" si="14"/>
        <v>977</v>
      </c>
      <c r="J51" s="81">
        <f>'[9]GiftedTalented-Option a'!AA49</f>
        <v>144</v>
      </c>
      <c r="K51" s="13">
        <f t="shared" si="15"/>
        <v>86</v>
      </c>
      <c r="L51" s="13">
        <f t="shared" si="56"/>
        <v>1644</v>
      </c>
      <c r="M51" s="65">
        <f t="shared" si="57"/>
        <v>4.3839999999999997E-2</v>
      </c>
      <c r="N51" s="13">
        <f t="shared" si="58"/>
        <v>257</v>
      </c>
      <c r="O51" s="13">
        <f t="shared" si="16"/>
        <v>2394</v>
      </c>
      <c r="P51" s="13">
        <f t="shared" si="59"/>
        <v>8250</v>
      </c>
      <c r="Q51" s="384">
        <f t="shared" si="17"/>
        <v>3855</v>
      </c>
      <c r="R51" s="384">
        <f t="shared" si="60"/>
        <v>31803750</v>
      </c>
      <c r="S51" s="384">
        <f>'Table 6 (Local Deduct Calc.)'!J52</f>
        <v>12183065</v>
      </c>
      <c r="T51" s="384">
        <f t="shared" si="18"/>
        <v>12183065</v>
      </c>
      <c r="U51" s="385">
        <f t="shared" si="19"/>
        <v>19620685</v>
      </c>
      <c r="V51" s="386">
        <f t="shared" si="53"/>
        <v>0.6169</v>
      </c>
      <c r="W51" s="386">
        <f t="shared" si="20"/>
        <v>0.3831</v>
      </c>
      <c r="X51" s="387">
        <f t="shared" si="21"/>
        <v>2080.4414275956283</v>
      </c>
      <c r="Y51" s="384">
        <f>'Table 7 Local Revenue'!AQ51</f>
        <v>31339831</v>
      </c>
      <c r="Z51" s="384">
        <f t="shared" si="22"/>
        <v>19156766</v>
      </c>
      <c r="AA51" s="276">
        <f t="shared" si="23"/>
        <v>0</v>
      </c>
      <c r="AB51" s="14">
        <f t="shared" si="24"/>
        <v>10813275</v>
      </c>
      <c r="AC51" s="14">
        <f t="shared" si="25"/>
        <v>10813275</v>
      </c>
      <c r="AD51" s="384">
        <f t="shared" si="26"/>
        <v>7125212.9222999997</v>
      </c>
      <c r="AE51" s="388">
        <f t="shared" si="27"/>
        <v>3688062.0777000003</v>
      </c>
      <c r="AF51" s="16">
        <f t="shared" si="28"/>
        <v>0.34110000000000001</v>
      </c>
      <c r="AG51" s="388">
        <f t="shared" si="29"/>
        <v>23308747.0777</v>
      </c>
      <c r="AH51" s="14">
        <f t="shared" si="30"/>
        <v>3980</v>
      </c>
      <c r="AI51" s="388">
        <f>'Table 4 Level 3'!O49</f>
        <v>835723</v>
      </c>
      <c r="AJ51" s="14">
        <f t="shared" si="61"/>
        <v>142.71226092896174</v>
      </c>
      <c r="AK51" s="388">
        <f t="shared" si="31"/>
        <v>24144470.0777</v>
      </c>
      <c r="AL51" s="14">
        <f t="shared" si="62"/>
        <v>4123.0310925034155</v>
      </c>
      <c r="AM51" s="517">
        <f>'Table 4 Level 3'!R49</f>
        <v>4718591.1160000004</v>
      </c>
      <c r="AN51" s="518">
        <f t="shared" si="33"/>
        <v>805.7703408469946</v>
      </c>
      <c r="AO51" s="388">
        <f t="shared" si="34"/>
        <v>28027338.193700001</v>
      </c>
      <c r="AP51" s="14">
        <f t="shared" si="35"/>
        <v>4786.089172421448</v>
      </c>
      <c r="AQ51" s="16">
        <f t="shared" si="36"/>
        <v>0.54930062249335432</v>
      </c>
      <c r="AR51" s="389">
        <f t="shared" si="37"/>
        <v>53</v>
      </c>
      <c r="AS51" s="14">
        <f t="shared" si="38"/>
        <v>22996340</v>
      </c>
      <c r="AT51" s="14">
        <f t="shared" si="63"/>
        <v>3926.97</v>
      </c>
      <c r="AU51" s="389">
        <f t="shared" si="39"/>
        <v>19</v>
      </c>
      <c r="AV51" s="16">
        <f t="shared" si="40"/>
        <v>0.45069937750664563</v>
      </c>
      <c r="AW51" s="389">
        <f t="shared" si="41"/>
        <v>51023678.193700001</v>
      </c>
      <c r="AX51" s="390">
        <f t="shared" si="64"/>
        <v>8713.0598008367488</v>
      </c>
      <c r="AY51" s="389">
        <f t="shared" si="42"/>
        <v>36</v>
      </c>
      <c r="AZ51" s="14">
        <v>27305974.204366401</v>
      </c>
      <c r="BA51" s="276">
        <f t="shared" si="65"/>
        <v>721363.98933359981</v>
      </c>
      <c r="BB51" s="276">
        <f t="shared" si="43"/>
        <v>19620685</v>
      </c>
      <c r="BC51" s="276">
        <v>19095423</v>
      </c>
      <c r="BD51" s="276">
        <f t="shared" si="44"/>
        <v>525262</v>
      </c>
      <c r="BE51" s="276">
        <f t="shared" si="45"/>
        <v>3688062.0777000003</v>
      </c>
      <c r="BF51" s="276">
        <v>3860654.2043663999</v>
      </c>
      <c r="BG51" s="276">
        <f t="shared" si="46"/>
        <v>-172592.12666639965</v>
      </c>
      <c r="BH51" s="276">
        <f t="shared" si="47"/>
        <v>31339831</v>
      </c>
      <c r="BI51" s="276">
        <v>27331453</v>
      </c>
      <c r="BJ51" s="276">
        <f t="shared" si="48"/>
        <v>4008378</v>
      </c>
      <c r="BK51" s="81">
        <f t="shared" si="49"/>
        <v>5856</v>
      </c>
      <c r="BL51" s="81">
        <v>5439</v>
      </c>
      <c r="BM51" s="954">
        <f t="shared" si="50"/>
        <v>417</v>
      </c>
      <c r="BN51" s="81">
        <f t="shared" si="51"/>
        <v>8250</v>
      </c>
      <c r="BO51" s="81">
        <v>7742</v>
      </c>
      <c r="BP51" s="954">
        <f t="shared" si="52"/>
        <v>508</v>
      </c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</row>
    <row r="52" spans="1:148" s="21" customFormat="1">
      <c r="A52" s="104">
        <v>45</v>
      </c>
      <c r="B52" s="82" t="s">
        <v>146</v>
      </c>
      <c r="C52" s="82">
        <f>'Table 8 2.1.12 MFP Funded'!AD48</f>
        <v>9413</v>
      </c>
      <c r="D52" s="82">
        <f>'[7]Table 3 for Option A'!AD48</f>
        <v>4842</v>
      </c>
      <c r="E52" s="82">
        <f t="shared" si="54"/>
        <v>1065</v>
      </c>
      <c r="F52" s="82">
        <f>'[8]Table 3 Option A'!T56</f>
        <v>3795</v>
      </c>
      <c r="G52" s="82">
        <f t="shared" si="55"/>
        <v>228</v>
      </c>
      <c r="H52" s="82">
        <f>'[9]SWD_Option A'!Z50</f>
        <v>906</v>
      </c>
      <c r="I52" s="82">
        <f t="shared" si="14"/>
        <v>1359</v>
      </c>
      <c r="J52" s="82">
        <f>'[9]GiftedTalented-Option a'!AA50</f>
        <v>503</v>
      </c>
      <c r="K52" s="19">
        <f t="shared" si="15"/>
        <v>302</v>
      </c>
      <c r="L52" s="19">
        <f t="shared" si="56"/>
        <v>0</v>
      </c>
      <c r="M52" s="66">
        <f t="shared" si="57"/>
        <v>0</v>
      </c>
      <c r="N52" s="19">
        <f t="shared" si="58"/>
        <v>0</v>
      </c>
      <c r="O52" s="19">
        <f t="shared" si="16"/>
        <v>2954</v>
      </c>
      <c r="P52" s="13">
        <f t="shared" si="59"/>
        <v>12367</v>
      </c>
      <c r="Q52" s="391">
        <f t="shared" si="17"/>
        <v>3855</v>
      </c>
      <c r="R52" s="391">
        <f t="shared" si="60"/>
        <v>47674785</v>
      </c>
      <c r="S52" s="391">
        <f>'Table 6 (Local Deduct Calc.)'!J53</f>
        <v>30789576</v>
      </c>
      <c r="T52" s="391">
        <f t="shared" si="18"/>
        <v>30789576</v>
      </c>
      <c r="U52" s="392">
        <f t="shared" si="19"/>
        <v>16885209</v>
      </c>
      <c r="V52" s="393">
        <f t="shared" si="53"/>
        <v>0.35420000000000001</v>
      </c>
      <c r="W52" s="394">
        <f t="shared" si="20"/>
        <v>0.64580000000000004</v>
      </c>
      <c r="X52" s="395">
        <f t="shared" si="21"/>
        <v>3270.9631360883882</v>
      </c>
      <c r="Y52" s="391">
        <f>'Table 7 Local Revenue'!AQ52</f>
        <v>102234714</v>
      </c>
      <c r="Z52" s="391">
        <f t="shared" si="22"/>
        <v>71445138</v>
      </c>
      <c r="AA52" s="277">
        <f t="shared" si="23"/>
        <v>0</v>
      </c>
      <c r="AB52" s="20">
        <f t="shared" si="24"/>
        <v>16209426.9</v>
      </c>
      <c r="AC52" s="20">
        <f t="shared" si="25"/>
        <v>16209426.9</v>
      </c>
      <c r="AD52" s="391">
        <f t="shared" si="26"/>
        <v>18005042.374274399</v>
      </c>
      <c r="AE52" s="396">
        <f t="shared" si="27"/>
        <v>0</v>
      </c>
      <c r="AF52" s="270">
        <f t="shared" si="28"/>
        <v>0</v>
      </c>
      <c r="AG52" s="396">
        <f t="shared" si="29"/>
        <v>16885209</v>
      </c>
      <c r="AH52" s="20">
        <f t="shared" si="30"/>
        <v>1794</v>
      </c>
      <c r="AI52" s="396">
        <f>'Table 4 Level 3'!O50</f>
        <v>5975916</v>
      </c>
      <c r="AJ52" s="20">
        <f t="shared" si="61"/>
        <v>634.85774992032293</v>
      </c>
      <c r="AK52" s="396">
        <f t="shared" si="31"/>
        <v>22861125</v>
      </c>
      <c r="AL52" s="20">
        <f t="shared" si="62"/>
        <v>2428.6757675555082</v>
      </c>
      <c r="AM52" s="519">
        <f>'Table 4 Level 3'!R50</f>
        <v>13072338.312000001</v>
      </c>
      <c r="AN52" s="520">
        <f t="shared" si="33"/>
        <v>1388.7536717305854</v>
      </c>
      <c r="AO52" s="396">
        <f t="shared" si="34"/>
        <v>29957547.311999999</v>
      </c>
      <c r="AP52" s="20">
        <f t="shared" si="35"/>
        <v>3182.5716893657705</v>
      </c>
      <c r="AQ52" s="270">
        <f t="shared" si="36"/>
        <v>0.3892787193484234</v>
      </c>
      <c r="AR52" s="397">
        <f t="shared" si="37"/>
        <v>64</v>
      </c>
      <c r="AS52" s="20">
        <f t="shared" si="38"/>
        <v>46999002.899999999</v>
      </c>
      <c r="AT52" s="20">
        <f t="shared" si="63"/>
        <v>4992.99</v>
      </c>
      <c r="AU52" s="397">
        <f t="shared" si="39"/>
        <v>8</v>
      </c>
      <c r="AV52" s="270">
        <f t="shared" si="40"/>
        <v>0.6107212806515766</v>
      </c>
      <c r="AW52" s="397">
        <f t="shared" si="41"/>
        <v>76956550.211999997</v>
      </c>
      <c r="AX52" s="398">
        <f t="shared" si="64"/>
        <v>8175.560417720174</v>
      </c>
      <c r="AY52" s="397">
        <f t="shared" si="42"/>
        <v>58</v>
      </c>
      <c r="AZ52" s="20">
        <v>30029263</v>
      </c>
      <c r="BA52" s="277">
        <f t="shared" si="65"/>
        <v>-71715.688000001013</v>
      </c>
      <c r="BB52" s="277">
        <f t="shared" si="43"/>
        <v>16885209</v>
      </c>
      <c r="BC52" s="277">
        <v>16404071</v>
      </c>
      <c r="BD52" s="277">
        <f t="shared" si="44"/>
        <v>481138</v>
      </c>
      <c r="BE52" s="277">
        <f t="shared" si="45"/>
        <v>0</v>
      </c>
      <c r="BF52" s="277">
        <v>0</v>
      </c>
      <c r="BG52" s="277">
        <f t="shared" si="46"/>
        <v>0</v>
      </c>
      <c r="BH52" s="277">
        <f t="shared" si="47"/>
        <v>102234714</v>
      </c>
      <c r="BI52" s="277">
        <v>101909247</v>
      </c>
      <c r="BJ52" s="277">
        <f t="shared" si="48"/>
        <v>325467</v>
      </c>
      <c r="BK52" s="82">
        <f t="shared" si="49"/>
        <v>9413</v>
      </c>
      <c r="BL52" s="82">
        <v>9430</v>
      </c>
      <c r="BM52" s="955">
        <f t="shared" si="50"/>
        <v>-17</v>
      </c>
      <c r="BN52" s="82">
        <f t="shared" si="51"/>
        <v>12367</v>
      </c>
      <c r="BO52" s="82">
        <v>12417</v>
      </c>
      <c r="BP52" s="955">
        <f t="shared" si="52"/>
        <v>-50</v>
      </c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</row>
    <row r="53" spans="1:148" s="5" customFormat="1">
      <c r="A53" s="103">
        <v>46</v>
      </c>
      <c r="B53" s="81" t="s">
        <v>147</v>
      </c>
      <c r="C53" s="599">
        <f>'Table 8 2.1.12 MFP Funded'!AD49</f>
        <v>1103</v>
      </c>
      <c r="D53" s="81">
        <f>'[7]Table 3 for Option A'!AD49</f>
        <v>1023</v>
      </c>
      <c r="E53" s="81">
        <f t="shared" si="54"/>
        <v>225</v>
      </c>
      <c r="F53" s="81">
        <f>'[8]Table 3 Option A'!T57</f>
        <v>515.5</v>
      </c>
      <c r="G53" s="81">
        <f t="shared" si="55"/>
        <v>31</v>
      </c>
      <c r="H53" s="81">
        <f>'[9]SWD_Option A'!Z51</f>
        <v>160</v>
      </c>
      <c r="I53" s="81">
        <f t="shared" si="14"/>
        <v>240</v>
      </c>
      <c r="J53" s="81">
        <f>'[9]GiftedTalented-Option a'!AA51</f>
        <v>29</v>
      </c>
      <c r="K53" s="13">
        <f t="shared" si="15"/>
        <v>17</v>
      </c>
      <c r="L53" s="13">
        <f t="shared" si="56"/>
        <v>6397</v>
      </c>
      <c r="M53" s="65">
        <f t="shared" si="57"/>
        <v>0.17058999999999999</v>
      </c>
      <c r="N53" s="13">
        <f t="shared" si="58"/>
        <v>188</v>
      </c>
      <c r="O53" s="13">
        <f t="shared" si="16"/>
        <v>701</v>
      </c>
      <c r="P53" s="36">
        <f t="shared" si="59"/>
        <v>1804</v>
      </c>
      <c r="Q53" s="384">
        <f t="shared" si="17"/>
        <v>3855</v>
      </c>
      <c r="R53" s="384">
        <f t="shared" si="60"/>
        <v>6954420</v>
      </c>
      <c r="S53" s="384">
        <f>'Table 6 (Local Deduct Calc.)'!J54</f>
        <v>1249228</v>
      </c>
      <c r="T53" s="384">
        <f t="shared" si="18"/>
        <v>1249228</v>
      </c>
      <c r="U53" s="385">
        <f t="shared" si="19"/>
        <v>5705192</v>
      </c>
      <c r="V53" s="386">
        <f t="shared" si="53"/>
        <v>0.82040000000000002</v>
      </c>
      <c r="W53" s="386">
        <f t="shared" si="20"/>
        <v>0.17960000000000001</v>
      </c>
      <c r="X53" s="387">
        <f t="shared" si="21"/>
        <v>1132.5729827742521</v>
      </c>
      <c r="Y53" s="384">
        <f>'Table 7 Local Revenue'!AQ53</f>
        <v>1996920</v>
      </c>
      <c r="Z53" s="384">
        <f t="shared" si="22"/>
        <v>747692</v>
      </c>
      <c r="AA53" s="276">
        <f t="shared" si="23"/>
        <v>0</v>
      </c>
      <c r="AB53" s="14">
        <f t="shared" si="24"/>
        <v>2364502.8000000003</v>
      </c>
      <c r="AC53" s="14">
        <f t="shared" si="25"/>
        <v>747692</v>
      </c>
      <c r="AD53" s="384">
        <f t="shared" si="26"/>
        <v>230971.03110400002</v>
      </c>
      <c r="AE53" s="388">
        <f t="shared" si="27"/>
        <v>516720.96889599995</v>
      </c>
      <c r="AF53" s="16">
        <f t="shared" si="28"/>
        <v>0.69110000000000005</v>
      </c>
      <c r="AG53" s="388">
        <f t="shared" si="29"/>
        <v>6221912.9688959997</v>
      </c>
      <c r="AH53" s="14">
        <f t="shared" si="30"/>
        <v>5641</v>
      </c>
      <c r="AI53" s="388">
        <f>'Table 4 Level 3'!O51</f>
        <v>157412</v>
      </c>
      <c r="AJ53" s="14">
        <f t="shared" si="61"/>
        <v>142.71260199456029</v>
      </c>
      <c r="AK53" s="388">
        <f t="shared" si="31"/>
        <v>6379324.9688959997</v>
      </c>
      <c r="AL53" s="14">
        <f t="shared" si="62"/>
        <v>5783.612845780598</v>
      </c>
      <c r="AM53" s="517">
        <f>'Table 4 Level 3'!R51</f>
        <v>959952.53799999994</v>
      </c>
      <c r="AN53" s="518">
        <f t="shared" si="33"/>
        <v>870.31055122393468</v>
      </c>
      <c r="AO53" s="388">
        <f t="shared" si="34"/>
        <v>7181865.5068959994</v>
      </c>
      <c r="AP53" s="14">
        <f t="shared" si="35"/>
        <v>6511.2107950099726</v>
      </c>
      <c r="AQ53" s="16">
        <f t="shared" si="36"/>
        <v>0.78244180578141631</v>
      </c>
      <c r="AR53" s="389">
        <f t="shared" si="37"/>
        <v>5</v>
      </c>
      <c r="AS53" s="14">
        <f t="shared" si="38"/>
        <v>1996920</v>
      </c>
      <c r="AT53" s="14">
        <f t="shared" si="63"/>
        <v>1810.44</v>
      </c>
      <c r="AU53" s="389">
        <f t="shared" si="39"/>
        <v>65</v>
      </c>
      <c r="AV53" s="16">
        <f t="shared" si="40"/>
        <v>0.21755819421858355</v>
      </c>
      <c r="AW53" s="389">
        <f t="shared" si="41"/>
        <v>9178785.5068960004</v>
      </c>
      <c r="AX53" s="390">
        <f t="shared" si="64"/>
        <v>8321.6550379836808</v>
      </c>
      <c r="AY53" s="389">
        <f t="shared" si="42"/>
        <v>52</v>
      </c>
      <c r="AZ53" s="14">
        <v>7202778.6240079999</v>
      </c>
      <c r="BA53" s="276">
        <f t="shared" si="65"/>
        <v>-20913.117112000473</v>
      </c>
      <c r="BB53" s="276">
        <f t="shared" si="43"/>
        <v>5705192</v>
      </c>
      <c r="BC53" s="276">
        <v>5833713</v>
      </c>
      <c r="BD53" s="276">
        <f t="shared" si="44"/>
        <v>-128521</v>
      </c>
      <c r="BE53" s="276">
        <f t="shared" si="45"/>
        <v>516720.96889599995</v>
      </c>
      <c r="BF53" s="276">
        <v>415345.44400799996</v>
      </c>
      <c r="BG53" s="276">
        <f t="shared" si="46"/>
        <v>101375.52488799999</v>
      </c>
      <c r="BH53" s="276">
        <f t="shared" si="47"/>
        <v>1996920</v>
      </c>
      <c r="BI53" s="276">
        <v>1807793</v>
      </c>
      <c r="BJ53" s="276">
        <f t="shared" si="48"/>
        <v>189127</v>
      </c>
      <c r="BK53" s="581">
        <f t="shared" si="49"/>
        <v>1103</v>
      </c>
      <c r="BL53" s="581">
        <v>1103</v>
      </c>
      <c r="BM53" s="956">
        <f t="shared" si="50"/>
        <v>0</v>
      </c>
      <c r="BN53" s="581">
        <f t="shared" si="51"/>
        <v>1804</v>
      </c>
      <c r="BO53" s="581">
        <v>1829</v>
      </c>
      <c r="BP53" s="956">
        <f t="shared" si="52"/>
        <v>-25</v>
      </c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</row>
    <row r="54" spans="1:148" s="5" customFormat="1">
      <c r="A54" s="103">
        <v>47</v>
      </c>
      <c r="B54" s="81" t="s">
        <v>148</v>
      </c>
      <c r="C54" s="81">
        <f>'Table 8 2.1.12 MFP Funded'!AD50</f>
        <v>3639</v>
      </c>
      <c r="D54" s="81">
        <f>'[7]Table 3 for Option A'!AD50</f>
        <v>2585</v>
      </c>
      <c r="E54" s="81">
        <f t="shared" si="54"/>
        <v>569</v>
      </c>
      <c r="F54" s="81">
        <f>'[8]Table 3 Option A'!T58</f>
        <v>1659.5</v>
      </c>
      <c r="G54" s="81">
        <f t="shared" si="55"/>
        <v>100</v>
      </c>
      <c r="H54" s="81">
        <f>'[9]SWD_Option A'!Z52</f>
        <v>505</v>
      </c>
      <c r="I54" s="81">
        <f t="shared" si="14"/>
        <v>758</v>
      </c>
      <c r="J54" s="81">
        <f>'[9]GiftedTalented-Option a'!AA52</f>
        <v>67</v>
      </c>
      <c r="K54" s="13">
        <f t="shared" si="15"/>
        <v>40</v>
      </c>
      <c r="L54" s="13">
        <f t="shared" si="56"/>
        <v>3861</v>
      </c>
      <c r="M54" s="65">
        <f t="shared" si="57"/>
        <v>0.10296</v>
      </c>
      <c r="N54" s="13">
        <f t="shared" si="58"/>
        <v>375</v>
      </c>
      <c r="O54" s="13">
        <f t="shared" si="16"/>
        <v>1842</v>
      </c>
      <c r="P54" s="13">
        <f t="shared" si="59"/>
        <v>5481</v>
      </c>
      <c r="Q54" s="384">
        <f t="shared" si="17"/>
        <v>3855</v>
      </c>
      <c r="R54" s="384">
        <f t="shared" si="60"/>
        <v>21129255</v>
      </c>
      <c r="S54" s="384">
        <f>'Table 6 (Local Deduct Calc.)'!J55</f>
        <v>11593435</v>
      </c>
      <c r="T54" s="384">
        <f t="shared" si="18"/>
        <v>11593435</v>
      </c>
      <c r="U54" s="385">
        <f t="shared" si="19"/>
        <v>9535820</v>
      </c>
      <c r="V54" s="386">
        <f t="shared" si="53"/>
        <v>0.45129999999999998</v>
      </c>
      <c r="W54" s="386">
        <f t="shared" si="20"/>
        <v>0.54869999999999997</v>
      </c>
      <c r="X54" s="387">
        <f t="shared" si="21"/>
        <v>3185.8848584776038</v>
      </c>
      <c r="Y54" s="384">
        <f>'Table 7 Local Revenue'!AQ54</f>
        <v>35947653</v>
      </c>
      <c r="Z54" s="384">
        <f t="shared" si="22"/>
        <v>24354218</v>
      </c>
      <c r="AA54" s="276">
        <f t="shared" si="23"/>
        <v>0</v>
      </c>
      <c r="AB54" s="14">
        <f t="shared" si="24"/>
        <v>7183946.7000000002</v>
      </c>
      <c r="AC54" s="14">
        <f t="shared" si="25"/>
        <v>7183946.7000000002</v>
      </c>
      <c r="AD54" s="384">
        <f t="shared" si="26"/>
        <v>6779950.2733787997</v>
      </c>
      <c r="AE54" s="388">
        <f t="shared" si="27"/>
        <v>403996.42662120052</v>
      </c>
      <c r="AF54" s="16">
        <f t="shared" si="28"/>
        <v>5.62E-2</v>
      </c>
      <c r="AG54" s="388">
        <f t="shared" si="29"/>
        <v>9939816.4266212005</v>
      </c>
      <c r="AH54" s="14">
        <f t="shared" si="30"/>
        <v>2731</v>
      </c>
      <c r="AI54" s="388">
        <f>'Table 4 Level 3'!O52</f>
        <v>1740696</v>
      </c>
      <c r="AJ54" s="14">
        <f t="shared" si="61"/>
        <v>478.34460016488049</v>
      </c>
      <c r="AK54" s="388">
        <f t="shared" si="31"/>
        <v>11680512.426621201</v>
      </c>
      <c r="AL54" s="14">
        <f t="shared" si="62"/>
        <v>3209.8138023141523</v>
      </c>
      <c r="AM54" s="517">
        <f>'Table 4 Level 3'!R52</f>
        <v>5054678.4120000005</v>
      </c>
      <c r="AN54" s="518">
        <f t="shared" si="33"/>
        <v>1389.0295169002475</v>
      </c>
      <c r="AO54" s="388">
        <f t="shared" si="34"/>
        <v>14994494.838621201</v>
      </c>
      <c r="AP54" s="14">
        <f t="shared" si="35"/>
        <v>4120.4987190495194</v>
      </c>
      <c r="AQ54" s="16">
        <f t="shared" si="36"/>
        <v>0.44399353472329667</v>
      </c>
      <c r="AR54" s="389">
        <f t="shared" si="37"/>
        <v>62</v>
      </c>
      <c r="AS54" s="14">
        <f t="shared" si="38"/>
        <v>18777381.699999999</v>
      </c>
      <c r="AT54" s="14">
        <f t="shared" si="63"/>
        <v>5160.04</v>
      </c>
      <c r="AU54" s="389">
        <f t="shared" si="39"/>
        <v>7</v>
      </c>
      <c r="AV54" s="16">
        <f t="shared" si="40"/>
        <v>0.55600646527670328</v>
      </c>
      <c r="AW54" s="389">
        <f t="shared" si="41"/>
        <v>33771876.538621202</v>
      </c>
      <c r="AX54" s="390">
        <f t="shared" si="64"/>
        <v>9280.5376583185498</v>
      </c>
      <c r="AY54" s="389">
        <f t="shared" si="42"/>
        <v>16</v>
      </c>
      <c r="AZ54" s="14">
        <v>16176221.6815584</v>
      </c>
      <c r="BA54" s="276">
        <f t="shared" si="65"/>
        <v>-1181726.8429371994</v>
      </c>
      <c r="BB54" s="276">
        <f t="shared" si="43"/>
        <v>9535820</v>
      </c>
      <c r="BC54" s="276">
        <v>10254696</v>
      </c>
      <c r="BD54" s="276">
        <f t="shared" si="44"/>
        <v>-718876</v>
      </c>
      <c r="BE54" s="276">
        <f t="shared" si="45"/>
        <v>403996.42662120052</v>
      </c>
      <c r="BF54" s="276">
        <v>709700.68155839946</v>
      </c>
      <c r="BG54" s="276">
        <f t="shared" si="46"/>
        <v>-305704.25493719894</v>
      </c>
      <c r="BH54" s="276">
        <f t="shared" si="47"/>
        <v>35947653</v>
      </c>
      <c r="BI54" s="276">
        <v>30416869</v>
      </c>
      <c r="BJ54" s="276">
        <f t="shared" si="48"/>
        <v>5530784</v>
      </c>
      <c r="BK54" s="81">
        <f t="shared" si="49"/>
        <v>3639</v>
      </c>
      <c r="BL54" s="81">
        <v>3716</v>
      </c>
      <c r="BM54" s="954">
        <f t="shared" si="50"/>
        <v>-77</v>
      </c>
      <c r="BN54" s="81">
        <f t="shared" si="51"/>
        <v>5481</v>
      </c>
      <c r="BO54" s="81">
        <v>5602</v>
      </c>
      <c r="BP54" s="954">
        <f t="shared" si="52"/>
        <v>-121</v>
      </c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</row>
    <row r="55" spans="1:148" s="5" customFormat="1">
      <c r="A55" s="103">
        <v>48</v>
      </c>
      <c r="B55" s="81" t="s">
        <v>217</v>
      </c>
      <c r="C55" s="81">
        <f>'Table 8 2.1.12 MFP Funded'!AD51</f>
        <v>6220</v>
      </c>
      <c r="D55" s="81">
        <f>'[7]Table 3 for Option A'!AD51</f>
        <v>5305</v>
      </c>
      <c r="E55" s="81">
        <f t="shared" si="54"/>
        <v>1167</v>
      </c>
      <c r="F55" s="81">
        <f>'[8]Table 3 Option A'!T59</f>
        <v>1962.5</v>
      </c>
      <c r="G55" s="81">
        <f t="shared" si="55"/>
        <v>118</v>
      </c>
      <c r="H55" s="81">
        <f>'[9]SWD_Option A'!Z53</f>
        <v>825</v>
      </c>
      <c r="I55" s="81">
        <f t="shared" si="14"/>
        <v>1238</v>
      </c>
      <c r="J55" s="81">
        <f>'[9]GiftedTalented-Option a'!AA53</f>
        <v>130</v>
      </c>
      <c r="K55" s="13">
        <f t="shared" si="15"/>
        <v>78</v>
      </c>
      <c r="L55" s="13">
        <f t="shared" si="56"/>
        <v>1280</v>
      </c>
      <c r="M55" s="65">
        <f t="shared" si="57"/>
        <v>3.4130000000000001E-2</v>
      </c>
      <c r="N55" s="13">
        <f t="shared" si="58"/>
        <v>212</v>
      </c>
      <c r="O55" s="13">
        <f t="shared" si="16"/>
        <v>2813</v>
      </c>
      <c r="P55" s="13">
        <f t="shared" si="59"/>
        <v>9033</v>
      </c>
      <c r="Q55" s="384">
        <f t="shared" si="17"/>
        <v>3855</v>
      </c>
      <c r="R55" s="384">
        <f t="shared" si="60"/>
        <v>34822215</v>
      </c>
      <c r="S55" s="384">
        <f>'Table 6 (Local Deduct Calc.)'!J56</f>
        <v>13212948.5</v>
      </c>
      <c r="T55" s="384">
        <f t="shared" si="18"/>
        <v>13212948.5</v>
      </c>
      <c r="U55" s="385">
        <f t="shared" si="19"/>
        <v>21609266.5</v>
      </c>
      <c r="V55" s="386">
        <f t="shared" si="53"/>
        <v>0.62060000000000004</v>
      </c>
      <c r="W55" s="386">
        <f t="shared" si="20"/>
        <v>0.37940000000000002</v>
      </c>
      <c r="X55" s="387">
        <f t="shared" si="21"/>
        <v>2124.2682475884244</v>
      </c>
      <c r="Y55" s="384">
        <f>'Table 7 Local Revenue'!AQ55</f>
        <v>31788560.5</v>
      </c>
      <c r="Z55" s="384">
        <f t="shared" si="22"/>
        <v>18575612</v>
      </c>
      <c r="AA55" s="276">
        <f t="shared" si="23"/>
        <v>0</v>
      </c>
      <c r="AB55" s="14">
        <f t="shared" si="24"/>
        <v>11839553.100000001</v>
      </c>
      <c r="AC55" s="14">
        <f t="shared" si="25"/>
        <v>11839553.100000001</v>
      </c>
      <c r="AD55" s="384">
        <f t="shared" si="26"/>
        <v>7726113.4873608015</v>
      </c>
      <c r="AE55" s="388">
        <f t="shared" si="27"/>
        <v>4113439.6126391999</v>
      </c>
      <c r="AF55" s="16">
        <f t="shared" si="28"/>
        <v>0.34739999999999999</v>
      </c>
      <c r="AG55" s="388">
        <f t="shared" si="29"/>
        <v>25722706.1126392</v>
      </c>
      <c r="AH55" s="14">
        <f t="shared" si="30"/>
        <v>4135</v>
      </c>
      <c r="AI55" s="388">
        <f>'Table 4 Level 3'!O53</f>
        <v>887671</v>
      </c>
      <c r="AJ55" s="14">
        <f t="shared" si="61"/>
        <v>142.71237942122187</v>
      </c>
      <c r="AK55" s="388">
        <f t="shared" si="31"/>
        <v>26610377.1126392</v>
      </c>
      <c r="AL55" s="14">
        <f t="shared" si="62"/>
        <v>4278.1956772731837</v>
      </c>
      <c r="AM55" s="517">
        <f>'Table 4 Level 3'!R53</f>
        <v>6304332.688000001</v>
      </c>
      <c r="AN55" s="518">
        <f t="shared" si="33"/>
        <v>1013.5583099678458</v>
      </c>
      <c r="AO55" s="388">
        <f t="shared" si="34"/>
        <v>32027038.800639201</v>
      </c>
      <c r="AP55" s="14">
        <f t="shared" si="35"/>
        <v>5149.0416078198068</v>
      </c>
      <c r="AQ55" s="16">
        <f t="shared" si="36"/>
        <v>0.5610948962770651</v>
      </c>
      <c r="AR55" s="389">
        <f t="shared" si="37"/>
        <v>51</v>
      </c>
      <c r="AS55" s="14">
        <f t="shared" si="38"/>
        <v>25052501.600000001</v>
      </c>
      <c r="AT55" s="14">
        <f t="shared" si="63"/>
        <v>4027.73</v>
      </c>
      <c r="AU55" s="389">
        <f t="shared" si="39"/>
        <v>17</v>
      </c>
      <c r="AV55" s="16">
        <f t="shared" si="40"/>
        <v>0.43890510372293484</v>
      </c>
      <c r="AW55" s="389">
        <f t="shared" si="41"/>
        <v>57079540.400639206</v>
      </c>
      <c r="AX55" s="390">
        <f t="shared" si="64"/>
        <v>9176.7749840255965</v>
      </c>
      <c r="AY55" s="389">
        <f t="shared" si="42"/>
        <v>18</v>
      </c>
      <c r="AZ55" s="14">
        <v>26147247.5905516</v>
      </c>
      <c r="BA55" s="276">
        <f t="shared" si="65"/>
        <v>5879791.2100876011</v>
      </c>
      <c r="BB55" s="276">
        <f t="shared" si="43"/>
        <v>21609266.5</v>
      </c>
      <c r="BC55" s="276">
        <v>17925947.5</v>
      </c>
      <c r="BD55" s="276">
        <f t="shared" si="44"/>
        <v>3683319</v>
      </c>
      <c r="BE55" s="276">
        <f t="shared" si="45"/>
        <v>4113439.6126391999</v>
      </c>
      <c r="BF55" s="276">
        <v>2142025.0905515999</v>
      </c>
      <c r="BG55" s="276">
        <f t="shared" si="46"/>
        <v>1971414.5220876001</v>
      </c>
      <c r="BH55" s="276">
        <f t="shared" si="47"/>
        <v>31788560.5</v>
      </c>
      <c r="BI55" s="276">
        <v>39687959.5</v>
      </c>
      <c r="BJ55" s="276">
        <f t="shared" si="48"/>
        <v>-7899399</v>
      </c>
      <c r="BK55" s="81">
        <f t="shared" si="49"/>
        <v>6220</v>
      </c>
      <c r="BL55" s="81">
        <v>6033</v>
      </c>
      <c r="BM55" s="954">
        <f t="shared" si="50"/>
        <v>187</v>
      </c>
      <c r="BN55" s="81">
        <f t="shared" si="51"/>
        <v>9033</v>
      </c>
      <c r="BO55" s="81">
        <v>8839</v>
      </c>
      <c r="BP55" s="954">
        <f t="shared" si="52"/>
        <v>194</v>
      </c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</row>
    <row r="56" spans="1:148" s="5" customFormat="1">
      <c r="A56" s="103">
        <v>49</v>
      </c>
      <c r="B56" s="81" t="s">
        <v>149</v>
      </c>
      <c r="C56" s="81">
        <f>'Table 8 2.1.12 MFP Funded'!AD52</f>
        <v>14452</v>
      </c>
      <c r="D56" s="81">
        <f>'[7]Table 3 for Option A'!AD52</f>
        <v>11388</v>
      </c>
      <c r="E56" s="81">
        <f t="shared" si="54"/>
        <v>2505</v>
      </c>
      <c r="F56" s="81">
        <f>'[8]Table 3 Option A'!T60</f>
        <v>4463.5</v>
      </c>
      <c r="G56" s="81">
        <f t="shared" si="55"/>
        <v>268</v>
      </c>
      <c r="H56" s="81">
        <f>'[9]SWD_Option A'!Z54</f>
        <v>1804</v>
      </c>
      <c r="I56" s="81">
        <f t="shared" si="14"/>
        <v>2706</v>
      </c>
      <c r="J56" s="81">
        <f>'[9]GiftedTalented-Option a'!AA54</f>
        <v>321</v>
      </c>
      <c r="K56" s="13">
        <f t="shared" si="15"/>
        <v>193</v>
      </c>
      <c r="L56" s="13">
        <f t="shared" si="56"/>
        <v>0</v>
      </c>
      <c r="M56" s="65">
        <f t="shared" si="57"/>
        <v>0</v>
      </c>
      <c r="N56" s="13">
        <f t="shared" si="58"/>
        <v>0</v>
      </c>
      <c r="O56" s="13">
        <f t="shared" si="16"/>
        <v>5672</v>
      </c>
      <c r="P56" s="13">
        <f t="shared" si="59"/>
        <v>20124</v>
      </c>
      <c r="Q56" s="384">
        <f t="shared" si="17"/>
        <v>3855</v>
      </c>
      <c r="R56" s="384">
        <f t="shared" si="60"/>
        <v>77578020</v>
      </c>
      <c r="S56" s="384">
        <f>'Table 6 (Local Deduct Calc.)'!J57</f>
        <v>18473783.5</v>
      </c>
      <c r="T56" s="384">
        <f t="shared" si="18"/>
        <v>18473783.5</v>
      </c>
      <c r="U56" s="385">
        <f t="shared" si="19"/>
        <v>59104236.5</v>
      </c>
      <c r="V56" s="386">
        <f t="shared" si="53"/>
        <v>0.76190000000000002</v>
      </c>
      <c r="W56" s="386">
        <f t="shared" si="20"/>
        <v>0.23810000000000001</v>
      </c>
      <c r="X56" s="387">
        <f t="shared" si="21"/>
        <v>1278.2856006089123</v>
      </c>
      <c r="Y56" s="384">
        <f>'Table 7 Local Revenue'!AQ56</f>
        <v>32496492.5</v>
      </c>
      <c r="Z56" s="384">
        <f t="shared" si="22"/>
        <v>14022709</v>
      </c>
      <c r="AA56" s="276">
        <f t="shared" si="23"/>
        <v>0</v>
      </c>
      <c r="AB56" s="14">
        <f t="shared" si="24"/>
        <v>26376526.800000001</v>
      </c>
      <c r="AC56" s="14">
        <f t="shared" si="25"/>
        <v>14022709</v>
      </c>
      <c r="AD56" s="384">
        <f t="shared" si="26"/>
        <v>5742748.0621880004</v>
      </c>
      <c r="AE56" s="388">
        <f t="shared" si="27"/>
        <v>8279960.9378119996</v>
      </c>
      <c r="AF56" s="16">
        <f t="shared" si="28"/>
        <v>0.59050000000000002</v>
      </c>
      <c r="AG56" s="388">
        <f t="shared" si="29"/>
        <v>67384197.437812001</v>
      </c>
      <c r="AH56" s="14">
        <f t="shared" si="30"/>
        <v>4663</v>
      </c>
      <c r="AI56" s="388">
        <f>'Table 4 Level 3'!O54</f>
        <v>2262479</v>
      </c>
      <c r="AJ56" s="14">
        <f t="shared" si="61"/>
        <v>156.55127318018268</v>
      </c>
      <c r="AK56" s="388">
        <f t="shared" si="31"/>
        <v>69646676.437812001</v>
      </c>
      <c r="AL56" s="14">
        <f t="shared" si="62"/>
        <v>4819.172186397177</v>
      </c>
      <c r="AM56" s="517">
        <f>'Table 4 Level 3'!R54</f>
        <v>10560839.239999998</v>
      </c>
      <c r="AN56" s="518">
        <f t="shared" si="33"/>
        <v>730.75278438970372</v>
      </c>
      <c r="AO56" s="388">
        <f t="shared" si="34"/>
        <v>77945036.677811995</v>
      </c>
      <c r="AP56" s="14">
        <f t="shared" si="35"/>
        <v>5393.3736976066975</v>
      </c>
      <c r="AQ56" s="16">
        <f t="shared" si="36"/>
        <v>0.70575839775198768</v>
      </c>
      <c r="AR56" s="389">
        <f t="shared" si="37"/>
        <v>16</v>
      </c>
      <c r="AS56" s="14">
        <f t="shared" si="38"/>
        <v>32496492.5</v>
      </c>
      <c r="AT56" s="14">
        <f t="shared" si="63"/>
        <v>2248.58</v>
      </c>
      <c r="AU56" s="389">
        <f t="shared" si="39"/>
        <v>58</v>
      </c>
      <c r="AV56" s="16">
        <f t="shared" si="40"/>
        <v>0.29424160224801227</v>
      </c>
      <c r="AW56" s="389">
        <f t="shared" si="41"/>
        <v>110441529.177812</v>
      </c>
      <c r="AX56" s="390">
        <f t="shared" si="64"/>
        <v>7641.9546898569051</v>
      </c>
      <c r="AY56" s="389">
        <f t="shared" si="42"/>
        <v>66</v>
      </c>
      <c r="AZ56" s="14">
        <v>75952628.938519999</v>
      </c>
      <c r="BA56" s="276">
        <f t="shared" si="65"/>
        <v>1992407.7392919958</v>
      </c>
      <c r="BB56" s="276">
        <f t="shared" si="43"/>
        <v>59104236.5</v>
      </c>
      <c r="BC56" s="276">
        <v>58251669</v>
      </c>
      <c r="BD56" s="276">
        <f t="shared" si="44"/>
        <v>852567.5</v>
      </c>
      <c r="BE56" s="276">
        <f t="shared" si="45"/>
        <v>8279960.9378119996</v>
      </c>
      <c r="BF56" s="276">
        <v>7581235.9385200003</v>
      </c>
      <c r="BG56" s="276">
        <f t="shared" si="46"/>
        <v>698724.99929199927</v>
      </c>
      <c r="BH56" s="276">
        <f t="shared" si="47"/>
        <v>32496492.5</v>
      </c>
      <c r="BI56" s="276">
        <v>30689119</v>
      </c>
      <c r="BJ56" s="276">
        <f t="shared" si="48"/>
        <v>1807373.5</v>
      </c>
      <c r="BK56" s="81">
        <f t="shared" si="49"/>
        <v>14452</v>
      </c>
      <c r="BL56" s="81">
        <v>13951</v>
      </c>
      <c r="BM56" s="954">
        <f t="shared" si="50"/>
        <v>501</v>
      </c>
      <c r="BN56" s="81">
        <f t="shared" si="51"/>
        <v>20124</v>
      </c>
      <c r="BO56" s="81">
        <v>19766</v>
      </c>
      <c r="BP56" s="954">
        <f t="shared" si="52"/>
        <v>358</v>
      </c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</row>
    <row r="57" spans="1:148" s="21" customFormat="1">
      <c r="A57" s="104">
        <v>50</v>
      </c>
      <c r="B57" s="82" t="s">
        <v>150</v>
      </c>
      <c r="C57" s="82">
        <f>'Table 8 2.1.12 MFP Funded'!AD53</f>
        <v>7984</v>
      </c>
      <c r="D57" s="82">
        <f>'[7]Table 3 for Option A'!AD53</f>
        <v>6061</v>
      </c>
      <c r="E57" s="82">
        <f t="shared" si="54"/>
        <v>1333</v>
      </c>
      <c r="F57" s="82">
        <f>'[8]Table 3 Option A'!T61</f>
        <v>3204</v>
      </c>
      <c r="G57" s="82">
        <f t="shared" si="55"/>
        <v>192</v>
      </c>
      <c r="H57" s="82">
        <f>'[9]SWD_Option A'!Z55</f>
        <v>906</v>
      </c>
      <c r="I57" s="82">
        <f t="shared" si="14"/>
        <v>1359</v>
      </c>
      <c r="J57" s="82">
        <f>'[9]GiftedTalented-Option a'!AA55</f>
        <v>152</v>
      </c>
      <c r="K57" s="19">
        <f t="shared" si="15"/>
        <v>91</v>
      </c>
      <c r="L57" s="19">
        <f t="shared" si="56"/>
        <v>0</v>
      </c>
      <c r="M57" s="66">
        <f t="shared" si="57"/>
        <v>0</v>
      </c>
      <c r="N57" s="19">
        <f t="shared" si="58"/>
        <v>0</v>
      </c>
      <c r="O57" s="19">
        <f t="shared" si="16"/>
        <v>2975</v>
      </c>
      <c r="P57" s="13">
        <f t="shared" si="59"/>
        <v>10959</v>
      </c>
      <c r="Q57" s="391">
        <f t="shared" si="17"/>
        <v>3855</v>
      </c>
      <c r="R57" s="391">
        <f t="shared" si="60"/>
        <v>42246945</v>
      </c>
      <c r="S57" s="391">
        <f>'Table 6 (Local Deduct Calc.)'!J58</f>
        <v>9795012.5</v>
      </c>
      <c r="T57" s="391">
        <f t="shared" si="18"/>
        <v>9795012.5</v>
      </c>
      <c r="U57" s="392">
        <f t="shared" si="19"/>
        <v>32451932.5</v>
      </c>
      <c r="V57" s="393">
        <f t="shared" si="53"/>
        <v>0.7681</v>
      </c>
      <c r="W57" s="394">
        <f t="shared" si="20"/>
        <v>0.2319</v>
      </c>
      <c r="X57" s="395">
        <f t="shared" si="21"/>
        <v>1226.8302229458918</v>
      </c>
      <c r="Y57" s="391">
        <f>'Table 7 Local Revenue'!AQ57</f>
        <v>20997384.5</v>
      </c>
      <c r="Z57" s="391">
        <f t="shared" si="22"/>
        <v>11202372</v>
      </c>
      <c r="AA57" s="277">
        <f t="shared" si="23"/>
        <v>0</v>
      </c>
      <c r="AB57" s="20">
        <f t="shared" si="24"/>
        <v>14363961.300000001</v>
      </c>
      <c r="AC57" s="20">
        <f t="shared" si="25"/>
        <v>11202372</v>
      </c>
      <c r="AD57" s="391">
        <f t="shared" si="26"/>
        <v>4468267.714896</v>
      </c>
      <c r="AE57" s="396">
        <f t="shared" si="27"/>
        <v>6734104.285104</v>
      </c>
      <c r="AF57" s="270">
        <f t="shared" si="28"/>
        <v>0.60109999999999997</v>
      </c>
      <c r="AG57" s="396">
        <f t="shared" si="29"/>
        <v>39186036.785103999</v>
      </c>
      <c r="AH57" s="20">
        <f t="shared" si="30"/>
        <v>4908</v>
      </c>
      <c r="AI57" s="396">
        <f>'Table 4 Level 3'!O55</f>
        <v>1359415</v>
      </c>
      <c r="AJ57" s="20">
        <f t="shared" si="61"/>
        <v>170.26740981963928</v>
      </c>
      <c r="AK57" s="396">
        <f t="shared" si="31"/>
        <v>40545451.785103999</v>
      </c>
      <c r="AL57" s="20">
        <f t="shared" si="62"/>
        <v>5078.3381494368732</v>
      </c>
      <c r="AM57" s="519">
        <f>'Table 4 Level 3'!R55</f>
        <v>6423547.8280000007</v>
      </c>
      <c r="AN57" s="520">
        <f t="shared" si="33"/>
        <v>804.55258366733472</v>
      </c>
      <c r="AO57" s="396">
        <f t="shared" si="34"/>
        <v>45609584.613104001</v>
      </c>
      <c r="AP57" s="20">
        <f t="shared" si="35"/>
        <v>5712.6233232845689</v>
      </c>
      <c r="AQ57" s="270">
        <f t="shared" si="36"/>
        <v>0.68475694391160857</v>
      </c>
      <c r="AR57" s="397">
        <f t="shared" si="37"/>
        <v>24</v>
      </c>
      <c r="AS57" s="20">
        <f t="shared" si="38"/>
        <v>20997384.5</v>
      </c>
      <c r="AT57" s="20">
        <f t="shared" si="63"/>
        <v>2629.93</v>
      </c>
      <c r="AU57" s="397">
        <f t="shared" si="39"/>
        <v>52</v>
      </c>
      <c r="AV57" s="270">
        <f t="shared" si="40"/>
        <v>0.31524305608839143</v>
      </c>
      <c r="AW57" s="397">
        <f t="shared" si="41"/>
        <v>66606969.113104001</v>
      </c>
      <c r="AX57" s="398">
        <f t="shared" si="64"/>
        <v>8342.5562516412829</v>
      </c>
      <c r="AY57" s="397">
        <f t="shared" si="42"/>
        <v>51</v>
      </c>
      <c r="AZ57" s="20">
        <v>46239418.187183999</v>
      </c>
      <c r="BA57" s="277">
        <f t="shared" si="65"/>
        <v>-629833.57407999784</v>
      </c>
      <c r="BB57" s="277">
        <f t="shared" si="43"/>
        <v>32451932.5</v>
      </c>
      <c r="BC57" s="277">
        <v>33534668.5</v>
      </c>
      <c r="BD57" s="277">
        <f t="shared" si="44"/>
        <v>-1082736</v>
      </c>
      <c r="BE57" s="277">
        <f t="shared" si="45"/>
        <v>6734104.285104</v>
      </c>
      <c r="BF57" s="277">
        <v>6170678.6871840004</v>
      </c>
      <c r="BG57" s="277">
        <f t="shared" si="46"/>
        <v>563425.59791999962</v>
      </c>
      <c r="BH57" s="277">
        <f t="shared" si="47"/>
        <v>20997384.5</v>
      </c>
      <c r="BI57" s="277">
        <v>19088863.5</v>
      </c>
      <c r="BJ57" s="277">
        <f t="shared" si="48"/>
        <v>1908521</v>
      </c>
      <c r="BK57" s="82">
        <f t="shared" si="49"/>
        <v>7984</v>
      </c>
      <c r="BL57" s="82">
        <v>8111</v>
      </c>
      <c r="BM57" s="955">
        <f t="shared" si="50"/>
        <v>-127</v>
      </c>
      <c r="BN57" s="82">
        <f t="shared" si="51"/>
        <v>10959</v>
      </c>
      <c r="BO57" s="82">
        <v>11101</v>
      </c>
      <c r="BP57" s="955">
        <f t="shared" si="52"/>
        <v>-142</v>
      </c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</row>
    <row r="58" spans="1:148" s="5" customFormat="1">
      <c r="A58" s="103">
        <v>51</v>
      </c>
      <c r="B58" s="81" t="s">
        <v>151</v>
      </c>
      <c r="C58" s="81">
        <f>'Table 8 2.1.12 MFP Funded'!AD54</f>
        <v>9050</v>
      </c>
      <c r="D58" s="81">
        <f>'[7]Table 3 for Option A'!AD54</f>
        <v>6631</v>
      </c>
      <c r="E58" s="81">
        <f t="shared" si="54"/>
        <v>1459</v>
      </c>
      <c r="F58" s="81">
        <f>'[8]Table 3 Option A'!T62</f>
        <v>2989.5</v>
      </c>
      <c r="G58" s="81">
        <f t="shared" si="55"/>
        <v>179</v>
      </c>
      <c r="H58" s="81">
        <f>'[9]SWD_Option A'!Z56</f>
        <v>1359</v>
      </c>
      <c r="I58" s="81">
        <f t="shared" si="14"/>
        <v>2039</v>
      </c>
      <c r="J58" s="81">
        <f>'[9]GiftedTalented-Option a'!AA56</f>
        <v>548</v>
      </c>
      <c r="K58" s="13">
        <f t="shared" si="15"/>
        <v>329</v>
      </c>
      <c r="L58" s="13">
        <f t="shared" si="56"/>
        <v>0</v>
      </c>
      <c r="M58" s="65">
        <f t="shared" si="57"/>
        <v>0</v>
      </c>
      <c r="N58" s="13">
        <f t="shared" si="58"/>
        <v>0</v>
      </c>
      <c r="O58" s="13">
        <f t="shared" si="16"/>
        <v>4006</v>
      </c>
      <c r="P58" s="36">
        <f t="shared" si="59"/>
        <v>13056</v>
      </c>
      <c r="Q58" s="384">
        <f t="shared" si="17"/>
        <v>3855</v>
      </c>
      <c r="R58" s="384">
        <f t="shared" si="60"/>
        <v>50330880</v>
      </c>
      <c r="S58" s="384">
        <f>'Table 6 (Local Deduct Calc.)'!J59</f>
        <v>18656661</v>
      </c>
      <c r="T58" s="384">
        <f t="shared" si="18"/>
        <v>18656661</v>
      </c>
      <c r="U58" s="385">
        <f t="shared" si="19"/>
        <v>31674219</v>
      </c>
      <c r="V58" s="386">
        <f t="shared" si="53"/>
        <v>0.62929999999999997</v>
      </c>
      <c r="W58" s="386">
        <f t="shared" si="20"/>
        <v>0.37069999999999997</v>
      </c>
      <c r="X58" s="387">
        <f t="shared" si="21"/>
        <v>2061.5095027624311</v>
      </c>
      <c r="Y58" s="384">
        <f>'Table 7 Local Revenue'!AQ58</f>
        <v>37188952</v>
      </c>
      <c r="Z58" s="384">
        <f t="shared" si="22"/>
        <v>18532291</v>
      </c>
      <c r="AA58" s="276">
        <f t="shared" si="23"/>
        <v>0</v>
      </c>
      <c r="AB58" s="14">
        <f t="shared" si="24"/>
        <v>17112499.200000003</v>
      </c>
      <c r="AC58" s="14">
        <f t="shared" si="25"/>
        <v>17112499.200000003</v>
      </c>
      <c r="AD58" s="384">
        <f t="shared" si="26"/>
        <v>10910997.939916801</v>
      </c>
      <c r="AE58" s="388">
        <f t="shared" si="27"/>
        <v>6201501.2600832023</v>
      </c>
      <c r="AF58" s="16">
        <f t="shared" si="28"/>
        <v>0.3624</v>
      </c>
      <c r="AG58" s="388">
        <f t="shared" si="29"/>
        <v>37875720.260083199</v>
      </c>
      <c r="AH58" s="14">
        <f t="shared" si="30"/>
        <v>4185</v>
      </c>
      <c r="AI58" s="388">
        <f>'Table 4 Level 3'!O56</f>
        <v>1291547</v>
      </c>
      <c r="AJ58" s="14">
        <f t="shared" si="61"/>
        <v>142.71237569060773</v>
      </c>
      <c r="AK58" s="388">
        <f t="shared" si="31"/>
        <v>39167267.260083199</v>
      </c>
      <c r="AL58" s="14">
        <f t="shared" si="62"/>
        <v>4327.8748353683095</v>
      </c>
      <c r="AM58" s="517">
        <f>'Table 4 Level 3'!R56</f>
        <v>7685972.0079999994</v>
      </c>
      <c r="AN58" s="518">
        <f t="shared" si="33"/>
        <v>849.27867491712698</v>
      </c>
      <c r="AO58" s="388">
        <f t="shared" si="34"/>
        <v>45561692.2680832</v>
      </c>
      <c r="AP58" s="14">
        <f t="shared" si="35"/>
        <v>5034.4411345948283</v>
      </c>
      <c r="AQ58" s="16">
        <f t="shared" si="36"/>
        <v>0.56020182852458167</v>
      </c>
      <c r="AR58" s="389">
        <f t="shared" si="37"/>
        <v>52</v>
      </c>
      <c r="AS58" s="14">
        <f t="shared" si="38"/>
        <v>35769160.200000003</v>
      </c>
      <c r="AT58" s="14">
        <f t="shared" si="63"/>
        <v>3952.39</v>
      </c>
      <c r="AU58" s="389">
        <f t="shared" si="39"/>
        <v>18</v>
      </c>
      <c r="AV58" s="16">
        <f t="shared" si="40"/>
        <v>0.43979817147541828</v>
      </c>
      <c r="AW58" s="389">
        <f t="shared" si="41"/>
        <v>81330852.468083203</v>
      </c>
      <c r="AX58" s="390">
        <f t="shared" si="64"/>
        <v>8986.8345268600224</v>
      </c>
      <c r="AY58" s="389">
        <f t="shared" si="42"/>
        <v>25</v>
      </c>
      <c r="AZ58" s="14">
        <v>47159921.692704</v>
      </c>
      <c r="BA58" s="276">
        <f t="shared" si="65"/>
        <v>-1598229.4246207997</v>
      </c>
      <c r="BB58" s="276">
        <f t="shared" si="43"/>
        <v>31674219</v>
      </c>
      <c r="BC58" s="276">
        <v>32782335</v>
      </c>
      <c r="BD58" s="276">
        <f t="shared" si="44"/>
        <v>-1108116</v>
      </c>
      <c r="BE58" s="276">
        <f t="shared" si="45"/>
        <v>6201501.2600832023</v>
      </c>
      <c r="BF58" s="276">
        <v>6795832.6927040014</v>
      </c>
      <c r="BG58" s="276">
        <f t="shared" si="46"/>
        <v>-594331.43262079917</v>
      </c>
      <c r="BH58" s="276">
        <f t="shared" si="47"/>
        <v>37188952</v>
      </c>
      <c r="BI58" s="276">
        <v>33485668</v>
      </c>
      <c r="BJ58" s="276">
        <f t="shared" si="48"/>
        <v>3703284</v>
      </c>
      <c r="BK58" s="81">
        <f t="shared" si="49"/>
        <v>9050</v>
      </c>
      <c r="BL58" s="81">
        <v>8991</v>
      </c>
      <c r="BM58" s="954">
        <f t="shared" si="50"/>
        <v>59</v>
      </c>
      <c r="BN58" s="81">
        <f t="shared" si="51"/>
        <v>13056</v>
      </c>
      <c r="BO58" s="81">
        <v>12916</v>
      </c>
      <c r="BP58" s="954">
        <f t="shared" si="52"/>
        <v>140</v>
      </c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</row>
    <row r="59" spans="1:148" s="5" customFormat="1">
      <c r="A59" s="103">
        <v>52</v>
      </c>
      <c r="B59" s="81" t="s">
        <v>152</v>
      </c>
      <c r="C59" s="81">
        <f>'Table 8 2.1.12 MFP Funded'!AD55</f>
        <v>36515</v>
      </c>
      <c r="D59" s="81">
        <f>'[7]Table 3 for Option A'!AD55</f>
        <v>16961</v>
      </c>
      <c r="E59" s="81">
        <f t="shared" si="54"/>
        <v>3731</v>
      </c>
      <c r="F59" s="81">
        <f>'[8]Table 3 Option A'!T63</f>
        <v>15918.5</v>
      </c>
      <c r="G59" s="81">
        <f t="shared" si="55"/>
        <v>955</v>
      </c>
      <c r="H59" s="81">
        <f>'[9]SWD_Option A'!Z57</f>
        <v>6206</v>
      </c>
      <c r="I59" s="81">
        <f t="shared" si="14"/>
        <v>9309</v>
      </c>
      <c r="J59" s="81">
        <f>'[9]GiftedTalented-Option a'!AA57</f>
        <v>3464</v>
      </c>
      <c r="K59" s="13">
        <f t="shared" si="15"/>
        <v>2078</v>
      </c>
      <c r="L59" s="13">
        <f t="shared" si="56"/>
        <v>0</v>
      </c>
      <c r="M59" s="65">
        <f t="shared" si="57"/>
        <v>0</v>
      </c>
      <c r="N59" s="13">
        <f t="shared" si="58"/>
        <v>0</v>
      </c>
      <c r="O59" s="13">
        <f t="shared" si="16"/>
        <v>16073</v>
      </c>
      <c r="P59" s="13">
        <f t="shared" si="59"/>
        <v>52588</v>
      </c>
      <c r="Q59" s="384">
        <f t="shared" si="17"/>
        <v>3855</v>
      </c>
      <c r="R59" s="384">
        <f t="shared" si="60"/>
        <v>202726740</v>
      </c>
      <c r="S59" s="384">
        <f>'Table 6 (Local Deduct Calc.)'!J60</f>
        <v>60953970</v>
      </c>
      <c r="T59" s="384">
        <f t="shared" si="18"/>
        <v>60953970</v>
      </c>
      <c r="U59" s="385">
        <f t="shared" si="19"/>
        <v>141772770</v>
      </c>
      <c r="V59" s="386">
        <f t="shared" si="53"/>
        <v>0.69930000000000003</v>
      </c>
      <c r="W59" s="386">
        <f t="shared" si="20"/>
        <v>0.30070000000000002</v>
      </c>
      <c r="X59" s="387">
        <f t="shared" si="21"/>
        <v>1669.2857729700124</v>
      </c>
      <c r="Y59" s="384">
        <f>'Table 7 Local Revenue'!AQ59</f>
        <v>180985630</v>
      </c>
      <c r="Z59" s="384">
        <f t="shared" si="22"/>
        <v>120031660</v>
      </c>
      <c r="AA59" s="276">
        <f t="shared" si="23"/>
        <v>0</v>
      </c>
      <c r="AB59" s="14">
        <f t="shared" si="24"/>
        <v>68927091.600000009</v>
      </c>
      <c r="AC59" s="14">
        <f t="shared" si="25"/>
        <v>68927091.600000009</v>
      </c>
      <c r="AD59" s="384">
        <f t="shared" si="26"/>
        <v>35649367.483886406</v>
      </c>
      <c r="AE59" s="388">
        <f t="shared" si="27"/>
        <v>33277724.116113603</v>
      </c>
      <c r="AF59" s="16">
        <f t="shared" si="28"/>
        <v>0.48280000000000001</v>
      </c>
      <c r="AG59" s="388">
        <f t="shared" si="29"/>
        <v>175050494.1161136</v>
      </c>
      <c r="AH59" s="14">
        <f t="shared" si="30"/>
        <v>4794</v>
      </c>
      <c r="AI59" s="388">
        <f>'Table 4 Level 3'!O57</f>
        <v>5211141</v>
      </c>
      <c r="AJ59" s="14">
        <f t="shared" si="61"/>
        <v>142.71233739559085</v>
      </c>
      <c r="AK59" s="388">
        <f t="shared" si="31"/>
        <v>180261635.1161136</v>
      </c>
      <c r="AL59" s="14">
        <f t="shared" si="62"/>
        <v>4936.6461759855838</v>
      </c>
      <c r="AM59" s="517">
        <f>'Table 4 Level 3'!R57</f>
        <v>29243555.272999998</v>
      </c>
      <c r="AN59" s="518">
        <f t="shared" si="33"/>
        <v>800.86417288785424</v>
      </c>
      <c r="AO59" s="388">
        <f t="shared" si="34"/>
        <v>204294049.38911361</v>
      </c>
      <c r="AP59" s="14">
        <f t="shared" si="35"/>
        <v>5594.7980114778475</v>
      </c>
      <c r="AQ59" s="16">
        <f t="shared" si="36"/>
        <v>0.61133831536535022</v>
      </c>
      <c r="AR59" s="389">
        <f t="shared" si="37"/>
        <v>43</v>
      </c>
      <c r="AS59" s="14">
        <f t="shared" si="38"/>
        <v>129881061.59999999</v>
      </c>
      <c r="AT59" s="14">
        <f t="shared" si="63"/>
        <v>3556.92</v>
      </c>
      <c r="AU59" s="389">
        <f t="shared" si="39"/>
        <v>24</v>
      </c>
      <c r="AV59" s="16">
        <f t="shared" si="40"/>
        <v>0.38866168463464995</v>
      </c>
      <c r="AW59" s="389">
        <f t="shared" si="41"/>
        <v>334175110.98911357</v>
      </c>
      <c r="AX59" s="390">
        <f t="shared" si="64"/>
        <v>9151.7215114093815</v>
      </c>
      <c r="AY59" s="389">
        <f t="shared" si="42"/>
        <v>20</v>
      </c>
      <c r="AZ59" s="14">
        <v>204208906.02739519</v>
      </c>
      <c r="BA59" s="276">
        <f t="shared" si="65"/>
        <v>85143.361718416214</v>
      </c>
      <c r="BB59" s="276">
        <f t="shared" si="43"/>
        <v>141772770</v>
      </c>
      <c r="BC59" s="276">
        <v>141781289</v>
      </c>
      <c r="BD59" s="276">
        <f t="shared" si="44"/>
        <v>-8519</v>
      </c>
      <c r="BE59" s="276">
        <f t="shared" si="45"/>
        <v>33277724.116113603</v>
      </c>
      <c r="BF59" s="276">
        <v>33667178.027395204</v>
      </c>
      <c r="BG59" s="276">
        <f t="shared" si="46"/>
        <v>-389453.91128160059</v>
      </c>
      <c r="BH59" s="276">
        <f t="shared" si="47"/>
        <v>180985630</v>
      </c>
      <c r="BI59" s="276">
        <v>175550192</v>
      </c>
      <c r="BJ59" s="276">
        <f t="shared" si="48"/>
        <v>5435438</v>
      </c>
      <c r="BK59" s="81">
        <f t="shared" si="49"/>
        <v>36515</v>
      </c>
      <c r="BL59" s="81">
        <v>36178</v>
      </c>
      <c r="BM59" s="954">
        <f t="shared" si="50"/>
        <v>337</v>
      </c>
      <c r="BN59" s="81">
        <f t="shared" si="51"/>
        <v>52588</v>
      </c>
      <c r="BO59" s="81">
        <v>52181</v>
      </c>
      <c r="BP59" s="954">
        <f t="shared" si="52"/>
        <v>407</v>
      </c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</row>
    <row r="60" spans="1:148" s="5" customFormat="1">
      <c r="A60" s="103">
        <v>53</v>
      </c>
      <c r="B60" s="81" t="s">
        <v>153</v>
      </c>
      <c r="C60" s="81">
        <f>'Table 8 2.1.12 MFP Funded'!AD56</f>
        <v>19008</v>
      </c>
      <c r="D60" s="81">
        <f>'[7]Table 3 for Option A'!AD56</f>
        <v>14411</v>
      </c>
      <c r="E60" s="81">
        <f t="shared" si="54"/>
        <v>3170</v>
      </c>
      <c r="F60" s="81">
        <f>'[8]Table 3 Option A'!T64</f>
        <v>6982.5</v>
      </c>
      <c r="G60" s="81">
        <f t="shared" si="55"/>
        <v>419</v>
      </c>
      <c r="H60" s="81">
        <f>'[9]SWD_Option A'!Z58</f>
        <v>2250</v>
      </c>
      <c r="I60" s="81">
        <f t="shared" si="14"/>
        <v>3375</v>
      </c>
      <c r="J60" s="81">
        <f>'[9]GiftedTalented-Option a'!AA58</f>
        <v>385</v>
      </c>
      <c r="K60" s="13">
        <f t="shared" si="15"/>
        <v>231</v>
      </c>
      <c r="L60" s="13">
        <f t="shared" si="56"/>
        <v>0</v>
      </c>
      <c r="M60" s="65">
        <f t="shared" si="57"/>
        <v>0</v>
      </c>
      <c r="N60" s="13">
        <f t="shared" si="58"/>
        <v>0</v>
      </c>
      <c r="O60" s="13">
        <f t="shared" si="16"/>
        <v>7195</v>
      </c>
      <c r="P60" s="13">
        <f t="shared" si="59"/>
        <v>26203</v>
      </c>
      <c r="Q60" s="384">
        <f t="shared" si="17"/>
        <v>3855</v>
      </c>
      <c r="R60" s="384">
        <f t="shared" si="60"/>
        <v>101012565</v>
      </c>
      <c r="S60" s="384">
        <f>'Table 6 (Local Deduct Calc.)'!J61</f>
        <v>21874354</v>
      </c>
      <c r="T60" s="384">
        <f t="shared" si="18"/>
        <v>21874354</v>
      </c>
      <c r="U60" s="385">
        <f t="shared" si="19"/>
        <v>79138211</v>
      </c>
      <c r="V60" s="386">
        <f t="shared" si="53"/>
        <v>0.78339999999999999</v>
      </c>
      <c r="W60" s="386">
        <f t="shared" si="20"/>
        <v>0.21659999999999999</v>
      </c>
      <c r="X60" s="387">
        <f t="shared" si="21"/>
        <v>1150.7972432659933</v>
      </c>
      <c r="Y60" s="384">
        <f>'Table 7 Local Revenue'!AQ60</f>
        <v>36686115</v>
      </c>
      <c r="Z60" s="384">
        <f t="shared" si="22"/>
        <v>14811761</v>
      </c>
      <c r="AA60" s="276">
        <f t="shared" si="23"/>
        <v>0</v>
      </c>
      <c r="AB60" s="14">
        <f t="shared" si="24"/>
        <v>34344272.100000001</v>
      </c>
      <c r="AC60" s="14">
        <f t="shared" si="25"/>
        <v>14811761</v>
      </c>
      <c r="AD60" s="384">
        <f t="shared" si="26"/>
        <v>5518151.184072</v>
      </c>
      <c r="AE60" s="388">
        <f t="shared" si="27"/>
        <v>9293609.815928001</v>
      </c>
      <c r="AF60" s="16">
        <f t="shared" si="28"/>
        <v>0.62739999999999996</v>
      </c>
      <c r="AG60" s="388">
        <f t="shared" si="29"/>
        <v>88431820.815927997</v>
      </c>
      <c r="AH60" s="14">
        <f t="shared" si="30"/>
        <v>4652</v>
      </c>
      <c r="AI60" s="388">
        <f>'Table 4 Level 3'!O58</f>
        <v>2812676</v>
      </c>
      <c r="AJ60" s="14">
        <f t="shared" si="61"/>
        <v>147.97327441077442</v>
      </c>
      <c r="AK60" s="388">
        <f t="shared" si="31"/>
        <v>91244496.815927997</v>
      </c>
      <c r="AL60" s="14">
        <f t="shared" si="62"/>
        <v>4800.3207499962118</v>
      </c>
      <c r="AM60" s="517">
        <f>'Table 4 Level 3'!R58</f>
        <v>15918080.869999999</v>
      </c>
      <c r="AN60" s="518">
        <f t="shared" si="33"/>
        <v>837.44112321127943</v>
      </c>
      <c r="AO60" s="388">
        <f t="shared" si="34"/>
        <v>104349901.685928</v>
      </c>
      <c r="AP60" s="14">
        <f t="shared" si="35"/>
        <v>5489.7885987967175</v>
      </c>
      <c r="AQ60" s="16">
        <f t="shared" si="36"/>
        <v>0.73988123131911754</v>
      </c>
      <c r="AR60" s="389">
        <f t="shared" si="37"/>
        <v>10</v>
      </c>
      <c r="AS60" s="14">
        <f t="shared" si="38"/>
        <v>36686115</v>
      </c>
      <c r="AT60" s="14">
        <f t="shared" si="63"/>
        <v>1930.04</v>
      </c>
      <c r="AU60" s="389">
        <f t="shared" si="39"/>
        <v>61</v>
      </c>
      <c r="AV60" s="16">
        <f t="shared" si="40"/>
        <v>0.26011876868088257</v>
      </c>
      <c r="AW60" s="389">
        <f t="shared" si="41"/>
        <v>141036016.68592799</v>
      </c>
      <c r="AX60" s="390">
        <f t="shared" si="64"/>
        <v>7419.8241101603526</v>
      </c>
      <c r="AY60" s="389">
        <f t="shared" si="42"/>
        <v>68</v>
      </c>
      <c r="AZ60" s="14">
        <v>101336583.63023999</v>
      </c>
      <c r="BA60" s="276">
        <f t="shared" si="65"/>
        <v>3013318.0556880087</v>
      </c>
      <c r="BB60" s="276">
        <f t="shared" si="43"/>
        <v>79138211</v>
      </c>
      <c r="BC60" s="276">
        <v>76823804.5</v>
      </c>
      <c r="BD60" s="276">
        <f t="shared" si="44"/>
        <v>2314406.5</v>
      </c>
      <c r="BE60" s="276">
        <f t="shared" si="45"/>
        <v>9293609.815928001</v>
      </c>
      <c r="BF60" s="276">
        <v>9045663.1302400008</v>
      </c>
      <c r="BG60" s="276">
        <f t="shared" si="46"/>
        <v>247946.68568800017</v>
      </c>
      <c r="BH60" s="276">
        <f t="shared" si="47"/>
        <v>36686115</v>
      </c>
      <c r="BI60" s="276">
        <v>36348475.5</v>
      </c>
      <c r="BJ60" s="276">
        <f t="shared" si="48"/>
        <v>337639.5</v>
      </c>
      <c r="BK60" s="81">
        <f t="shared" si="49"/>
        <v>19008</v>
      </c>
      <c r="BL60" s="81">
        <v>18645</v>
      </c>
      <c r="BM60" s="954">
        <f t="shared" si="50"/>
        <v>363</v>
      </c>
      <c r="BN60" s="81">
        <f t="shared" si="51"/>
        <v>26203</v>
      </c>
      <c r="BO60" s="81">
        <v>25574</v>
      </c>
      <c r="BP60" s="954">
        <f t="shared" si="52"/>
        <v>629</v>
      </c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</row>
    <row r="61" spans="1:148" s="5" customFormat="1">
      <c r="A61" s="103">
        <v>54</v>
      </c>
      <c r="B61" s="81" t="s">
        <v>154</v>
      </c>
      <c r="C61" s="81">
        <f>'Table 8 2.1.12 MFP Funded'!AD57</f>
        <v>699</v>
      </c>
      <c r="D61" s="81">
        <f>'[7]Table 3 for Option A'!AD57</f>
        <v>667</v>
      </c>
      <c r="E61" s="81">
        <f t="shared" si="54"/>
        <v>147</v>
      </c>
      <c r="F61" s="81">
        <f>'[8]Table 3 Option A'!T65</f>
        <v>257</v>
      </c>
      <c r="G61" s="81">
        <f t="shared" si="55"/>
        <v>15</v>
      </c>
      <c r="H61" s="81">
        <f>'[9]SWD_Option A'!Z59</f>
        <v>121</v>
      </c>
      <c r="I61" s="81">
        <f t="shared" si="14"/>
        <v>182</v>
      </c>
      <c r="J61" s="81">
        <f>'[9]GiftedTalented-Option a'!AA59</f>
        <v>25</v>
      </c>
      <c r="K61" s="13">
        <f t="shared" si="15"/>
        <v>15</v>
      </c>
      <c r="L61" s="13">
        <f t="shared" si="56"/>
        <v>6801</v>
      </c>
      <c r="M61" s="65">
        <f t="shared" si="57"/>
        <v>0.18135999999999999</v>
      </c>
      <c r="N61" s="13">
        <f t="shared" si="58"/>
        <v>127</v>
      </c>
      <c r="O61" s="13">
        <f t="shared" si="16"/>
        <v>486</v>
      </c>
      <c r="P61" s="13">
        <f t="shared" si="59"/>
        <v>1185</v>
      </c>
      <c r="Q61" s="384">
        <f t="shared" si="17"/>
        <v>3855</v>
      </c>
      <c r="R61" s="384">
        <f t="shared" si="60"/>
        <v>4568175</v>
      </c>
      <c r="S61" s="384">
        <f>'Table 6 (Local Deduct Calc.)'!J62</f>
        <v>1090626.5</v>
      </c>
      <c r="T61" s="384">
        <f t="shared" si="18"/>
        <v>1090626.5</v>
      </c>
      <c r="U61" s="385">
        <f t="shared" si="19"/>
        <v>3477548.5</v>
      </c>
      <c r="V61" s="386">
        <f t="shared" si="53"/>
        <v>0.76129999999999998</v>
      </c>
      <c r="W61" s="386">
        <f t="shared" si="20"/>
        <v>0.2387</v>
      </c>
      <c r="X61" s="387">
        <f t="shared" si="21"/>
        <v>1560.266809728183</v>
      </c>
      <c r="Y61" s="384">
        <f>'Table 7 Local Revenue'!AQ61</f>
        <v>2149651.5</v>
      </c>
      <c r="Z61" s="384">
        <f t="shared" si="22"/>
        <v>1059025</v>
      </c>
      <c r="AA61" s="276">
        <f t="shared" si="23"/>
        <v>0</v>
      </c>
      <c r="AB61" s="14">
        <f t="shared" si="24"/>
        <v>1553179.5</v>
      </c>
      <c r="AC61" s="14">
        <f t="shared" si="25"/>
        <v>1059025</v>
      </c>
      <c r="AD61" s="384">
        <f t="shared" si="26"/>
        <v>434797.54009999998</v>
      </c>
      <c r="AE61" s="388">
        <f t="shared" si="27"/>
        <v>624227.45990000002</v>
      </c>
      <c r="AF61" s="16">
        <f t="shared" si="28"/>
        <v>0.58940000000000003</v>
      </c>
      <c r="AG61" s="388">
        <f t="shared" si="29"/>
        <v>4101775.9599000001</v>
      </c>
      <c r="AH61" s="14">
        <f t="shared" si="30"/>
        <v>5868</v>
      </c>
      <c r="AI61" s="388">
        <f>'Table 4 Level 3'!O59</f>
        <v>99756</v>
      </c>
      <c r="AJ61" s="14">
        <f t="shared" si="61"/>
        <v>142.71244635193133</v>
      </c>
      <c r="AK61" s="388">
        <f t="shared" si="31"/>
        <v>4201531.9599000001</v>
      </c>
      <c r="AL61" s="14">
        <f t="shared" si="62"/>
        <v>6010.7753360515026</v>
      </c>
      <c r="AM61" s="517">
        <f>'Table 4 Level 3'!R59</f>
        <v>764629.26</v>
      </c>
      <c r="AN61" s="518">
        <f t="shared" si="33"/>
        <v>1093.8902145922748</v>
      </c>
      <c r="AO61" s="388">
        <f t="shared" si="34"/>
        <v>4866405.2198999999</v>
      </c>
      <c r="AP61" s="14">
        <f t="shared" si="35"/>
        <v>6961.9531042918452</v>
      </c>
      <c r="AQ61" s="16">
        <f t="shared" si="36"/>
        <v>0.69360973181661523</v>
      </c>
      <c r="AR61" s="389">
        <f t="shared" si="37"/>
        <v>22</v>
      </c>
      <c r="AS61" s="14">
        <f t="shared" si="38"/>
        <v>2149651.5</v>
      </c>
      <c r="AT61" s="14">
        <f t="shared" si="63"/>
        <v>3075.32</v>
      </c>
      <c r="AU61" s="389">
        <f t="shared" si="39"/>
        <v>36</v>
      </c>
      <c r="AV61" s="16">
        <f t="shared" si="40"/>
        <v>0.30639026818338477</v>
      </c>
      <c r="AW61" s="389">
        <f t="shared" si="41"/>
        <v>7016056.7198999999</v>
      </c>
      <c r="AX61" s="390">
        <f t="shared" si="64"/>
        <v>10037.277138626609</v>
      </c>
      <c r="AY61" s="389">
        <f t="shared" si="42"/>
        <v>4</v>
      </c>
      <c r="AZ61" s="14">
        <v>4458876.84736</v>
      </c>
      <c r="BA61" s="276">
        <f t="shared" si="65"/>
        <v>407528.37253999989</v>
      </c>
      <c r="BB61" s="276">
        <f t="shared" si="43"/>
        <v>3477548.5</v>
      </c>
      <c r="BC61" s="276">
        <v>3206812.5</v>
      </c>
      <c r="BD61" s="276">
        <f t="shared" si="44"/>
        <v>270736</v>
      </c>
      <c r="BE61" s="276">
        <f t="shared" si="45"/>
        <v>624227.45990000002</v>
      </c>
      <c r="BF61" s="276">
        <v>517630.34735999996</v>
      </c>
      <c r="BG61" s="276">
        <f t="shared" si="46"/>
        <v>106597.11254000006</v>
      </c>
      <c r="BH61" s="276">
        <f t="shared" si="47"/>
        <v>2149651.5</v>
      </c>
      <c r="BI61" s="276">
        <v>2208019.5</v>
      </c>
      <c r="BJ61" s="276">
        <f t="shared" si="48"/>
        <v>-58368</v>
      </c>
      <c r="BK61" s="81">
        <f t="shared" si="49"/>
        <v>699</v>
      </c>
      <c r="BL61" s="81">
        <v>675</v>
      </c>
      <c r="BM61" s="954">
        <f t="shared" si="50"/>
        <v>24</v>
      </c>
      <c r="BN61" s="81">
        <f t="shared" si="51"/>
        <v>1185</v>
      </c>
      <c r="BO61" s="81">
        <v>1149</v>
      </c>
      <c r="BP61" s="954">
        <f t="shared" si="52"/>
        <v>36</v>
      </c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</row>
    <row r="62" spans="1:148" s="21" customFormat="1">
      <c r="A62" s="104">
        <v>55</v>
      </c>
      <c r="B62" s="82" t="s">
        <v>155</v>
      </c>
      <c r="C62" s="82">
        <f>'Table 8 2.1.12 MFP Funded'!AD58</f>
        <v>17687</v>
      </c>
      <c r="D62" s="82">
        <f>'[7]Table 3 for Option A'!AD58</f>
        <v>11814</v>
      </c>
      <c r="E62" s="82">
        <f t="shared" si="54"/>
        <v>2599</v>
      </c>
      <c r="F62" s="82">
        <f>'[8]Table 3 Option A'!T66</f>
        <v>6445.5</v>
      </c>
      <c r="G62" s="82">
        <f t="shared" si="55"/>
        <v>387</v>
      </c>
      <c r="H62" s="82">
        <f>'[9]SWD_Option A'!Z60</f>
        <v>2120</v>
      </c>
      <c r="I62" s="82">
        <f t="shared" si="14"/>
        <v>3180</v>
      </c>
      <c r="J62" s="82">
        <f>'[9]GiftedTalented-Option a'!AA60</f>
        <v>718</v>
      </c>
      <c r="K62" s="19">
        <f t="shared" si="15"/>
        <v>431</v>
      </c>
      <c r="L62" s="19">
        <f t="shared" si="56"/>
        <v>0</v>
      </c>
      <c r="M62" s="66">
        <f t="shared" si="57"/>
        <v>0</v>
      </c>
      <c r="N62" s="19">
        <f t="shared" si="58"/>
        <v>0</v>
      </c>
      <c r="O62" s="19">
        <f t="shared" si="16"/>
        <v>6597</v>
      </c>
      <c r="P62" s="13">
        <f t="shared" si="59"/>
        <v>24284</v>
      </c>
      <c r="Q62" s="391">
        <f t="shared" si="17"/>
        <v>3855</v>
      </c>
      <c r="R62" s="391">
        <f t="shared" si="60"/>
        <v>93614820</v>
      </c>
      <c r="S62" s="391">
        <f>'Table 6 (Local Deduct Calc.)'!J63</f>
        <v>32299310</v>
      </c>
      <c r="T62" s="391">
        <f t="shared" si="18"/>
        <v>32299310</v>
      </c>
      <c r="U62" s="392">
        <f t="shared" si="19"/>
        <v>61315510</v>
      </c>
      <c r="V62" s="393">
        <f t="shared" si="53"/>
        <v>0.65500000000000003</v>
      </c>
      <c r="W62" s="394">
        <f t="shared" si="20"/>
        <v>0.34499999999999997</v>
      </c>
      <c r="X62" s="395">
        <f t="shared" si="21"/>
        <v>1826.1610222197094</v>
      </c>
      <c r="Y62" s="391">
        <f>'Table 7 Local Revenue'!AQ62</f>
        <v>53802708</v>
      </c>
      <c r="Z62" s="391">
        <f t="shared" si="22"/>
        <v>21503398</v>
      </c>
      <c r="AA62" s="277">
        <f t="shared" si="23"/>
        <v>0</v>
      </c>
      <c r="AB62" s="20">
        <f t="shared" si="24"/>
        <v>31829038.800000001</v>
      </c>
      <c r="AC62" s="20">
        <f t="shared" si="25"/>
        <v>21503398</v>
      </c>
      <c r="AD62" s="391">
        <f t="shared" si="26"/>
        <v>12760116.373199999</v>
      </c>
      <c r="AE62" s="396">
        <f t="shared" si="27"/>
        <v>8743281.6268000007</v>
      </c>
      <c r="AF62" s="270">
        <f t="shared" si="28"/>
        <v>0.40660000000000002</v>
      </c>
      <c r="AG62" s="396">
        <f t="shared" si="29"/>
        <v>70058791.626800001</v>
      </c>
      <c r="AH62" s="20">
        <f t="shared" si="30"/>
        <v>3961</v>
      </c>
      <c r="AI62" s="396">
        <f>'Table 4 Level 3'!O60</f>
        <v>2524153</v>
      </c>
      <c r="AJ62" s="20">
        <f t="shared" si="61"/>
        <v>142.71233109063155</v>
      </c>
      <c r="AK62" s="396">
        <f t="shared" si="31"/>
        <v>72582944.626800001</v>
      </c>
      <c r="AL62" s="20">
        <f t="shared" si="62"/>
        <v>4103.7453851303217</v>
      </c>
      <c r="AM62" s="519">
        <f>'Table 4 Level 3'!R60</f>
        <v>16584772.648</v>
      </c>
      <c r="AN62" s="520">
        <f t="shared" si="33"/>
        <v>937.68149759710525</v>
      </c>
      <c r="AO62" s="396">
        <f t="shared" si="34"/>
        <v>86643564.274800003</v>
      </c>
      <c r="AP62" s="20">
        <f t="shared" si="35"/>
        <v>4898.7145516367955</v>
      </c>
      <c r="AQ62" s="270">
        <f t="shared" si="36"/>
        <v>0.61691608379089946</v>
      </c>
      <c r="AR62" s="397">
        <f t="shared" si="37"/>
        <v>42</v>
      </c>
      <c r="AS62" s="20">
        <f t="shared" si="38"/>
        <v>53802708</v>
      </c>
      <c r="AT62" s="20">
        <f t="shared" si="63"/>
        <v>3041.94</v>
      </c>
      <c r="AU62" s="397">
        <f t="shared" si="39"/>
        <v>41</v>
      </c>
      <c r="AV62" s="270">
        <f t="shared" si="40"/>
        <v>0.38308391620910048</v>
      </c>
      <c r="AW62" s="397">
        <f t="shared" si="41"/>
        <v>140446272.2748</v>
      </c>
      <c r="AX62" s="398">
        <f t="shared" si="64"/>
        <v>7940.6497582857464</v>
      </c>
      <c r="AY62" s="397">
        <f t="shared" si="42"/>
        <v>63</v>
      </c>
      <c r="AZ62" s="20">
        <v>85757621.992515996</v>
      </c>
      <c r="BA62" s="277">
        <f t="shared" si="65"/>
        <v>885942.28228400648</v>
      </c>
      <c r="BB62" s="277">
        <f t="shared" si="43"/>
        <v>61315510</v>
      </c>
      <c r="BC62" s="277">
        <v>61374302.5</v>
      </c>
      <c r="BD62" s="277">
        <f t="shared" si="44"/>
        <v>-58792.5</v>
      </c>
      <c r="BE62" s="277">
        <f t="shared" si="45"/>
        <v>8743281.6268000007</v>
      </c>
      <c r="BF62" s="277">
        <v>7954873.4925160017</v>
      </c>
      <c r="BG62" s="277">
        <f t="shared" si="46"/>
        <v>788408.13428399898</v>
      </c>
      <c r="BH62" s="277">
        <f t="shared" si="47"/>
        <v>53802708</v>
      </c>
      <c r="BI62" s="277">
        <v>50747935.5</v>
      </c>
      <c r="BJ62" s="277">
        <f t="shared" si="48"/>
        <v>3054772.5</v>
      </c>
      <c r="BK62" s="82">
        <f t="shared" si="49"/>
        <v>17687</v>
      </c>
      <c r="BL62" s="82">
        <v>17632</v>
      </c>
      <c r="BM62" s="955">
        <f t="shared" si="50"/>
        <v>55</v>
      </c>
      <c r="BN62" s="82">
        <f t="shared" si="51"/>
        <v>24284</v>
      </c>
      <c r="BO62" s="82">
        <v>24117</v>
      </c>
      <c r="BP62" s="955">
        <f t="shared" si="52"/>
        <v>167</v>
      </c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</row>
    <row r="63" spans="1:148" s="5" customFormat="1">
      <c r="A63" s="103">
        <v>56</v>
      </c>
      <c r="B63" s="81" t="s">
        <v>156</v>
      </c>
      <c r="C63" s="81">
        <f>'Table 8 2.1.12 MFP Funded'!AD59+'Table 8 2.1.12 MFP Funded'!AD73</f>
        <v>2833</v>
      </c>
      <c r="D63" s="81">
        <f>'[7]Table 3 for Option A'!AD59</f>
        <v>2107</v>
      </c>
      <c r="E63" s="81">
        <f t="shared" si="54"/>
        <v>464</v>
      </c>
      <c r="F63" s="81">
        <f>'[8]Table 3 Option A'!T67</f>
        <v>798.5</v>
      </c>
      <c r="G63" s="81">
        <f t="shared" si="55"/>
        <v>48</v>
      </c>
      <c r="H63" s="81">
        <f>'[9]SWD_Option A'!Z61+1</f>
        <v>399</v>
      </c>
      <c r="I63" s="81">
        <f t="shared" si="14"/>
        <v>599</v>
      </c>
      <c r="J63" s="81">
        <f>'[9]GiftedTalented-Option a'!AA61</f>
        <v>20</v>
      </c>
      <c r="K63" s="13">
        <f t="shared" si="15"/>
        <v>12</v>
      </c>
      <c r="L63" s="13">
        <f t="shared" si="56"/>
        <v>4667</v>
      </c>
      <c r="M63" s="65">
        <f t="shared" si="57"/>
        <v>0.12445000000000001</v>
      </c>
      <c r="N63" s="13">
        <f t="shared" si="58"/>
        <v>353</v>
      </c>
      <c r="O63" s="13">
        <f t="shared" si="16"/>
        <v>1476</v>
      </c>
      <c r="P63" s="36">
        <f t="shared" si="59"/>
        <v>4309</v>
      </c>
      <c r="Q63" s="384">
        <f t="shared" si="17"/>
        <v>3855</v>
      </c>
      <c r="R63" s="384">
        <f t="shared" si="60"/>
        <v>16611195</v>
      </c>
      <c r="S63" s="384">
        <f>'Table 6 (Local Deduct Calc.)'!J64</f>
        <v>4662490.5</v>
      </c>
      <c r="T63" s="384">
        <f t="shared" si="18"/>
        <v>4662490.5</v>
      </c>
      <c r="U63" s="385">
        <f t="shared" si="19"/>
        <v>11948704.5</v>
      </c>
      <c r="V63" s="386">
        <f t="shared" si="53"/>
        <v>0.71930000000000005</v>
      </c>
      <c r="W63" s="386">
        <f t="shared" si="20"/>
        <v>0.28070000000000001</v>
      </c>
      <c r="X63" s="387">
        <f t="shared" si="21"/>
        <v>1645.7785033533357</v>
      </c>
      <c r="Y63" s="384">
        <f>'Table 7 Local Revenue'!AQ63</f>
        <v>8544928.5</v>
      </c>
      <c r="Z63" s="384">
        <f t="shared" si="22"/>
        <v>3882438</v>
      </c>
      <c r="AA63" s="276">
        <f t="shared" si="23"/>
        <v>0</v>
      </c>
      <c r="AB63" s="14">
        <f t="shared" si="24"/>
        <v>5647806.3000000007</v>
      </c>
      <c r="AC63" s="14">
        <f t="shared" si="25"/>
        <v>3882438</v>
      </c>
      <c r="AD63" s="384">
        <f t="shared" si="26"/>
        <v>1874456.5961520001</v>
      </c>
      <c r="AE63" s="388">
        <f t="shared" si="27"/>
        <v>2007981.4038479999</v>
      </c>
      <c r="AF63" s="16">
        <f t="shared" si="28"/>
        <v>0.51719999999999999</v>
      </c>
      <c r="AG63" s="388">
        <f t="shared" si="29"/>
        <v>13956685.903848</v>
      </c>
      <c r="AH63" s="14">
        <f t="shared" si="30"/>
        <v>4926</v>
      </c>
      <c r="AI63" s="388">
        <f>'Table 4 Level 3'!O61</f>
        <v>424304</v>
      </c>
      <c r="AJ63" s="14">
        <f t="shared" si="61"/>
        <v>149.77197317331451</v>
      </c>
      <c r="AK63" s="388">
        <f t="shared" si="31"/>
        <v>14380989.903848</v>
      </c>
      <c r="AL63" s="14">
        <f t="shared" si="62"/>
        <v>5076.2407002640311</v>
      </c>
      <c r="AM63" s="517">
        <f>'Table 4 Level 3'!R61</f>
        <v>2165205.5180000002</v>
      </c>
      <c r="AN63" s="518">
        <f t="shared" si="33"/>
        <v>764.28009812919174</v>
      </c>
      <c r="AO63" s="388">
        <f>AG63+AM63</f>
        <v>16121891.421847999</v>
      </c>
      <c r="AP63" s="14">
        <f t="shared" si="35"/>
        <v>5690.7488252199082</v>
      </c>
      <c r="AQ63" s="16">
        <f t="shared" si="36"/>
        <v>0.65358613201568194</v>
      </c>
      <c r="AR63" s="389">
        <f t="shared" si="37"/>
        <v>34</v>
      </c>
      <c r="AS63" s="14">
        <f t="shared" si="38"/>
        <v>8544928.5</v>
      </c>
      <c r="AT63" s="14">
        <f t="shared" si="63"/>
        <v>3016.21</v>
      </c>
      <c r="AU63" s="389">
        <f t="shared" si="39"/>
        <v>42</v>
      </c>
      <c r="AV63" s="16">
        <f t="shared" si="40"/>
        <v>0.34641386798431806</v>
      </c>
      <c r="AW63" s="389">
        <f t="shared" si="41"/>
        <v>24666819.921847999</v>
      </c>
      <c r="AX63" s="390">
        <f t="shared" si="64"/>
        <v>8706.9607913335676</v>
      </c>
      <c r="AY63" s="389">
        <f t="shared" si="42"/>
        <v>37</v>
      </c>
      <c r="AZ63" s="14">
        <v>16120097.720015999</v>
      </c>
      <c r="BA63" s="276">
        <f t="shared" si="65"/>
        <v>1793.7018320001662</v>
      </c>
      <c r="BB63" s="276">
        <f t="shared" si="43"/>
        <v>11948704.5</v>
      </c>
      <c r="BC63" s="276">
        <v>11929203</v>
      </c>
      <c r="BD63" s="276">
        <f t="shared" si="44"/>
        <v>19501.5</v>
      </c>
      <c r="BE63" s="276">
        <f t="shared" si="45"/>
        <v>2007981.4038479999</v>
      </c>
      <c r="BF63" s="276">
        <v>2051588.7200159999</v>
      </c>
      <c r="BG63" s="276">
        <f t="shared" si="46"/>
        <v>-43607.31616799999</v>
      </c>
      <c r="BH63" s="276">
        <f t="shared" si="47"/>
        <v>8544928.5</v>
      </c>
      <c r="BI63" s="276">
        <v>8841303</v>
      </c>
      <c r="BJ63" s="276">
        <f t="shared" si="48"/>
        <v>-296374.5</v>
      </c>
      <c r="BK63" s="81">
        <f t="shared" si="49"/>
        <v>2833</v>
      </c>
      <c r="BL63" s="81">
        <v>2821</v>
      </c>
      <c r="BM63" s="954">
        <f t="shared" si="50"/>
        <v>12</v>
      </c>
      <c r="BN63" s="81">
        <f t="shared" si="51"/>
        <v>4309</v>
      </c>
      <c r="BO63" s="81">
        <v>4338</v>
      </c>
      <c r="BP63" s="954">
        <f t="shared" si="52"/>
        <v>-29</v>
      </c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</row>
    <row r="64" spans="1:148" s="5" customFormat="1">
      <c r="A64" s="103">
        <v>57</v>
      </c>
      <c r="B64" s="81" t="s">
        <v>157</v>
      </c>
      <c r="C64" s="81">
        <f>'Table 8 2.1.12 MFP Funded'!AD60</f>
        <v>8869</v>
      </c>
      <c r="D64" s="81">
        <f>'[7]Table 3 for Option A'!AD60</f>
        <v>5206</v>
      </c>
      <c r="E64" s="81">
        <f t="shared" si="54"/>
        <v>1145</v>
      </c>
      <c r="F64" s="81">
        <f>'[8]Table 3 Option A'!T68</f>
        <v>3017.5</v>
      </c>
      <c r="G64" s="81">
        <f t="shared" si="55"/>
        <v>181</v>
      </c>
      <c r="H64" s="81">
        <f>'[9]SWD_Option A'!Z62</f>
        <v>1083</v>
      </c>
      <c r="I64" s="81">
        <f t="shared" si="14"/>
        <v>1625</v>
      </c>
      <c r="J64" s="81">
        <f>'[9]GiftedTalented-Option a'!AA62</f>
        <v>171</v>
      </c>
      <c r="K64" s="13">
        <f t="shared" si="15"/>
        <v>103</v>
      </c>
      <c r="L64" s="13">
        <f t="shared" si="56"/>
        <v>0</v>
      </c>
      <c r="M64" s="65">
        <f t="shared" si="57"/>
        <v>0</v>
      </c>
      <c r="N64" s="13">
        <f t="shared" si="58"/>
        <v>0</v>
      </c>
      <c r="O64" s="13">
        <f t="shared" si="16"/>
        <v>3054</v>
      </c>
      <c r="P64" s="13">
        <f t="shared" si="59"/>
        <v>11923</v>
      </c>
      <c r="Q64" s="384">
        <f t="shared" si="17"/>
        <v>3855</v>
      </c>
      <c r="R64" s="384">
        <f t="shared" si="60"/>
        <v>45963165</v>
      </c>
      <c r="S64" s="384">
        <f>'Table 6 (Local Deduct Calc.)'!J65</f>
        <v>13788899</v>
      </c>
      <c r="T64" s="384">
        <f t="shared" si="18"/>
        <v>13788899</v>
      </c>
      <c r="U64" s="385">
        <f t="shared" si="19"/>
        <v>32174266</v>
      </c>
      <c r="V64" s="386">
        <f t="shared" si="53"/>
        <v>0.7</v>
      </c>
      <c r="W64" s="386">
        <f t="shared" si="20"/>
        <v>0.3</v>
      </c>
      <c r="X64" s="387">
        <f t="shared" si="21"/>
        <v>1554.7298455293719</v>
      </c>
      <c r="Y64" s="384">
        <f>'Table 7 Local Revenue'!AQ64</f>
        <v>25491517</v>
      </c>
      <c r="Z64" s="384">
        <f t="shared" si="22"/>
        <v>11702618</v>
      </c>
      <c r="AA64" s="276">
        <f t="shared" si="23"/>
        <v>0</v>
      </c>
      <c r="AB64" s="14">
        <f t="shared" si="24"/>
        <v>15627476.100000001</v>
      </c>
      <c r="AC64" s="14">
        <f t="shared" si="25"/>
        <v>11702618</v>
      </c>
      <c r="AD64" s="384">
        <f t="shared" si="26"/>
        <v>6038550.8880000003</v>
      </c>
      <c r="AE64" s="388">
        <f t="shared" si="27"/>
        <v>5664067.1119999997</v>
      </c>
      <c r="AF64" s="16">
        <f t="shared" si="28"/>
        <v>0.48399999999999999</v>
      </c>
      <c r="AG64" s="388">
        <f t="shared" si="29"/>
        <v>37838333.112000003</v>
      </c>
      <c r="AH64" s="14">
        <f t="shared" si="30"/>
        <v>4266</v>
      </c>
      <c r="AI64" s="388">
        <f>'Table 4 Level 3'!O62</f>
        <v>1265716</v>
      </c>
      <c r="AJ64" s="14">
        <f t="shared" si="61"/>
        <v>142.71236892547074</v>
      </c>
      <c r="AK64" s="388">
        <f t="shared" si="31"/>
        <v>39104049.112000003</v>
      </c>
      <c r="AL64" s="14">
        <f t="shared" si="62"/>
        <v>4409.0708210621269</v>
      </c>
      <c r="AM64" s="517">
        <f>'Table 4 Level 3'!R62</f>
        <v>8044931.9740000004</v>
      </c>
      <c r="AN64" s="518">
        <f t="shared" si="33"/>
        <v>907.0844485285827</v>
      </c>
      <c r="AO64" s="388">
        <f t="shared" si="34"/>
        <v>45883265.086000003</v>
      </c>
      <c r="AP64" s="14">
        <f t="shared" si="35"/>
        <v>5173.442900665239</v>
      </c>
      <c r="AQ64" s="16">
        <f t="shared" si="36"/>
        <v>0.64284980976495198</v>
      </c>
      <c r="AR64" s="389">
        <f t="shared" si="37"/>
        <v>37</v>
      </c>
      <c r="AS64" s="14">
        <f t="shared" si="38"/>
        <v>25491517</v>
      </c>
      <c r="AT64" s="14">
        <f t="shared" si="63"/>
        <v>2874.23</v>
      </c>
      <c r="AU64" s="389">
        <f t="shared" si="39"/>
        <v>47</v>
      </c>
      <c r="AV64" s="16">
        <f t="shared" si="40"/>
        <v>0.35715019023504807</v>
      </c>
      <c r="AW64" s="389">
        <f t="shared" si="41"/>
        <v>71374782.085999995</v>
      </c>
      <c r="AX64" s="390">
        <f t="shared" si="64"/>
        <v>8047.6696455068213</v>
      </c>
      <c r="AY64" s="389">
        <f t="shared" si="42"/>
        <v>61</v>
      </c>
      <c r="AZ64" s="14">
        <v>46409234.407424003</v>
      </c>
      <c r="BA64" s="276">
        <f t="shared" si="65"/>
        <v>-525969.32142399997</v>
      </c>
      <c r="BB64" s="276">
        <f t="shared" si="43"/>
        <v>32174266</v>
      </c>
      <c r="BC64" s="276">
        <v>32984747</v>
      </c>
      <c r="BD64" s="276">
        <f t="shared" si="44"/>
        <v>-810481</v>
      </c>
      <c r="BE64" s="276">
        <f t="shared" si="45"/>
        <v>5664067.1119999997</v>
      </c>
      <c r="BF64" s="276">
        <v>5515441.4074240001</v>
      </c>
      <c r="BG64" s="276">
        <f t="shared" si="46"/>
        <v>148625.70457599964</v>
      </c>
      <c r="BH64" s="276">
        <f t="shared" si="47"/>
        <v>25491517</v>
      </c>
      <c r="BI64" s="276">
        <v>23032926</v>
      </c>
      <c r="BJ64" s="276">
        <f t="shared" si="48"/>
        <v>2458591</v>
      </c>
      <c r="BK64" s="81">
        <f t="shared" si="49"/>
        <v>8869</v>
      </c>
      <c r="BL64" s="81">
        <v>8777</v>
      </c>
      <c r="BM64" s="954">
        <f t="shared" si="50"/>
        <v>92</v>
      </c>
      <c r="BN64" s="81">
        <f t="shared" si="51"/>
        <v>11923</v>
      </c>
      <c r="BO64" s="81">
        <v>11811</v>
      </c>
      <c r="BP64" s="954">
        <f t="shared" si="52"/>
        <v>112</v>
      </c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</row>
    <row r="65" spans="1:148" s="5" customFormat="1">
      <c r="A65" s="103">
        <v>58</v>
      </c>
      <c r="B65" s="81" t="s">
        <v>158</v>
      </c>
      <c r="C65" s="81">
        <f>'Table 8 2.1.12 MFP Funded'!AD61</f>
        <v>9493</v>
      </c>
      <c r="D65" s="81">
        <f>'[7]Table 3 for Option A'!AD61</f>
        <v>5586</v>
      </c>
      <c r="E65" s="81">
        <f t="shared" si="54"/>
        <v>1229</v>
      </c>
      <c r="F65" s="81">
        <f>'[8]Table 3 Option A'!T69</f>
        <v>2853</v>
      </c>
      <c r="G65" s="81">
        <f t="shared" si="55"/>
        <v>171</v>
      </c>
      <c r="H65" s="81">
        <f>'[9]SWD_Option A'!Z63</f>
        <v>1049</v>
      </c>
      <c r="I65" s="81">
        <f t="shared" si="14"/>
        <v>1574</v>
      </c>
      <c r="J65" s="81">
        <f>'[9]GiftedTalented-Option a'!AA63</f>
        <v>232</v>
      </c>
      <c r="K65" s="13">
        <f t="shared" si="15"/>
        <v>139</v>
      </c>
      <c r="L65" s="13">
        <f t="shared" si="56"/>
        <v>0</v>
      </c>
      <c r="M65" s="65">
        <f t="shared" si="57"/>
        <v>0</v>
      </c>
      <c r="N65" s="13">
        <f t="shared" si="58"/>
        <v>0</v>
      </c>
      <c r="O65" s="13">
        <f t="shared" si="16"/>
        <v>3113</v>
      </c>
      <c r="P65" s="13">
        <f t="shared" si="59"/>
        <v>12606</v>
      </c>
      <c r="Q65" s="384">
        <f t="shared" si="17"/>
        <v>3855</v>
      </c>
      <c r="R65" s="384">
        <f t="shared" si="60"/>
        <v>48596130</v>
      </c>
      <c r="S65" s="384">
        <f>'Table 6 (Local Deduct Calc.)'!J66</f>
        <v>7033520</v>
      </c>
      <c r="T65" s="384">
        <f t="shared" si="18"/>
        <v>7033520</v>
      </c>
      <c r="U65" s="385">
        <f t="shared" si="19"/>
        <v>41562610</v>
      </c>
      <c r="V65" s="386">
        <f t="shared" si="53"/>
        <v>0.85529999999999995</v>
      </c>
      <c r="W65" s="386">
        <f t="shared" si="20"/>
        <v>0.1447</v>
      </c>
      <c r="X65" s="387">
        <f t="shared" si="21"/>
        <v>740.91646476350991</v>
      </c>
      <c r="Y65" s="384">
        <f>'Table 7 Local Revenue'!AQ65</f>
        <v>17376821</v>
      </c>
      <c r="Z65" s="384">
        <f t="shared" si="22"/>
        <v>10343301</v>
      </c>
      <c r="AA65" s="276">
        <f t="shared" si="23"/>
        <v>0</v>
      </c>
      <c r="AB65" s="14">
        <f t="shared" si="24"/>
        <v>16522684.200000001</v>
      </c>
      <c r="AC65" s="14">
        <f t="shared" si="25"/>
        <v>10343301</v>
      </c>
      <c r="AD65" s="384">
        <f t="shared" si="26"/>
        <v>2574282.1260839999</v>
      </c>
      <c r="AE65" s="388">
        <f t="shared" si="27"/>
        <v>7769018.8739160001</v>
      </c>
      <c r="AF65" s="16">
        <f t="shared" si="28"/>
        <v>0.75109999999999999</v>
      </c>
      <c r="AG65" s="388">
        <f t="shared" si="29"/>
        <v>49331628.873916</v>
      </c>
      <c r="AH65" s="14">
        <f t="shared" si="30"/>
        <v>5197</v>
      </c>
      <c r="AI65" s="388">
        <f>'Table 4 Level 3'!O63</f>
        <v>1374768</v>
      </c>
      <c r="AJ65" s="14">
        <f t="shared" si="61"/>
        <v>144.81912988517854</v>
      </c>
      <c r="AK65" s="388">
        <f t="shared" si="31"/>
        <v>50706396.873916</v>
      </c>
      <c r="AL65" s="14">
        <f t="shared" si="62"/>
        <v>5341.4512666086594</v>
      </c>
      <c r="AM65" s="517">
        <f>'Table 4 Level 3'!R63</f>
        <v>7987934.9999999991</v>
      </c>
      <c r="AN65" s="518">
        <f t="shared" si="33"/>
        <v>841.45528283998726</v>
      </c>
      <c r="AO65" s="388">
        <f t="shared" si="34"/>
        <v>57319563.873916</v>
      </c>
      <c r="AP65" s="14">
        <f t="shared" si="35"/>
        <v>6038.0874195634678</v>
      </c>
      <c r="AQ65" s="16">
        <f t="shared" si="36"/>
        <v>0.76736730928369212</v>
      </c>
      <c r="AR65" s="389">
        <f t="shared" si="37"/>
        <v>7</v>
      </c>
      <c r="AS65" s="14">
        <f t="shared" si="38"/>
        <v>17376821</v>
      </c>
      <c r="AT65" s="14">
        <f t="shared" si="63"/>
        <v>1830.49</v>
      </c>
      <c r="AU65" s="389">
        <f t="shared" si="39"/>
        <v>63</v>
      </c>
      <c r="AV65" s="16">
        <f t="shared" si="40"/>
        <v>0.2326326907163079</v>
      </c>
      <c r="AW65" s="389">
        <f t="shared" si="41"/>
        <v>74696384.873916</v>
      </c>
      <c r="AX65" s="390">
        <f t="shared" si="64"/>
        <v>7868.5752527036766</v>
      </c>
      <c r="AY65" s="389">
        <f t="shared" si="42"/>
        <v>64</v>
      </c>
      <c r="AZ65" s="14">
        <v>55429259.002664</v>
      </c>
      <c r="BA65" s="276">
        <f t="shared" si="65"/>
        <v>1890304.8712520003</v>
      </c>
      <c r="BB65" s="276">
        <f t="shared" si="43"/>
        <v>41562610</v>
      </c>
      <c r="BC65" s="276">
        <v>40782097.5</v>
      </c>
      <c r="BD65" s="276">
        <f t="shared" si="44"/>
        <v>780512.5</v>
      </c>
      <c r="BE65" s="276">
        <f t="shared" si="45"/>
        <v>7769018.8739160001</v>
      </c>
      <c r="BF65" s="276">
        <v>6902649.5026639998</v>
      </c>
      <c r="BG65" s="276">
        <f t="shared" si="46"/>
        <v>866369.37125200033</v>
      </c>
      <c r="BH65" s="276">
        <f t="shared" si="47"/>
        <v>17376821</v>
      </c>
      <c r="BI65" s="276">
        <v>16728719.5</v>
      </c>
      <c r="BJ65" s="276">
        <f t="shared" si="48"/>
        <v>648101.5</v>
      </c>
      <c r="BK65" s="81">
        <f t="shared" si="49"/>
        <v>9493</v>
      </c>
      <c r="BL65" s="81">
        <v>9266</v>
      </c>
      <c r="BM65" s="954">
        <f t="shared" si="50"/>
        <v>227</v>
      </c>
      <c r="BN65" s="81">
        <f t="shared" si="51"/>
        <v>12606</v>
      </c>
      <c r="BO65" s="81">
        <v>12489</v>
      </c>
      <c r="BP65" s="954">
        <f t="shared" si="52"/>
        <v>117</v>
      </c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</row>
    <row r="66" spans="1:148" s="5" customFormat="1">
      <c r="A66" s="103">
        <v>59</v>
      </c>
      <c r="B66" s="81" t="s">
        <v>159</v>
      </c>
      <c r="C66" s="81">
        <f>'Table 8 2.1.12 MFP Funded'!AD62</f>
        <v>5177</v>
      </c>
      <c r="D66" s="81">
        <f>'[7]Table 3 for Option A'!AD62</f>
        <v>4345</v>
      </c>
      <c r="E66" s="81">
        <f t="shared" si="54"/>
        <v>956</v>
      </c>
      <c r="F66" s="81">
        <f>'[8]Table 3 Option A'!T70</f>
        <v>1955.5</v>
      </c>
      <c r="G66" s="81">
        <f t="shared" si="55"/>
        <v>117</v>
      </c>
      <c r="H66" s="81">
        <f>'[9]SWD_Option A'!Z64</f>
        <v>833</v>
      </c>
      <c r="I66" s="81">
        <f t="shared" si="14"/>
        <v>1250</v>
      </c>
      <c r="J66" s="81">
        <f>'[9]GiftedTalented-Option a'!AA64</f>
        <v>302</v>
      </c>
      <c r="K66" s="13">
        <f t="shared" si="15"/>
        <v>181</v>
      </c>
      <c r="L66" s="13">
        <f t="shared" si="56"/>
        <v>2323</v>
      </c>
      <c r="M66" s="65">
        <f t="shared" si="57"/>
        <v>6.1949999999999998E-2</v>
      </c>
      <c r="N66" s="13">
        <f t="shared" si="58"/>
        <v>321</v>
      </c>
      <c r="O66" s="13">
        <f t="shared" si="16"/>
        <v>2825</v>
      </c>
      <c r="P66" s="13">
        <f t="shared" si="59"/>
        <v>8002</v>
      </c>
      <c r="Q66" s="384">
        <f t="shared" si="17"/>
        <v>3855</v>
      </c>
      <c r="R66" s="384">
        <f t="shared" si="60"/>
        <v>30847710</v>
      </c>
      <c r="S66" s="384">
        <f>'Table 6 (Local Deduct Calc.)'!J67</f>
        <v>3255972</v>
      </c>
      <c r="T66" s="384">
        <f t="shared" si="18"/>
        <v>3255972</v>
      </c>
      <c r="U66" s="385">
        <f t="shared" si="19"/>
        <v>27591738</v>
      </c>
      <c r="V66" s="386">
        <f t="shared" si="53"/>
        <v>0.89449999999999996</v>
      </c>
      <c r="W66" s="386">
        <f t="shared" si="20"/>
        <v>0.1055</v>
      </c>
      <c r="X66" s="387">
        <f t="shared" si="21"/>
        <v>628.93026849526757</v>
      </c>
      <c r="Y66" s="384">
        <f>'Table 7 Local Revenue'!AQ66</f>
        <v>8757049</v>
      </c>
      <c r="Z66" s="384">
        <f t="shared" si="22"/>
        <v>5501077</v>
      </c>
      <c r="AA66" s="276">
        <f t="shared" si="23"/>
        <v>0</v>
      </c>
      <c r="AB66" s="14">
        <f t="shared" si="24"/>
        <v>10488221.4</v>
      </c>
      <c r="AC66" s="14">
        <f t="shared" si="25"/>
        <v>5501077</v>
      </c>
      <c r="AD66" s="384">
        <f t="shared" si="26"/>
        <v>998225.43241999985</v>
      </c>
      <c r="AE66" s="388">
        <f t="shared" si="27"/>
        <v>4502851.5675800005</v>
      </c>
      <c r="AF66" s="16">
        <f t="shared" si="28"/>
        <v>0.81850000000000001</v>
      </c>
      <c r="AG66" s="388">
        <f t="shared" si="29"/>
        <v>32094589.56758</v>
      </c>
      <c r="AH66" s="14">
        <f t="shared" si="30"/>
        <v>6199</v>
      </c>
      <c r="AI66" s="388">
        <f>'Table 4 Level 3'!O64</f>
        <v>738822</v>
      </c>
      <c r="AJ66" s="14">
        <f t="shared" si="61"/>
        <v>142.71238168823643</v>
      </c>
      <c r="AK66" s="388">
        <f t="shared" si="31"/>
        <v>32833411.56758</v>
      </c>
      <c r="AL66" s="14">
        <f t="shared" si="62"/>
        <v>6342.1695127641487</v>
      </c>
      <c r="AM66" s="517">
        <f>'Table 4 Level 3'!R64</f>
        <v>4307294.8560000006</v>
      </c>
      <c r="AN66" s="518">
        <f t="shared" si="33"/>
        <v>832.00596020861519</v>
      </c>
      <c r="AO66" s="388">
        <f t="shared" si="34"/>
        <v>36401884.423579998</v>
      </c>
      <c r="AP66" s="14">
        <f t="shared" si="35"/>
        <v>7031.4630912845278</v>
      </c>
      <c r="AQ66" s="16">
        <f t="shared" si="36"/>
        <v>0.80608379480841641</v>
      </c>
      <c r="AR66" s="389">
        <f t="shared" si="37"/>
        <v>2</v>
      </c>
      <c r="AS66" s="14">
        <f t="shared" si="38"/>
        <v>8757049</v>
      </c>
      <c r="AT66" s="14">
        <f t="shared" si="63"/>
        <v>1691.53</v>
      </c>
      <c r="AU66" s="389">
        <f t="shared" si="39"/>
        <v>67</v>
      </c>
      <c r="AV66" s="16">
        <f t="shared" si="40"/>
        <v>0.19391620519158356</v>
      </c>
      <c r="AW66" s="389">
        <f t="shared" si="41"/>
        <v>45158933.423579998</v>
      </c>
      <c r="AX66" s="390">
        <f t="shared" si="64"/>
        <v>8722.9927416611936</v>
      </c>
      <c r="AY66" s="389">
        <f t="shared" si="42"/>
        <v>34</v>
      </c>
      <c r="AZ66" s="14">
        <v>35205756.989887998</v>
      </c>
      <c r="BA66" s="276">
        <f t="shared" si="65"/>
        <v>1196127.4336920008</v>
      </c>
      <c r="BB66" s="276">
        <f t="shared" si="43"/>
        <v>27591738</v>
      </c>
      <c r="BC66" s="276">
        <v>27230956</v>
      </c>
      <c r="BD66" s="276">
        <f t="shared" si="44"/>
        <v>360782</v>
      </c>
      <c r="BE66" s="276">
        <f t="shared" si="45"/>
        <v>4502851.5675800005</v>
      </c>
      <c r="BF66" s="276">
        <v>3759934.9898880003</v>
      </c>
      <c r="BG66" s="276">
        <f t="shared" si="46"/>
        <v>742916.5776920002</v>
      </c>
      <c r="BH66" s="276">
        <f t="shared" si="47"/>
        <v>8757049</v>
      </c>
      <c r="BI66" s="276">
        <v>7701440</v>
      </c>
      <c r="BJ66" s="276">
        <f t="shared" si="48"/>
        <v>1055609</v>
      </c>
      <c r="BK66" s="81">
        <f t="shared" si="49"/>
        <v>5177</v>
      </c>
      <c r="BL66" s="81">
        <v>5102</v>
      </c>
      <c r="BM66" s="954">
        <f t="shared" si="50"/>
        <v>75</v>
      </c>
      <c r="BN66" s="81">
        <f t="shared" si="51"/>
        <v>8002</v>
      </c>
      <c r="BO66" s="81">
        <v>7876</v>
      </c>
      <c r="BP66" s="954">
        <f t="shared" si="52"/>
        <v>126</v>
      </c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</row>
    <row r="67" spans="1:148" s="21" customFormat="1">
      <c r="A67" s="104">
        <v>60</v>
      </c>
      <c r="B67" s="82" t="s">
        <v>160</v>
      </c>
      <c r="C67" s="82">
        <f>'Table 8 2.1.12 MFP Funded'!AD63</f>
        <v>6468</v>
      </c>
      <c r="D67" s="82">
        <f>'[7]Table 3 for Option A'!AD63</f>
        <v>3933</v>
      </c>
      <c r="E67" s="82">
        <f t="shared" si="54"/>
        <v>865</v>
      </c>
      <c r="F67" s="82">
        <f>'[8]Table 3 Option A'!T71</f>
        <v>2786</v>
      </c>
      <c r="G67" s="82">
        <f t="shared" si="55"/>
        <v>167</v>
      </c>
      <c r="H67" s="82">
        <f>'[9]SWD_Option A'!Z65</f>
        <v>714</v>
      </c>
      <c r="I67" s="82">
        <f t="shared" si="14"/>
        <v>1071</v>
      </c>
      <c r="J67" s="82">
        <f>'[9]GiftedTalented-Option a'!AA65</f>
        <v>316</v>
      </c>
      <c r="K67" s="19">
        <f t="shared" si="15"/>
        <v>190</v>
      </c>
      <c r="L67" s="19">
        <f t="shared" si="56"/>
        <v>1032</v>
      </c>
      <c r="M67" s="66">
        <f t="shared" si="57"/>
        <v>2.7519999999999999E-2</v>
      </c>
      <c r="N67" s="19">
        <f t="shared" si="58"/>
        <v>178</v>
      </c>
      <c r="O67" s="19">
        <f t="shared" si="16"/>
        <v>2471</v>
      </c>
      <c r="P67" s="13">
        <f t="shared" si="59"/>
        <v>8939</v>
      </c>
      <c r="Q67" s="391">
        <f t="shared" si="17"/>
        <v>3855</v>
      </c>
      <c r="R67" s="391">
        <f t="shared" si="60"/>
        <v>34459845</v>
      </c>
      <c r="S67" s="391">
        <f>'Table 6 (Local Deduct Calc.)'!J68</f>
        <v>9978889.5</v>
      </c>
      <c r="T67" s="391">
        <f t="shared" si="18"/>
        <v>9978889.5</v>
      </c>
      <c r="U67" s="392">
        <f t="shared" si="19"/>
        <v>24480955.5</v>
      </c>
      <c r="V67" s="393">
        <f t="shared" si="53"/>
        <v>0.71040000000000003</v>
      </c>
      <c r="W67" s="394">
        <f t="shared" si="20"/>
        <v>0.28960000000000002</v>
      </c>
      <c r="X67" s="395">
        <f t="shared" si="21"/>
        <v>1542.8091372912802</v>
      </c>
      <c r="Y67" s="391">
        <f>'Table 7 Local Revenue'!AQ67</f>
        <v>25967837.5</v>
      </c>
      <c r="Z67" s="391">
        <f t="shared" si="22"/>
        <v>15988948</v>
      </c>
      <c r="AA67" s="277">
        <f t="shared" si="23"/>
        <v>0</v>
      </c>
      <c r="AB67" s="20">
        <f t="shared" si="24"/>
        <v>11716347.300000001</v>
      </c>
      <c r="AC67" s="20">
        <f t="shared" si="25"/>
        <v>11716347.300000001</v>
      </c>
      <c r="AD67" s="391">
        <f t="shared" si="26"/>
        <v>5836053.1862976011</v>
      </c>
      <c r="AE67" s="396">
        <f t="shared" si="27"/>
        <v>5880294.1137023997</v>
      </c>
      <c r="AF67" s="270">
        <f t="shared" si="28"/>
        <v>0.50190000000000001</v>
      </c>
      <c r="AG67" s="396">
        <f t="shared" si="29"/>
        <v>30361249.613702402</v>
      </c>
      <c r="AH67" s="20">
        <f t="shared" si="30"/>
        <v>4694</v>
      </c>
      <c r="AI67" s="396">
        <f>'Table 4 Level 3'!O65</f>
        <v>923063</v>
      </c>
      <c r="AJ67" s="20">
        <f t="shared" si="61"/>
        <v>142.71227581941866</v>
      </c>
      <c r="AK67" s="396">
        <f t="shared" si="31"/>
        <v>31284312.613702402</v>
      </c>
      <c r="AL67" s="20">
        <f t="shared" si="62"/>
        <v>4836.7830262372299</v>
      </c>
      <c r="AM67" s="519">
        <f>'Table 4 Level 3'!R65</f>
        <v>4763353.3880000003</v>
      </c>
      <c r="AN67" s="520">
        <f t="shared" si="33"/>
        <v>736.44919418676568</v>
      </c>
      <c r="AO67" s="396">
        <f t="shared" si="34"/>
        <v>35124603.001702398</v>
      </c>
      <c r="AP67" s="20">
        <f t="shared" si="35"/>
        <v>5430.5199446045763</v>
      </c>
      <c r="AQ67" s="270">
        <f t="shared" si="36"/>
        <v>0.61817497416897016</v>
      </c>
      <c r="AR67" s="397">
        <f t="shared" si="37"/>
        <v>41</v>
      </c>
      <c r="AS67" s="20">
        <f t="shared" si="38"/>
        <v>21695236.800000001</v>
      </c>
      <c r="AT67" s="20">
        <f t="shared" si="63"/>
        <v>3354.24</v>
      </c>
      <c r="AU67" s="397">
        <f t="shared" si="39"/>
        <v>29</v>
      </c>
      <c r="AV67" s="270">
        <f t="shared" si="40"/>
        <v>0.38182502583102995</v>
      </c>
      <c r="AW67" s="397">
        <f t="shared" si="41"/>
        <v>56819839.801702395</v>
      </c>
      <c r="AX67" s="398">
        <f t="shared" si="64"/>
        <v>8784.7618741036476</v>
      </c>
      <c r="AY67" s="397">
        <f t="shared" si="42"/>
        <v>32</v>
      </c>
      <c r="AZ67" s="20">
        <v>37040608.441300005</v>
      </c>
      <c r="BA67" s="277">
        <f t="shared" si="65"/>
        <v>-1916005.4395976067</v>
      </c>
      <c r="BB67" s="277">
        <f t="shared" si="43"/>
        <v>24480955.5</v>
      </c>
      <c r="BC67" s="277">
        <v>25760511</v>
      </c>
      <c r="BD67" s="277">
        <f t="shared" si="44"/>
        <v>-1279555.5</v>
      </c>
      <c r="BE67" s="277">
        <f t="shared" si="45"/>
        <v>5880294.1137023997</v>
      </c>
      <c r="BF67" s="277">
        <v>6366540.4413000001</v>
      </c>
      <c r="BG67" s="277">
        <f t="shared" si="46"/>
        <v>-486246.32759760041</v>
      </c>
      <c r="BH67" s="277">
        <f t="shared" si="47"/>
        <v>25967837.5</v>
      </c>
      <c r="BI67" s="277">
        <v>24987167</v>
      </c>
      <c r="BJ67" s="277">
        <f t="shared" si="48"/>
        <v>980670.5</v>
      </c>
      <c r="BK67" s="82">
        <f t="shared" si="49"/>
        <v>6468</v>
      </c>
      <c r="BL67" s="82">
        <v>6725</v>
      </c>
      <c r="BM67" s="955">
        <f t="shared" si="50"/>
        <v>-257</v>
      </c>
      <c r="BN67" s="82">
        <f t="shared" si="51"/>
        <v>8939</v>
      </c>
      <c r="BO67" s="82">
        <v>9217</v>
      </c>
      <c r="BP67" s="955">
        <f t="shared" si="52"/>
        <v>-278</v>
      </c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</row>
    <row r="68" spans="1:148" s="5" customFormat="1">
      <c r="A68" s="103">
        <v>61</v>
      </c>
      <c r="B68" s="81" t="s">
        <v>161</v>
      </c>
      <c r="C68" s="81">
        <f>'Table 8 2.1.12 MFP Funded'!AD64</f>
        <v>3537</v>
      </c>
      <c r="D68" s="81">
        <f>'[7]Table 3 for Option A'!AD64</f>
        <v>2496</v>
      </c>
      <c r="E68" s="81">
        <f t="shared" si="54"/>
        <v>549</v>
      </c>
      <c r="F68" s="81">
        <f>'[8]Table 3 Option A'!T72</f>
        <v>1081.5</v>
      </c>
      <c r="G68" s="81">
        <f t="shared" si="55"/>
        <v>65</v>
      </c>
      <c r="H68" s="81">
        <f>'[9]SWD_Option A'!Z66</f>
        <v>352</v>
      </c>
      <c r="I68" s="81">
        <f t="shared" si="14"/>
        <v>528</v>
      </c>
      <c r="J68" s="81">
        <f>'[9]GiftedTalented-Option a'!AA66</f>
        <v>131</v>
      </c>
      <c r="K68" s="13">
        <f t="shared" si="15"/>
        <v>79</v>
      </c>
      <c r="L68" s="13">
        <f t="shared" si="56"/>
        <v>3963</v>
      </c>
      <c r="M68" s="65">
        <f t="shared" si="57"/>
        <v>0.10568</v>
      </c>
      <c r="N68" s="13">
        <f t="shared" si="58"/>
        <v>374</v>
      </c>
      <c r="O68" s="13">
        <f t="shared" si="16"/>
        <v>1595</v>
      </c>
      <c r="P68" s="36">
        <f t="shared" si="59"/>
        <v>5132</v>
      </c>
      <c r="Q68" s="384">
        <f t="shared" si="17"/>
        <v>3855</v>
      </c>
      <c r="R68" s="384">
        <f t="shared" si="60"/>
        <v>19783860</v>
      </c>
      <c r="S68" s="384">
        <f>'Table 6 (Local Deduct Calc.)'!J69</f>
        <v>10197642.5</v>
      </c>
      <c r="T68" s="384">
        <f t="shared" si="18"/>
        <v>10197642.5</v>
      </c>
      <c r="U68" s="385">
        <f t="shared" si="19"/>
        <v>9586217.5</v>
      </c>
      <c r="V68" s="386">
        <f t="shared" si="53"/>
        <v>0.48449999999999999</v>
      </c>
      <c r="W68" s="386">
        <f t="shared" si="20"/>
        <v>0.51549999999999996</v>
      </c>
      <c r="X68" s="387">
        <f t="shared" si="21"/>
        <v>2883.1333050607859</v>
      </c>
      <c r="Y68" s="384">
        <f>'Table 7 Local Revenue'!AQ68</f>
        <v>22016861.5</v>
      </c>
      <c r="Z68" s="384">
        <f t="shared" si="22"/>
        <v>11819219</v>
      </c>
      <c r="AA68" s="276">
        <f t="shared" si="23"/>
        <v>0</v>
      </c>
      <c r="AB68" s="14">
        <f t="shared" si="24"/>
        <v>6726512.4000000004</v>
      </c>
      <c r="AC68" s="14">
        <f t="shared" si="25"/>
        <v>6726512.4000000004</v>
      </c>
      <c r="AD68" s="384">
        <f t="shared" si="26"/>
        <v>5964129.484584</v>
      </c>
      <c r="AE68" s="388">
        <f t="shared" si="27"/>
        <v>762382.91541600041</v>
      </c>
      <c r="AF68" s="16">
        <f t="shared" si="28"/>
        <v>0.1133</v>
      </c>
      <c r="AG68" s="388">
        <f t="shared" si="29"/>
        <v>10348600.415416</v>
      </c>
      <c r="AH68" s="14">
        <f t="shared" si="30"/>
        <v>2926</v>
      </c>
      <c r="AI68" s="388">
        <f>'Table 4 Level 3'!O66</f>
        <v>504774</v>
      </c>
      <c r="AJ68" s="14">
        <f t="shared" si="61"/>
        <v>142.71246819338421</v>
      </c>
      <c r="AK68" s="388">
        <f t="shared" si="31"/>
        <v>10853374.415416</v>
      </c>
      <c r="AL68" s="14">
        <f t="shared" si="62"/>
        <v>3068.5254213785697</v>
      </c>
      <c r="AM68" s="517">
        <f>'Table 4 Level 3'!R66</f>
        <v>3452272.3339999998</v>
      </c>
      <c r="AN68" s="518">
        <f t="shared" si="33"/>
        <v>976.04533050607859</v>
      </c>
      <c r="AO68" s="388">
        <f t="shared" si="34"/>
        <v>13800872.749416001</v>
      </c>
      <c r="AP68" s="14">
        <f t="shared" si="35"/>
        <v>3901.8582836912642</v>
      </c>
      <c r="AQ68" s="16">
        <f t="shared" si="36"/>
        <v>0.44917364784465275</v>
      </c>
      <c r="AR68" s="389">
        <f t="shared" si="37"/>
        <v>60</v>
      </c>
      <c r="AS68" s="14">
        <f t="shared" si="38"/>
        <v>16924154.899999999</v>
      </c>
      <c r="AT68" s="14">
        <f t="shared" si="63"/>
        <v>4784.8900000000003</v>
      </c>
      <c r="AU68" s="389">
        <f t="shared" si="39"/>
        <v>11</v>
      </c>
      <c r="AV68" s="16">
        <f t="shared" si="40"/>
        <v>0.55082635215534725</v>
      </c>
      <c r="AW68" s="389">
        <f t="shared" si="41"/>
        <v>30725027.649416</v>
      </c>
      <c r="AX68" s="390">
        <f t="shared" si="64"/>
        <v>8686.7479924840263</v>
      </c>
      <c r="AY68" s="389">
        <f t="shared" si="42"/>
        <v>38</v>
      </c>
      <c r="AZ68" s="14">
        <v>13038735.540937599</v>
      </c>
      <c r="BA68" s="276">
        <f t="shared" si="65"/>
        <v>762137.20847840235</v>
      </c>
      <c r="BB68" s="276">
        <f t="shared" si="43"/>
        <v>9586217.5</v>
      </c>
      <c r="BC68" s="276">
        <v>9118121</v>
      </c>
      <c r="BD68" s="276">
        <f t="shared" si="44"/>
        <v>468096.5</v>
      </c>
      <c r="BE68" s="276">
        <f t="shared" si="45"/>
        <v>762382.91541600041</v>
      </c>
      <c r="BF68" s="276">
        <v>553637.54093759973</v>
      </c>
      <c r="BG68" s="276">
        <f t="shared" si="46"/>
        <v>208745.37447840068</v>
      </c>
      <c r="BH68" s="276">
        <f t="shared" si="47"/>
        <v>22016861.5</v>
      </c>
      <c r="BI68" s="276">
        <v>22566745</v>
      </c>
      <c r="BJ68" s="276">
        <f t="shared" si="48"/>
        <v>-549883.5</v>
      </c>
      <c r="BK68" s="81">
        <f t="shared" si="49"/>
        <v>3537</v>
      </c>
      <c r="BL68" s="81">
        <v>3470</v>
      </c>
      <c r="BM68" s="954">
        <f t="shared" si="50"/>
        <v>67</v>
      </c>
      <c r="BN68" s="81">
        <f t="shared" si="51"/>
        <v>5132</v>
      </c>
      <c r="BO68" s="81">
        <v>5064</v>
      </c>
      <c r="BP68" s="954">
        <f t="shared" si="52"/>
        <v>68</v>
      </c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</row>
    <row r="69" spans="1:148" s="5" customFormat="1">
      <c r="A69" s="103">
        <v>62</v>
      </c>
      <c r="B69" s="81" t="s">
        <v>162</v>
      </c>
      <c r="C69" s="81">
        <f>'Table 8 2.1.12 MFP Funded'!AD65</f>
        <v>2100</v>
      </c>
      <c r="D69" s="81">
        <f>'[7]Table 3 for Option A'!AD65</f>
        <v>1596</v>
      </c>
      <c r="E69" s="81">
        <f t="shared" si="54"/>
        <v>351</v>
      </c>
      <c r="F69" s="81">
        <f>'[8]Table 3 Option A'!T73</f>
        <v>696</v>
      </c>
      <c r="G69" s="81">
        <f t="shared" si="55"/>
        <v>42</v>
      </c>
      <c r="H69" s="81">
        <f>'[9]SWD_Option A'!Z67</f>
        <v>224</v>
      </c>
      <c r="I69" s="81">
        <f t="shared" si="14"/>
        <v>336</v>
      </c>
      <c r="J69" s="81">
        <f>'[9]GiftedTalented-Option a'!AA67</f>
        <v>21</v>
      </c>
      <c r="K69" s="13">
        <f t="shared" si="15"/>
        <v>13</v>
      </c>
      <c r="L69" s="13">
        <f t="shared" si="56"/>
        <v>5400</v>
      </c>
      <c r="M69" s="65">
        <f t="shared" si="57"/>
        <v>0.14399999999999999</v>
      </c>
      <c r="N69" s="13">
        <f t="shared" si="58"/>
        <v>302</v>
      </c>
      <c r="O69" s="13">
        <f t="shared" si="16"/>
        <v>1044</v>
      </c>
      <c r="P69" s="13">
        <f t="shared" si="59"/>
        <v>3144</v>
      </c>
      <c r="Q69" s="384">
        <f t="shared" si="17"/>
        <v>3855</v>
      </c>
      <c r="R69" s="384">
        <f t="shared" si="60"/>
        <v>12120120</v>
      </c>
      <c r="S69" s="384">
        <f>'Table 6 (Local Deduct Calc.)'!J70</f>
        <v>1930329.5</v>
      </c>
      <c r="T69" s="384">
        <f t="shared" si="18"/>
        <v>1930329.5</v>
      </c>
      <c r="U69" s="385">
        <f t="shared" si="19"/>
        <v>10189790.5</v>
      </c>
      <c r="V69" s="386">
        <f t="shared" si="53"/>
        <v>0.8407</v>
      </c>
      <c r="W69" s="386">
        <f t="shared" si="20"/>
        <v>0.1593</v>
      </c>
      <c r="X69" s="387">
        <f t="shared" si="21"/>
        <v>919.20452380952383</v>
      </c>
      <c r="Y69" s="384">
        <f>'Table 7 Local Revenue'!AQ69</f>
        <v>3613891.5</v>
      </c>
      <c r="Z69" s="384">
        <f t="shared" si="22"/>
        <v>1683562</v>
      </c>
      <c r="AA69" s="276">
        <f t="shared" si="23"/>
        <v>0</v>
      </c>
      <c r="AB69" s="14">
        <f t="shared" si="24"/>
        <v>4120840.8000000003</v>
      </c>
      <c r="AC69" s="14">
        <f t="shared" si="25"/>
        <v>1683562</v>
      </c>
      <c r="AD69" s="384">
        <f t="shared" si="26"/>
        <v>461289.25375200005</v>
      </c>
      <c r="AE69" s="388">
        <f t="shared" si="27"/>
        <v>1222272.7462479998</v>
      </c>
      <c r="AF69" s="16">
        <f t="shared" si="28"/>
        <v>0.72599999999999998</v>
      </c>
      <c r="AG69" s="388">
        <f t="shared" si="29"/>
        <v>11412063.246247999</v>
      </c>
      <c r="AH69" s="14">
        <f t="shared" si="30"/>
        <v>5434</v>
      </c>
      <c r="AI69" s="388">
        <f>'Table 4 Level 3'!O67</f>
        <v>299696</v>
      </c>
      <c r="AJ69" s="14">
        <f t="shared" si="61"/>
        <v>142.71238095238095</v>
      </c>
      <c r="AK69" s="388">
        <f t="shared" si="31"/>
        <v>11711759.246247999</v>
      </c>
      <c r="AL69" s="14">
        <f t="shared" si="62"/>
        <v>5577.0282124990472</v>
      </c>
      <c r="AM69" s="517">
        <f>'Table 4 Level 3'!R67</f>
        <v>1383309.176</v>
      </c>
      <c r="AN69" s="518">
        <f t="shared" si="33"/>
        <v>658.71865523809527</v>
      </c>
      <c r="AO69" s="388">
        <f t="shared" si="34"/>
        <v>12795372.422247998</v>
      </c>
      <c r="AP69" s="14">
        <f t="shared" si="35"/>
        <v>6093.0344867847607</v>
      </c>
      <c r="AQ69" s="16">
        <f t="shared" si="36"/>
        <v>0.77976516697374731</v>
      </c>
      <c r="AR69" s="389">
        <f t="shared" si="37"/>
        <v>6</v>
      </c>
      <c r="AS69" s="14">
        <f t="shared" si="38"/>
        <v>3613891.5</v>
      </c>
      <c r="AT69" s="14">
        <f t="shared" si="63"/>
        <v>1720.9</v>
      </c>
      <c r="AU69" s="389">
        <f t="shared" si="39"/>
        <v>66</v>
      </c>
      <c r="AV69" s="16">
        <f t="shared" si="40"/>
        <v>0.22023483302625269</v>
      </c>
      <c r="AW69" s="389">
        <f t="shared" si="41"/>
        <v>16409263.922247998</v>
      </c>
      <c r="AX69" s="390">
        <f t="shared" si="64"/>
        <v>7813.9352010704752</v>
      </c>
      <c r="AY69" s="389">
        <f t="shared" si="42"/>
        <v>65</v>
      </c>
      <c r="AZ69" s="14">
        <v>12771903.096592</v>
      </c>
      <c r="BA69" s="276">
        <f t="shared" si="65"/>
        <v>23469.325655998662</v>
      </c>
      <c r="BB69" s="276">
        <f t="shared" si="43"/>
        <v>10189790.5</v>
      </c>
      <c r="BC69" s="276">
        <v>10221405.5</v>
      </c>
      <c r="BD69" s="276">
        <f t="shared" si="44"/>
        <v>-31615</v>
      </c>
      <c r="BE69" s="276">
        <f t="shared" si="45"/>
        <v>1222272.7462479998</v>
      </c>
      <c r="BF69" s="276">
        <v>1165509.596592</v>
      </c>
      <c r="BG69" s="276">
        <f t="shared" si="46"/>
        <v>56763.149655999849</v>
      </c>
      <c r="BH69" s="276">
        <f t="shared" si="47"/>
        <v>3613891.5</v>
      </c>
      <c r="BI69" s="276">
        <v>3620843.5</v>
      </c>
      <c r="BJ69" s="276">
        <f t="shared" si="48"/>
        <v>-6952</v>
      </c>
      <c r="BK69" s="81">
        <f t="shared" si="49"/>
        <v>2100</v>
      </c>
      <c r="BL69" s="81">
        <v>2122</v>
      </c>
      <c r="BM69" s="954">
        <f t="shared" si="50"/>
        <v>-22</v>
      </c>
      <c r="BN69" s="81">
        <f t="shared" si="51"/>
        <v>3144</v>
      </c>
      <c r="BO69" s="81">
        <v>3170</v>
      </c>
      <c r="BP69" s="954">
        <f t="shared" si="52"/>
        <v>-26</v>
      </c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</row>
    <row r="70" spans="1:148" s="5" customFormat="1">
      <c r="A70" s="103">
        <v>63</v>
      </c>
      <c r="B70" s="81" t="s">
        <v>163</v>
      </c>
      <c r="C70" s="81">
        <f>'Table 8 2.1.12 MFP Funded'!AD66</f>
        <v>2034</v>
      </c>
      <c r="D70" s="81">
        <f>'[7]Table 3 for Option A'!AD66</f>
        <v>1043</v>
      </c>
      <c r="E70" s="81">
        <f t="shared" si="54"/>
        <v>229</v>
      </c>
      <c r="F70" s="81">
        <f>'[8]Table 3 Option A'!T74</f>
        <v>718.5</v>
      </c>
      <c r="G70" s="81">
        <f t="shared" si="55"/>
        <v>43</v>
      </c>
      <c r="H70" s="81">
        <f>'[9]SWD_Option A'!Z68</f>
        <v>247</v>
      </c>
      <c r="I70" s="81">
        <f t="shared" si="14"/>
        <v>371</v>
      </c>
      <c r="J70" s="81">
        <f>'[9]GiftedTalented-Option a'!AA68</f>
        <v>129</v>
      </c>
      <c r="K70" s="13">
        <f t="shared" si="15"/>
        <v>77</v>
      </c>
      <c r="L70" s="13">
        <f t="shared" si="56"/>
        <v>5466</v>
      </c>
      <c r="M70" s="65">
        <f t="shared" si="57"/>
        <v>0.14576</v>
      </c>
      <c r="N70" s="13">
        <f t="shared" si="58"/>
        <v>296</v>
      </c>
      <c r="O70" s="13">
        <f t="shared" si="16"/>
        <v>1016</v>
      </c>
      <c r="P70" s="13">
        <f t="shared" si="59"/>
        <v>3050</v>
      </c>
      <c r="Q70" s="384">
        <f t="shared" si="17"/>
        <v>3855</v>
      </c>
      <c r="R70" s="384">
        <f t="shared" si="60"/>
        <v>11757750</v>
      </c>
      <c r="S70" s="384">
        <f>'Table 6 (Local Deduct Calc.)'!J71</f>
        <v>6136732.5</v>
      </c>
      <c r="T70" s="384">
        <f t="shared" si="18"/>
        <v>6136732.5</v>
      </c>
      <c r="U70" s="385">
        <f t="shared" si="19"/>
        <v>5621017.5</v>
      </c>
      <c r="V70" s="386">
        <f t="shared" si="53"/>
        <v>0.47810000000000002</v>
      </c>
      <c r="W70" s="386">
        <f t="shared" si="20"/>
        <v>0.52190000000000003</v>
      </c>
      <c r="X70" s="387">
        <f t="shared" si="21"/>
        <v>3017.0759587020648</v>
      </c>
      <c r="Y70" s="384">
        <f>'Table 7 Local Revenue'!AQ70</f>
        <v>14109940.5</v>
      </c>
      <c r="Z70" s="384">
        <f t="shared" si="22"/>
        <v>7973208</v>
      </c>
      <c r="AA70" s="276">
        <f t="shared" si="23"/>
        <v>0</v>
      </c>
      <c r="AB70" s="14">
        <f t="shared" si="24"/>
        <v>3997635.0000000005</v>
      </c>
      <c r="AC70" s="14">
        <f t="shared" si="25"/>
        <v>3997635.0000000005</v>
      </c>
      <c r="AD70" s="384">
        <f t="shared" si="26"/>
        <v>3588549.0151800006</v>
      </c>
      <c r="AE70" s="388">
        <f t="shared" si="27"/>
        <v>409085.9848199999</v>
      </c>
      <c r="AF70" s="16">
        <f t="shared" si="28"/>
        <v>0.1023</v>
      </c>
      <c r="AG70" s="388">
        <f t="shared" si="29"/>
        <v>6030103.4848199999</v>
      </c>
      <c r="AH70" s="14">
        <f t="shared" si="30"/>
        <v>2965</v>
      </c>
      <c r="AI70" s="388">
        <f>'Table 4 Level 3'!O68</f>
        <v>2974837</v>
      </c>
      <c r="AJ70" s="14">
        <f t="shared" si="61"/>
        <v>1462.555063913471</v>
      </c>
      <c r="AK70" s="388">
        <f t="shared" si="31"/>
        <v>9004940.4848200008</v>
      </c>
      <c r="AL70" s="14">
        <f t="shared" si="62"/>
        <v>4427.207711317601</v>
      </c>
      <c r="AM70" s="517">
        <f>'Table 4 Level 3'!R68</f>
        <v>4513693.7860000003</v>
      </c>
      <c r="AN70" s="518">
        <f t="shared" si="33"/>
        <v>2219.1218220255655</v>
      </c>
      <c r="AO70" s="388">
        <f t="shared" si="34"/>
        <v>10543797.270819999</v>
      </c>
      <c r="AP70" s="14">
        <f t="shared" si="35"/>
        <v>5183.7744694296953</v>
      </c>
      <c r="AQ70" s="16">
        <f t="shared" si="36"/>
        <v>0.50990005098029223</v>
      </c>
      <c r="AR70" s="389">
        <f t="shared" si="37"/>
        <v>56</v>
      </c>
      <c r="AS70" s="14">
        <f t="shared" si="38"/>
        <v>10134367.5</v>
      </c>
      <c r="AT70" s="14">
        <f t="shared" si="63"/>
        <v>4982.4799999999996</v>
      </c>
      <c r="AU70" s="389">
        <f t="shared" si="39"/>
        <v>9</v>
      </c>
      <c r="AV70" s="16">
        <f t="shared" si="40"/>
        <v>0.49009994901970783</v>
      </c>
      <c r="AW70" s="389">
        <f t="shared" si="41"/>
        <v>20678164.770819999</v>
      </c>
      <c r="AX70" s="390">
        <f t="shared" si="64"/>
        <v>10166.256032851523</v>
      </c>
      <c r="AY70" s="389">
        <f t="shared" si="42"/>
        <v>3</v>
      </c>
      <c r="AZ70" s="14">
        <v>10357500.767376</v>
      </c>
      <c r="BA70" s="276">
        <f t="shared" si="65"/>
        <v>186296.50344399922</v>
      </c>
      <c r="BB70" s="276">
        <f t="shared" si="43"/>
        <v>5621017.5</v>
      </c>
      <c r="BC70" s="276">
        <v>5160029.5</v>
      </c>
      <c r="BD70" s="276">
        <f t="shared" si="44"/>
        <v>460988</v>
      </c>
      <c r="BE70" s="276">
        <f t="shared" si="45"/>
        <v>409085.9848199999</v>
      </c>
      <c r="BF70" s="276">
        <v>129659.26737600006</v>
      </c>
      <c r="BG70" s="276">
        <f t="shared" si="46"/>
        <v>279426.71744399983</v>
      </c>
      <c r="BH70" s="276">
        <f t="shared" si="47"/>
        <v>14109940.5</v>
      </c>
      <c r="BI70" s="276">
        <v>11067867.5</v>
      </c>
      <c r="BJ70" s="276">
        <f t="shared" si="48"/>
        <v>3042073</v>
      </c>
      <c r="BK70" s="81">
        <f t="shared" si="49"/>
        <v>2034</v>
      </c>
      <c r="BL70" s="81">
        <v>2070</v>
      </c>
      <c r="BM70" s="954">
        <f t="shared" si="50"/>
        <v>-36</v>
      </c>
      <c r="BN70" s="81">
        <f t="shared" si="51"/>
        <v>3050</v>
      </c>
      <c r="BO70" s="81">
        <v>3060</v>
      </c>
      <c r="BP70" s="954">
        <f t="shared" si="52"/>
        <v>-10</v>
      </c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</row>
    <row r="71" spans="1:148" s="5" customFormat="1">
      <c r="A71" s="103">
        <v>64</v>
      </c>
      <c r="B71" s="81" t="s">
        <v>164</v>
      </c>
      <c r="C71" s="81">
        <f>'Table 8 2.1.12 MFP Funded'!AD67</f>
        <v>2420</v>
      </c>
      <c r="D71" s="81">
        <f>'[7]Table 3 for Option A'!AD67</f>
        <v>1757</v>
      </c>
      <c r="E71" s="81">
        <f t="shared" si="54"/>
        <v>387</v>
      </c>
      <c r="F71" s="81">
        <f>'[8]Table 3 Option A'!T75</f>
        <v>1166</v>
      </c>
      <c r="G71" s="81">
        <f t="shared" si="55"/>
        <v>70</v>
      </c>
      <c r="H71" s="81">
        <f>'[9]SWD_Option A'!Z69</f>
        <v>320</v>
      </c>
      <c r="I71" s="81">
        <f t="shared" si="14"/>
        <v>480</v>
      </c>
      <c r="J71" s="81">
        <f>'[9]GiftedTalented-Option a'!AA69</f>
        <v>75</v>
      </c>
      <c r="K71" s="13">
        <f t="shared" si="15"/>
        <v>45</v>
      </c>
      <c r="L71" s="13">
        <f t="shared" si="56"/>
        <v>5080</v>
      </c>
      <c r="M71" s="65">
        <f t="shared" si="57"/>
        <v>0.13547000000000001</v>
      </c>
      <c r="N71" s="13">
        <f t="shared" si="58"/>
        <v>328</v>
      </c>
      <c r="O71" s="13">
        <f t="shared" si="16"/>
        <v>1310</v>
      </c>
      <c r="P71" s="13">
        <f t="shared" si="59"/>
        <v>3730</v>
      </c>
      <c r="Q71" s="384">
        <f t="shared" si="17"/>
        <v>3855</v>
      </c>
      <c r="R71" s="384">
        <f t="shared" si="60"/>
        <v>14379150</v>
      </c>
      <c r="S71" s="384">
        <f>'Table 6 (Local Deduct Calc.)'!J72</f>
        <v>2916491</v>
      </c>
      <c r="T71" s="384">
        <f t="shared" si="18"/>
        <v>2916491</v>
      </c>
      <c r="U71" s="385">
        <f t="shared" si="19"/>
        <v>11462659</v>
      </c>
      <c r="V71" s="386">
        <f t="shared" si="53"/>
        <v>0.79720000000000002</v>
      </c>
      <c r="W71" s="386">
        <f t="shared" si="20"/>
        <v>0.20280000000000001</v>
      </c>
      <c r="X71" s="387">
        <f t="shared" si="21"/>
        <v>1205.1615702479339</v>
      </c>
      <c r="Y71" s="384">
        <f>'Table 7 Local Revenue'!AQ71</f>
        <v>6666707</v>
      </c>
      <c r="Z71" s="384">
        <f t="shared" si="22"/>
        <v>3750216</v>
      </c>
      <c r="AA71" s="276">
        <f t="shared" si="23"/>
        <v>0</v>
      </c>
      <c r="AB71" s="14">
        <f t="shared" si="24"/>
        <v>4888911</v>
      </c>
      <c r="AC71" s="14">
        <f t="shared" si="25"/>
        <v>3750216</v>
      </c>
      <c r="AD71" s="384">
        <f t="shared" si="26"/>
        <v>1308135.3442560001</v>
      </c>
      <c r="AE71" s="388">
        <f t="shared" si="27"/>
        <v>2442080.6557439999</v>
      </c>
      <c r="AF71" s="16">
        <f t="shared" si="28"/>
        <v>0.6512</v>
      </c>
      <c r="AG71" s="388">
        <f t="shared" si="29"/>
        <v>13904739.655743999</v>
      </c>
      <c r="AH71" s="14">
        <f t="shared" si="30"/>
        <v>5746</v>
      </c>
      <c r="AI71" s="388">
        <f>'Table 4 Level 3'!O69</f>
        <v>345364</v>
      </c>
      <c r="AJ71" s="14">
        <f t="shared" si="61"/>
        <v>142.71239669421487</v>
      </c>
      <c r="AK71" s="388">
        <f t="shared" si="31"/>
        <v>14250103.655743999</v>
      </c>
      <c r="AL71" s="14">
        <f t="shared" si="62"/>
        <v>5888.4725850181812</v>
      </c>
      <c r="AM71" s="517">
        <f>'Table 4 Level 3'!R69</f>
        <v>1779423.402</v>
      </c>
      <c r="AN71" s="518">
        <f t="shared" si="33"/>
        <v>735.29892644628103</v>
      </c>
      <c r="AO71" s="388">
        <f t="shared" si="34"/>
        <v>15684163.057744</v>
      </c>
      <c r="AP71" s="14">
        <f t="shared" si="35"/>
        <v>6481.059114770248</v>
      </c>
      <c r="AQ71" s="16">
        <f t="shared" si="36"/>
        <v>0.70172494481081027</v>
      </c>
      <c r="AR71" s="389">
        <f t="shared" si="37"/>
        <v>17</v>
      </c>
      <c r="AS71" s="14">
        <f t="shared" si="38"/>
        <v>6666707</v>
      </c>
      <c r="AT71" s="14">
        <f t="shared" si="63"/>
        <v>2754.84</v>
      </c>
      <c r="AU71" s="389">
        <f t="shared" si="39"/>
        <v>51</v>
      </c>
      <c r="AV71" s="16">
        <f t="shared" si="40"/>
        <v>0.29827505518918973</v>
      </c>
      <c r="AW71" s="389">
        <f t="shared" si="41"/>
        <v>22350870.057744</v>
      </c>
      <c r="AX71" s="390">
        <f t="shared" si="64"/>
        <v>9235.8967180760337</v>
      </c>
      <c r="AY71" s="389">
        <f t="shared" si="42"/>
        <v>17</v>
      </c>
      <c r="AZ71" s="14">
        <v>15666186.93534</v>
      </c>
      <c r="BA71" s="276">
        <f t="shared" si="65"/>
        <v>17976.122403999791</v>
      </c>
      <c r="BB71" s="276">
        <f t="shared" si="43"/>
        <v>11462659</v>
      </c>
      <c r="BC71" s="276">
        <v>11556454</v>
      </c>
      <c r="BD71" s="276">
        <f t="shared" si="44"/>
        <v>-93795</v>
      </c>
      <c r="BE71" s="276">
        <f t="shared" si="45"/>
        <v>2442080.6557439999</v>
      </c>
      <c r="BF71" s="276">
        <v>2338359.9353400003</v>
      </c>
      <c r="BG71" s="276">
        <f t="shared" si="46"/>
        <v>103720.72040399956</v>
      </c>
      <c r="BH71" s="276">
        <f t="shared" si="47"/>
        <v>6666707</v>
      </c>
      <c r="BI71" s="276">
        <v>6271761</v>
      </c>
      <c r="BJ71" s="276">
        <f t="shared" si="48"/>
        <v>394946</v>
      </c>
      <c r="BK71" s="81">
        <f t="shared" si="49"/>
        <v>2420</v>
      </c>
      <c r="BL71" s="81">
        <v>2429</v>
      </c>
      <c r="BM71" s="954">
        <f t="shared" si="50"/>
        <v>-9</v>
      </c>
      <c r="BN71" s="81">
        <f t="shared" si="51"/>
        <v>3730</v>
      </c>
      <c r="BO71" s="81">
        <v>3716</v>
      </c>
      <c r="BP71" s="954">
        <f t="shared" si="52"/>
        <v>14</v>
      </c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</row>
    <row r="72" spans="1:148" s="5" customFormat="1">
      <c r="A72" s="104">
        <v>65</v>
      </c>
      <c r="B72" s="82" t="s">
        <v>165</v>
      </c>
      <c r="C72" s="82">
        <f>'Table 8 2.1.12 MFP Funded'!AD68</f>
        <v>8405</v>
      </c>
      <c r="D72" s="82">
        <f>'[7]Table 3 for Option A'!AD68</f>
        <v>6873</v>
      </c>
      <c r="E72" s="82">
        <f t="shared" si="54"/>
        <v>1512</v>
      </c>
      <c r="F72" s="82">
        <f>'[8]Table 3 Option A'!T76</f>
        <v>1951.5</v>
      </c>
      <c r="G72" s="82">
        <f t="shared" si="55"/>
        <v>117</v>
      </c>
      <c r="H72" s="82">
        <f>'[9]SWD_Option A'!Z70</f>
        <v>1309</v>
      </c>
      <c r="I72" s="82">
        <f t="shared" si="14"/>
        <v>1964</v>
      </c>
      <c r="J72" s="82">
        <f>'[9]GiftedTalented-Option a'!AA70</f>
        <v>565</v>
      </c>
      <c r="K72" s="19">
        <f t="shared" si="15"/>
        <v>339</v>
      </c>
      <c r="L72" s="19">
        <f t="shared" si="56"/>
        <v>0</v>
      </c>
      <c r="M72" s="66">
        <f>ROUND(L72/$M$4,5)</f>
        <v>0</v>
      </c>
      <c r="N72" s="19">
        <f xml:space="preserve"> ROUND(C72*M72,0)</f>
        <v>0</v>
      </c>
      <c r="O72" s="19">
        <f t="shared" si="16"/>
        <v>3932</v>
      </c>
      <c r="P72" s="19">
        <f>O72+C72</f>
        <v>12337</v>
      </c>
      <c r="Q72" s="391">
        <f t="shared" si="17"/>
        <v>3855</v>
      </c>
      <c r="R72" s="391">
        <f>ROUND(P72*Q72,0)</f>
        <v>47559135</v>
      </c>
      <c r="S72" s="391">
        <f>'Table 6 (Local Deduct Calc.)'!J73</f>
        <v>16657799</v>
      </c>
      <c r="T72" s="391">
        <f t="shared" si="18"/>
        <v>16657799</v>
      </c>
      <c r="U72" s="392">
        <f t="shared" si="19"/>
        <v>30901336</v>
      </c>
      <c r="V72" s="393">
        <f t="shared" si="53"/>
        <v>0.64970000000000006</v>
      </c>
      <c r="W72" s="394">
        <f t="shared" si="20"/>
        <v>0.3503</v>
      </c>
      <c r="X72" s="395">
        <f t="shared" si="21"/>
        <v>1981.8916121356335</v>
      </c>
      <c r="Y72" s="391">
        <f>'Table 7 Local Revenue'!AQ72</f>
        <v>40202332</v>
      </c>
      <c r="Z72" s="391">
        <f t="shared" si="22"/>
        <v>23544533</v>
      </c>
      <c r="AA72" s="277">
        <f t="shared" si="23"/>
        <v>0</v>
      </c>
      <c r="AB72" s="20">
        <f t="shared" si="24"/>
        <v>16170105.9</v>
      </c>
      <c r="AC72" s="20">
        <f t="shared" si="25"/>
        <v>16170105.9</v>
      </c>
      <c r="AD72" s="391">
        <f t="shared" si="26"/>
        <v>9742747.5264443997</v>
      </c>
      <c r="AE72" s="396">
        <f t="shared" si="27"/>
        <v>6427358.3735556006</v>
      </c>
      <c r="AF72" s="270">
        <f t="shared" si="28"/>
        <v>0.39750000000000002</v>
      </c>
      <c r="AG72" s="396">
        <f t="shared" si="29"/>
        <v>37328694.373555601</v>
      </c>
      <c r="AH72" s="20">
        <f t="shared" si="30"/>
        <v>4441</v>
      </c>
      <c r="AI72" s="396">
        <f>'Table 4 Level 3'!O70</f>
        <v>1199497</v>
      </c>
      <c r="AJ72" s="20">
        <f t="shared" ref="AJ72:AJ77" si="66">AI72/C72</f>
        <v>142.71231409875074</v>
      </c>
      <c r="AK72" s="396">
        <f t="shared" si="31"/>
        <v>38528191.373555601</v>
      </c>
      <c r="AL72" s="20">
        <f t="shared" ref="AL72:AL77" si="67">AK72/C72</f>
        <v>4583.9609010774066</v>
      </c>
      <c r="AM72" s="519">
        <f>'Table 4 Level 3'!R70</f>
        <v>8167670.216</v>
      </c>
      <c r="AN72" s="520">
        <f t="shared" si="33"/>
        <v>971.76326186793574</v>
      </c>
      <c r="AO72" s="396">
        <f t="shared" si="34"/>
        <v>45496364.589555599</v>
      </c>
      <c r="AP72" s="20">
        <f t="shared" si="35"/>
        <v>5413.0118488465914</v>
      </c>
      <c r="AQ72" s="270">
        <f t="shared" si="36"/>
        <v>0.58087186623071485</v>
      </c>
      <c r="AR72" s="397">
        <f t="shared" si="37"/>
        <v>46</v>
      </c>
      <c r="AS72" s="20">
        <f t="shared" si="38"/>
        <v>32827904.899999999</v>
      </c>
      <c r="AT72" s="20">
        <f t="shared" ref="AT72:AT77" si="68">ROUND(AS72/C72,2)</f>
        <v>3905.76</v>
      </c>
      <c r="AU72" s="397">
        <f t="shared" si="39"/>
        <v>20</v>
      </c>
      <c r="AV72" s="270">
        <f t="shared" si="40"/>
        <v>0.41912813376928515</v>
      </c>
      <c r="AW72" s="397">
        <f t="shared" si="41"/>
        <v>78324269.489555597</v>
      </c>
      <c r="AX72" s="398">
        <f t="shared" ref="AX72:AX77" si="69">AW72/C72</f>
        <v>9318.7709089298751</v>
      </c>
      <c r="AY72" s="397">
        <f t="shared" si="42"/>
        <v>13</v>
      </c>
      <c r="AZ72" s="20">
        <v>45032755.463472001</v>
      </c>
      <c r="BA72" s="277">
        <f>AO72-AZ72</f>
        <v>463609.12608359754</v>
      </c>
      <c r="BB72" s="277">
        <f t="shared" si="43"/>
        <v>30901336</v>
      </c>
      <c r="BC72" s="277">
        <v>30596365</v>
      </c>
      <c r="BD72" s="277">
        <f t="shared" si="44"/>
        <v>304971</v>
      </c>
      <c r="BE72" s="277">
        <f t="shared" si="45"/>
        <v>6427358.3735556006</v>
      </c>
      <c r="BF72" s="277">
        <v>6289573.4634720013</v>
      </c>
      <c r="BG72" s="277">
        <f t="shared" si="46"/>
        <v>137784.91008359939</v>
      </c>
      <c r="BH72" s="277">
        <f t="shared" si="47"/>
        <v>40202332</v>
      </c>
      <c r="BI72" s="277">
        <v>38517269</v>
      </c>
      <c r="BJ72" s="277">
        <f t="shared" si="48"/>
        <v>1685063</v>
      </c>
      <c r="BK72" s="82">
        <f t="shared" si="49"/>
        <v>8405</v>
      </c>
      <c r="BL72" s="82">
        <v>8436</v>
      </c>
      <c r="BM72" s="955">
        <f t="shared" si="50"/>
        <v>-31</v>
      </c>
      <c r="BN72" s="82">
        <f t="shared" si="51"/>
        <v>12337</v>
      </c>
      <c r="BO72" s="82">
        <v>12296</v>
      </c>
      <c r="BP72" s="955">
        <f t="shared" si="52"/>
        <v>41</v>
      </c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</row>
    <row r="73" spans="1:148" s="5" customFormat="1">
      <c r="A73" s="103">
        <v>66</v>
      </c>
      <c r="B73" s="81" t="s">
        <v>166</v>
      </c>
      <c r="C73" s="81">
        <f>'Table 8 2.1.12 MFP Funded'!AD69</f>
        <v>2057</v>
      </c>
      <c r="D73" s="81">
        <f>'[7]Table 3 for Option A'!AD69</f>
        <v>1924</v>
      </c>
      <c r="E73" s="81">
        <f t="shared" si="54"/>
        <v>423</v>
      </c>
      <c r="F73" s="81">
        <f>'[8]Table 3 Option A'!T77</f>
        <v>478</v>
      </c>
      <c r="G73" s="81">
        <f t="shared" si="55"/>
        <v>29</v>
      </c>
      <c r="H73" s="81">
        <f>'[9]SWD_Option A'!Z71</f>
        <v>506</v>
      </c>
      <c r="I73" s="81">
        <f>ROUND($I$4*H73,0)</f>
        <v>759</v>
      </c>
      <c r="J73" s="81">
        <f>'[9]GiftedTalented-Option a'!AA71</f>
        <v>112</v>
      </c>
      <c r="K73" s="13">
        <f>ROUND($K$4*J73,0)</f>
        <v>67</v>
      </c>
      <c r="L73" s="13">
        <f t="shared" si="56"/>
        <v>5443</v>
      </c>
      <c r="M73" s="65">
        <f>ROUND(L73/$M$4,5)</f>
        <v>0.14515</v>
      </c>
      <c r="N73" s="13">
        <f xml:space="preserve"> ROUND(C73*M73,0)</f>
        <v>299</v>
      </c>
      <c r="O73" s="13">
        <f>E73+G73+I73+K73+N73</f>
        <v>1577</v>
      </c>
      <c r="P73" s="13">
        <f>O73+C73</f>
        <v>3634</v>
      </c>
      <c r="Q73" s="384">
        <f>$Q$4</f>
        <v>3855</v>
      </c>
      <c r="R73" s="384">
        <f>ROUND(P73*Q73,0)</f>
        <v>14009070</v>
      </c>
      <c r="S73" s="384">
        <f>'Table 6 (Local Deduct Calc.)'!J74</f>
        <v>3527919</v>
      </c>
      <c r="T73" s="384">
        <f>IF((S73&gt;R73*$T$4),R73*$T$4,S73)</f>
        <v>3527919</v>
      </c>
      <c r="U73" s="385">
        <f>R73-T73</f>
        <v>10481151</v>
      </c>
      <c r="V73" s="386">
        <f>ROUND(U73/R73,4)</f>
        <v>0.74819999999999998</v>
      </c>
      <c r="W73" s="386">
        <f>ROUND(T73/R73,4)</f>
        <v>0.25180000000000002</v>
      </c>
      <c r="X73" s="387">
        <f>T73/C73</f>
        <v>1715.0797277588722</v>
      </c>
      <c r="Y73" s="384">
        <f>'Table 7 Local Revenue'!AQ73</f>
        <v>7244965</v>
      </c>
      <c r="Z73" s="384">
        <f>IF(Y73-T73&gt;0,Y73-T73,0)</f>
        <v>3717046</v>
      </c>
      <c r="AA73" s="276">
        <f>IF(Y73-T73&lt;0,Y73-T73,0)</f>
        <v>0</v>
      </c>
      <c r="AB73" s="14">
        <f>R73*$AB$4</f>
        <v>4763083.8000000007</v>
      </c>
      <c r="AC73" s="14">
        <f>IF(Z73&lt;AB73,Z73,AB73)</f>
        <v>3717046</v>
      </c>
      <c r="AD73" s="384">
        <f>IF(AC73&gt;0,AC73*(W73*$AD$4),0)</f>
        <v>1609837.7544160001</v>
      </c>
      <c r="AE73" s="388">
        <f>IF(AC73-AD73&gt;AC73*$AE$4,AC73-AD73,AC73*$AE$4)</f>
        <v>2107208.2455839999</v>
      </c>
      <c r="AF73" s="16">
        <f>IF(AC73=0,0,ROUND(AE73/AC73,4))</f>
        <v>0.56689999999999996</v>
      </c>
      <c r="AG73" s="388">
        <f>U73+AE73</f>
        <v>12588359.245584</v>
      </c>
      <c r="AH73" s="14">
        <f>ROUND(AG73/C73,0)</f>
        <v>6120</v>
      </c>
      <c r="AI73" s="388">
        <f>'Table 4 Level 3'!O71</f>
        <v>293559</v>
      </c>
      <c r="AJ73" s="14">
        <f t="shared" si="66"/>
        <v>142.71220223626642</v>
      </c>
      <c r="AK73" s="388">
        <f>AI73+AG73</f>
        <v>12881918.245584</v>
      </c>
      <c r="AL73" s="14">
        <f t="shared" si="67"/>
        <v>6262.4784859426345</v>
      </c>
      <c r="AM73" s="517">
        <f>'Table 4 Level 3'!R71</f>
        <v>1794927.39</v>
      </c>
      <c r="AN73" s="518">
        <f>AM73/C73</f>
        <v>872.59474477394258</v>
      </c>
      <c r="AO73" s="388">
        <f>AG73+AM73</f>
        <v>14383286.635584</v>
      </c>
      <c r="AP73" s="14">
        <f>AO73/C73</f>
        <v>6992.3610284803117</v>
      </c>
      <c r="AQ73" s="16">
        <f>AO73/AW73</f>
        <v>0.66502308544995004</v>
      </c>
      <c r="AR73" s="389">
        <f>RANK(AQ73,$AQ$8:$AQ$76)</f>
        <v>30</v>
      </c>
      <c r="AS73" s="14">
        <f>ROUND(AC73+T73,2)</f>
        <v>7244965</v>
      </c>
      <c r="AT73" s="14">
        <f t="shared" si="68"/>
        <v>3522.1</v>
      </c>
      <c r="AU73" s="389">
        <f>RANK(AT73,$AT$8:$AT$76)</f>
        <v>26</v>
      </c>
      <c r="AV73" s="16">
        <f>AS73/AW73</f>
        <v>0.33497691455004996</v>
      </c>
      <c r="AW73" s="389">
        <f>AS73+AO73</f>
        <v>21628251.635584</v>
      </c>
      <c r="AX73" s="390">
        <f t="shared" si="69"/>
        <v>10514.463605048129</v>
      </c>
      <c r="AY73" s="389">
        <f>RANK(AX73,$AX$8:$AX$76)</f>
        <v>2</v>
      </c>
      <c r="AZ73" s="14">
        <v>14238146.418719999</v>
      </c>
      <c r="BA73" s="276">
        <f>AO73-AZ73</f>
        <v>145140.21686400101</v>
      </c>
      <c r="BB73" s="276">
        <f>U73</f>
        <v>10481151</v>
      </c>
      <c r="BC73" s="276">
        <v>10505114</v>
      </c>
      <c r="BD73" s="276">
        <f>BB73-BC73</f>
        <v>-23963</v>
      </c>
      <c r="BE73" s="276">
        <f>AE73</f>
        <v>2107208.2455839999</v>
      </c>
      <c r="BF73" s="276">
        <v>1943378.41872</v>
      </c>
      <c r="BG73" s="276">
        <f>BE73-BF73</f>
        <v>163829.82686399994</v>
      </c>
      <c r="BH73" s="276">
        <f>Y73</f>
        <v>7244965</v>
      </c>
      <c r="BI73" s="276">
        <v>6968788</v>
      </c>
      <c r="BJ73" s="276">
        <f>BH73-BI73</f>
        <v>276177</v>
      </c>
      <c r="BK73" s="81">
        <f>C73</f>
        <v>2057</v>
      </c>
      <c r="BL73" s="81">
        <v>2065</v>
      </c>
      <c r="BM73" s="954">
        <f>BK73-BL73</f>
        <v>-8</v>
      </c>
      <c r="BN73" s="81">
        <f>P73</f>
        <v>3634</v>
      </c>
      <c r="BO73" s="81">
        <v>3643</v>
      </c>
      <c r="BP73" s="954">
        <f>BN73-BO73</f>
        <v>-9</v>
      </c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</row>
    <row r="74" spans="1:148" s="5" customFormat="1">
      <c r="A74" s="103">
        <v>67</v>
      </c>
      <c r="B74" s="141" t="s">
        <v>33</v>
      </c>
      <c r="C74" s="349">
        <f>'Table 8 2.1.12 MFP Funded'!AD70</f>
        <v>5065</v>
      </c>
      <c r="D74" s="81">
        <f>'[7]Table 3 for Option A'!AD70</f>
        <v>2267</v>
      </c>
      <c r="E74" s="81">
        <f t="shared" si="54"/>
        <v>499</v>
      </c>
      <c r="F74" s="81">
        <f>'[8]Table 3 Option A'!T78</f>
        <v>1416</v>
      </c>
      <c r="G74" s="81">
        <f t="shared" si="55"/>
        <v>85</v>
      </c>
      <c r="H74" s="81">
        <f>'[9]SWD_Option A'!Z72</f>
        <v>424</v>
      </c>
      <c r="I74" s="81">
        <f>ROUND($I$4*H74,0)</f>
        <v>636</v>
      </c>
      <c r="J74" s="81">
        <f>'[9]GiftedTalented-Option a'!AA72</f>
        <v>380</v>
      </c>
      <c r="K74" s="13">
        <f>ROUND($K$4*J74,0)</f>
        <v>228</v>
      </c>
      <c r="L74" s="13">
        <f t="shared" si="56"/>
        <v>2435</v>
      </c>
      <c r="M74" s="65">
        <f>ROUND(L74/$M$4,5)</f>
        <v>6.4930000000000002E-2</v>
      </c>
      <c r="N74" s="13">
        <f xml:space="preserve"> ROUND(C74*M74,0)</f>
        <v>329</v>
      </c>
      <c r="O74" s="13">
        <f>E74+G74+I74+K74+N74</f>
        <v>1777</v>
      </c>
      <c r="P74" s="13">
        <f>O74+C74</f>
        <v>6842</v>
      </c>
      <c r="Q74" s="384">
        <f>$Q$4</f>
        <v>3855</v>
      </c>
      <c r="R74" s="384">
        <f>ROUND(P74*Q74,0)</f>
        <v>26375910</v>
      </c>
      <c r="S74" s="384">
        <f>'Table 6 (Local Deduct Calc.)'!J75</f>
        <v>6587862</v>
      </c>
      <c r="T74" s="384">
        <f>IF((S74&gt;R74*$T$4),R74*$T$4,S74)</f>
        <v>6587862</v>
      </c>
      <c r="U74" s="385">
        <f>R74-T74</f>
        <v>19788048</v>
      </c>
      <c r="V74" s="386">
        <f>ROUND(U74/R74,4)</f>
        <v>0.75019999999999998</v>
      </c>
      <c r="W74" s="386">
        <f>ROUND(T74/R74,4)</f>
        <v>0.24979999999999999</v>
      </c>
      <c r="X74" s="387">
        <f>T74/C74</f>
        <v>1300.6637709772951</v>
      </c>
      <c r="Y74" s="384">
        <f>'Table 7 Local Revenue'!AQ74</f>
        <v>22375754</v>
      </c>
      <c r="Z74" s="384">
        <f>IF(Y74-T74&gt;0,Y74-T74,0)</f>
        <v>15787892</v>
      </c>
      <c r="AA74" s="276">
        <f>IF(Y74-T74&lt;0,Y74-T74,0)</f>
        <v>0</v>
      </c>
      <c r="AB74" s="14">
        <f>R74*$AB$4</f>
        <v>8967809.4000000004</v>
      </c>
      <c r="AC74" s="14">
        <f>IF(Z74&lt;AB74,Z74,AB74)</f>
        <v>8967809.4000000004</v>
      </c>
      <c r="AD74" s="384">
        <f>IF(AC74&gt;0,AC74*(W74*$AD$4),0)</f>
        <v>3853073.1155663999</v>
      </c>
      <c r="AE74" s="399">
        <f>IF(AC74-AD74&gt;AC74*$AE$4,AC74-AD74,AC74*$AE$4)</f>
        <v>5114736.2844336005</v>
      </c>
      <c r="AF74" s="16">
        <f>IF(AC74=0,0,ROUND(AE74/AC74,4))</f>
        <v>0.57030000000000003</v>
      </c>
      <c r="AG74" s="388">
        <f>U74+AE74</f>
        <v>24902784.2844336</v>
      </c>
      <c r="AH74" s="14">
        <f>ROUND(AG74/C74,0)</f>
        <v>4917</v>
      </c>
      <c r="AI74" s="388">
        <f>'Table 4 Level 3'!O72</f>
        <v>722838</v>
      </c>
      <c r="AJ74" s="14">
        <f t="shared" si="66"/>
        <v>142.71233958538994</v>
      </c>
      <c r="AK74" s="388">
        <f>AI74+AG74</f>
        <v>25625622.2844336</v>
      </c>
      <c r="AL74" s="14">
        <f t="shared" si="67"/>
        <v>5059.3528695821524</v>
      </c>
      <c r="AM74" s="517">
        <f>'Table 4 Level 3'!R72</f>
        <v>4346973.284</v>
      </c>
      <c r="AN74" s="518">
        <f>AM74/C74</f>
        <v>858.23756841066142</v>
      </c>
      <c r="AO74" s="388">
        <f>AG74+AM74</f>
        <v>29249757.568433598</v>
      </c>
      <c r="AP74" s="14">
        <f>AO74/C74</f>
        <v>5774.8780984074228</v>
      </c>
      <c r="AQ74" s="16">
        <f>AO74/AW74</f>
        <v>0.65281726437750864</v>
      </c>
      <c r="AR74" s="389">
        <f>RANK(AQ74,$AQ$8:$AQ$76)</f>
        <v>35</v>
      </c>
      <c r="AS74" s="14">
        <f>ROUND(AC74+T74,2)</f>
        <v>15555671.4</v>
      </c>
      <c r="AT74" s="14">
        <f t="shared" si="68"/>
        <v>3071.21</v>
      </c>
      <c r="AU74" s="389">
        <f>RANK(AT74,$AT$8:$AT$76)</f>
        <v>38</v>
      </c>
      <c r="AV74" s="16">
        <f>AS74/AW74</f>
        <v>0.34718273562249141</v>
      </c>
      <c r="AW74" s="389">
        <f>AS74+AO74</f>
        <v>44805428.968433596</v>
      </c>
      <c r="AX74" s="390">
        <f t="shared" si="69"/>
        <v>8846.0866670155174</v>
      </c>
      <c r="AY74" s="389">
        <f>RANK(AX74,$AX$8:$AX$76)</f>
        <v>29</v>
      </c>
      <c r="AZ74" s="14">
        <v>27824044.385724001</v>
      </c>
      <c r="BA74" s="276">
        <f>AO74-AZ74</f>
        <v>1425713.1827095971</v>
      </c>
      <c r="BB74" s="276">
        <f>U74</f>
        <v>19788048</v>
      </c>
      <c r="BC74" s="276">
        <v>18885649</v>
      </c>
      <c r="BD74" s="276">
        <f>BB74-BC74</f>
        <v>902399</v>
      </c>
      <c r="BE74" s="276">
        <f>AE74</f>
        <v>5114736.2844336005</v>
      </c>
      <c r="BF74" s="276">
        <v>4788130.3857240006</v>
      </c>
      <c r="BG74" s="276">
        <f>BE74-BF74</f>
        <v>326605.89870959986</v>
      </c>
      <c r="BH74" s="276">
        <f>Y74</f>
        <v>22375754</v>
      </c>
      <c r="BI74" s="276">
        <v>21423550</v>
      </c>
      <c r="BJ74" s="276">
        <f>BH74-BI74</f>
        <v>952204</v>
      </c>
      <c r="BK74" s="349">
        <f>C74</f>
        <v>5065</v>
      </c>
      <c r="BL74" s="349">
        <v>4870</v>
      </c>
      <c r="BM74" s="958">
        <f>BK74-BL74</f>
        <v>195</v>
      </c>
      <c r="BN74" s="349">
        <f>P74</f>
        <v>6842</v>
      </c>
      <c r="BO74" s="349">
        <v>6629</v>
      </c>
      <c r="BP74" s="958">
        <f>BN74-BO74</f>
        <v>213</v>
      </c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</row>
    <row r="75" spans="1:148">
      <c r="A75" s="103">
        <v>68</v>
      </c>
      <c r="B75" s="81" t="s">
        <v>31</v>
      </c>
      <c r="C75" s="81">
        <f>'Table 8 2.1.12 MFP Funded'!AD71</f>
        <v>1767</v>
      </c>
      <c r="D75" s="81">
        <f>'[7]Table 3 for Option A'!AD71</f>
        <v>1400</v>
      </c>
      <c r="E75" s="81">
        <f t="shared" si="54"/>
        <v>308</v>
      </c>
      <c r="F75" s="81">
        <f>'[8]Table 3 Option A'!T79</f>
        <v>607</v>
      </c>
      <c r="G75" s="81">
        <f t="shared" si="55"/>
        <v>36</v>
      </c>
      <c r="H75" s="81">
        <f>'[9]SWD_Option A'!Z73</f>
        <v>214</v>
      </c>
      <c r="I75" s="81">
        <f>ROUND($I$4*H75,0)</f>
        <v>321</v>
      </c>
      <c r="J75" s="81">
        <f>'[9]GiftedTalented-Option a'!AA73</f>
        <v>1</v>
      </c>
      <c r="K75" s="13">
        <f>ROUND($K$4*J75,0)</f>
        <v>1</v>
      </c>
      <c r="L75" s="13">
        <f t="shared" si="56"/>
        <v>5733</v>
      </c>
      <c r="M75" s="65">
        <f>ROUND(L75/$M$4,5)</f>
        <v>0.15287999999999999</v>
      </c>
      <c r="N75" s="13">
        <f xml:space="preserve"> ROUND(C75*M75,0)</f>
        <v>270</v>
      </c>
      <c r="O75" s="13">
        <f>E75+G75+I75+K75+N75</f>
        <v>936</v>
      </c>
      <c r="P75" s="13">
        <f>O75+C75</f>
        <v>2703</v>
      </c>
      <c r="Q75" s="384">
        <f>$Q$4</f>
        <v>3855</v>
      </c>
      <c r="R75" s="384">
        <f>ROUND(P75*Q75,0)</f>
        <v>10420065</v>
      </c>
      <c r="S75" s="384">
        <f>'Table 6 (Local Deduct Calc.)'!J76</f>
        <v>2176722</v>
      </c>
      <c r="T75" s="384">
        <f>IF((S75&gt;R75*$T$4),R75*$T$4,S75)</f>
        <v>2176722</v>
      </c>
      <c r="U75" s="385">
        <f>R75-T75</f>
        <v>8243343</v>
      </c>
      <c r="V75" s="386">
        <f>ROUND(U75/R75,4)</f>
        <v>0.79110000000000003</v>
      </c>
      <c r="W75" s="386">
        <f>ROUND(T75/R75,4)</f>
        <v>0.2089</v>
      </c>
      <c r="X75" s="387">
        <f>T75/C75</f>
        <v>1231.874363327674</v>
      </c>
      <c r="Y75" s="384">
        <f>'Table 7 Local Revenue'!AQ75</f>
        <v>5087485</v>
      </c>
      <c r="Z75" s="384">
        <f>IF(Y75-T75&gt;0,Y75-T75,0)</f>
        <v>2910763</v>
      </c>
      <c r="AA75" s="276">
        <f>IF(Y75-T75&lt;0,Y75-T75,0)</f>
        <v>0</v>
      </c>
      <c r="AB75" s="14">
        <f>R75*$AB$4</f>
        <v>3542822.1</v>
      </c>
      <c r="AC75" s="14">
        <f>IF(Z75&lt;AB75,Z75,AB75)</f>
        <v>2910763</v>
      </c>
      <c r="AD75" s="384">
        <f>IF(AC75&gt;0,AC75*(W75*$AD$4),0)</f>
        <v>1045860.4320040001</v>
      </c>
      <c r="AE75" s="388">
        <f>IF(AC75-AD75&gt;AC75*$AE$4,AC75-AD75,AC75*$AE$4)</f>
        <v>1864902.5679959999</v>
      </c>
      <c r="AF75" s="16">
        <f>IF(AC75=0,0,ROUND(AE75/AC75,4))</f>
        <v>0.64070000000000005</v>
      </c>
      <c r="AG75" s="388">
        <f>U75+AE75</f>
        <v>10108245.567995999</v>
      </c>
      <c r="AH75" s="14">
        <f>ROUND(AG75/C75,0)</f>
        <v>5721</v>
      </c>
      <c r="AI75" s="388">
        <f>'Table 4 Level 3'!O73</f>
        <v>252173</v>
      </c>
      <c r="AJ75" s="14">
        <f t="shared" si="66"/>
        <v>142.71250707413697</v>
      </c>
      <c r="AK75" s="388">
        <f>AI75+AG75</f>
        <v>10360418.567995999</v>
      </c>
      <c r="AL75" s="14">
        <f t="shared" si="67"/>
        <v>5863.2815891318614</v>
      </c>
      <c r="AM75" s="517">
        <f>'Table 4 Level 3'!R73</f>
        <v>1663076.5500000003</v>
      </c>
      <c r="AN75" s="518">
        <f>AM75/C75</f>
        <v>941.18650254668944</v>
      </c>
      <c r="AO75" s="388">
        <f>AG75+AM75</f>
        <v>11771322.117996</v>
      </c>
      <c r="AP75" s="14">
        <f>AO75/C75</f>
        <v>6661.7555846044143</v>
      </c>
      <c r="AQ75" s="16">
        <f>AO75/AW75</f>
        <v>0.69822983533815131</v>
      </c>
      <c r="AR75" s="389">
        <f>RANK(AQ75,$AQ$8:$AQ$76)</f>
        <v>20</v>
      </c>
      <c r="AS75" s="14">
        <f>ROUND(AC75+T75,2)</f>
        <v>5087485</v>
      </c>
      <c r="AT75" s="14">
        <f t="shared" si="68"/>
        <v>2879.17</v>
      </c>
      <c r="AU75" s="389">
        <f>RANK(AT75,$AT$8:$AT$76)</f>
        <v>46</v>
      </c>
      <c r="AV75" s="16">
        <f>AS75/AW75</f>
        <v>0.30177016466184869</v>
      </c>
      <c r="AW75" s="389">
        <f>AS75+AO75</f>
        <v>16858807.117996</v>
      </c>
      <c r="AX75" s="390">
        <f t="shared" si="69"/>
        <v>9540.920836443689</v>
      </c>
      <c r="AY75" s="389">
        <f>RANK(AX75,$AX$8:$AX$76)</f>
        <v>8</v>
      </c>
      <c r="AZ75" s="14">
        <v>12000034.771544</v>
      </c>
      <c r="BA75" s="276">
        <f>AO75-AZ75</f>
        <v>-228712.65354800038</v>
      </c>
      <c r="BB75" s="276">
        <f>U75</f>
        <v>8243343</v>
      </c>
      <c r="BC75" s="276">
        <v>8504787</v>
      </c>
      <c r="BD75" s="276">
        <f>BB75-BC75</f>
        <v>-261444</v>
      </c>
      <c r="BE75" s="276">
        <f>AE75</f>
        <v>1864902.5679959999</v>
      </c>
      <c r="BF75" s="276">
        <v>1808900.7715440001</v>
      </c>
      <c r="BG75" s="276">
        <f>BE75-BF75</f>
        <v>56001.796451999806</v>
      </c>
      <c r="BH75" s="276">
        <f>Y75</f>
        <v>5087485</v>
      </c>
      <c r="BI75" s="276">
        <v>4962639</v>
      </c>
      <c r="BJ75" s="276">
        <f>BH75-BI75</f>
        <v>124846</v>
      </c>
      <c r="BK75" s="81">
        <f>C75</f>
        <v>1767</v>
      </c>
      <c r="BL75" s="81">
        <v>1803</v>
      </c>
      <c r="BM75" s="954">
        <f>BK75-BL75</f>
        <v>-36</v>
      </c>
      <c r="BN75" s="81">
        <f>P75</f>
        <v>2703</v>
      </c>
      <c r="BO75" s="81">
        <v>2771</v>
      </c>
      <c r="BP75" s="954">
        <f>BN75-BO75</f>
        <v>-68</v>
      </c>
    </row>
    <row r="76" spans="1:148">
      <c r="A76" s="104">
        <v>69</v>
      </c>
      <c r="B76" s="82" t="s">
        <v>229</v>
      </c>
      <c r="C76" s="81">
        <f>'Table 8 2.1.12 MFP Funded'!AD72</f>
        <v>3940</v>
      </c>
      <c r="D76" s="82">
        <f>'[7]Table 3 for Option A'!AD72</f>
        <v>1983</v>
      </c>
      <c r="E76" s="82">
        <f t="shared" si="54"/>
        <v>436</v>
      </c>
      <c r="F76" s="82">
        <f>'[8]Table 3 Option A'!T80</f>
        <v>1301.5</v>
      </c>
      <c r="G76" s="82">
        <f t="shared" si="55"/>
        <v>78</v>
      </c>
      <c r="H76" s="82">
        <f>'[9]SWD_Option A'!Z74</f>
        <v>266</v>
      </c>
      <c r="I76" s="82">
        <f>ROUND($I$4*H76,0)</f>
        <v>399</v>
      </c>
      <c r="J76" s="82">
        <f>'[9]GiftedTalented-Option a'!AA74</f>
        <v>218</v>
      </c>
      <c r="K76" s="19">
        <f>ROUND($K$4*J76,0)</f>
        <v>131</v>
      </c>
      <c r="L76" s="19">
        <f t="shared" si="56"/>
        <v>3560</v>
      </c>
      <c r="M76" s="66">
        <f>ROUND(L76/$M$4,5)</f>
        <v>9.493E-2</v>
      </c>
      <c r="N76" s="13">
        <f xml:space="preserve"> ROUND(C76*M76,0)</f>
        <v>374</v>
      </c>
      <c r="O76" s="19">
        <f>E76+G76+I76+K76+N76</f>
        <v>1418</v>
      </c>
      <c r="P76" s="19">
        <f>O76+C76</f>
        <v>5358</v>
      </c>
      <c r="Q76" s="384">
        <f>$Q$4</f>
        <v>3855</v>
      </c>
      <c r="R76" s="384">
        <f>ROUND(P76*Q76,0)</f>
        <v>20655090</v>
      </c>
      <c r="S76" s="384">
        <f>'Table 6 (Local Deduct Calc.)'!J77</f>
        <v>4094102</v>
      </c>
      <c r="T76" s="384">
        <f>IF((S76&gt;R76*$T$4),R76*$T$4,S76)</f>
        <v>4094102</v>
      </c>
      <c r="U76" s="385">
        <f>R76-T76</f>
        <v>16560988</v>
      </c>
      <c r="V76" s="386">
        <f>ROUND(U76/R76,4)</f>
        <v>0.80179999999999996</v>
      </c>
      <c r="W76" s="386">
        <f>ROUND(T76/R76,4)</f>
        <v>0.19819999999999999</v>
      </c>
      <c r="X76" s="387">
        <f>T76/C76</f>
        <v>1039.1121827411168</v>
      </c>
      <c r="Y76" s="384">
        <f>'Table 7 Local Revenue'!AQ76</f>
        <v>13229458</v>
      </c>
      <c r="Z76" s="384">
        <f>IF(Y76-T76&gt;0,Y76-T76,0)</f>
        <v>9135356</v>
      </c>
      <c r="AA76" s="276">
        <f>IF(Y76-T76&lt;0,Y76-T76,0)</f>
        <v>0</v>
      </c>
      <c r="AB76" s="14">
        <f>R76*$AB$4</f>
        <v>7022730.6000000006</v>
      </c>
      <c r="AC76" s="14">
        <f>IF(Z76&lt;AB76,Z76,AB76)</f>
        <v>7022730.6000000006</v>
      </c>
      <c r="AD76" s="384">
        <f>IF(AC76&gt;0,AC76*(W76*$AD$4),0)</f>
        <v>2394076.9524624003</v>
      </c>
      <c r="AE76" s="388">
        <f>IF(AC76-AD76&gt;AC76*$AE$4,AC76-AD76,AC76*$AE$4)</f>
        <v>4628653.6475376002</v>
      </c>
      <c r="AF76" s="16">
        <f>IF(AC76=0,0,ROUND(AE76/AC76,4))</f>
        <v>0.65910000000000002</v>
      </c>
      <c r="AG76" s="388">
        <f>U76+AE76</f>
        <v>21189641.6475376</v>
      </c>
      <c r="AH76" s="14">
        <f>ROUND(AG76/C76,0)</f>
        <v>5378</v>
      </c>
      <c r="AI76" s="388">
        <f>'Table 4 Level 3'!O74</f>
        <v>562287</v>
      </c>
      <c r="AJ76" s="14">
        <f t="shared" si="66"/>
        <v>142.71243654822334</v>
      </c>
      <c r="AK76" s="396">
        <f>AI76+AG76</f>
        <v>21751928.6475376</v>
      </c>
      <c r="AL76" s="20">
        <f t="shared" si="67"/>
        <v>5520.7940729790862</v>
      </c>
      <c r="AM76" s="517">
        <f>'Table 4 Level 3'!R74</f>
        <v>3341850.5629999996</v>
      </c>
      <c r="AN76" s="518">
        <f>AM76/C76</f>
        <v>848.18542208121812</v>
      </c>
      <c r="AO76" s="396">
        <f>AG76+AM76</f>
        <v>24531492.210537601</v>
      </c>
      <c r="AP76" s="20">
        <f>AO76/C76</f>
        <v>6226.2670585120813</v>
      </c>
      <c r="AQ76" s="16">
        <f>AO76/AW76</f>
        <v>0.68815273483162731</v>
      </c>
      <c r="AR76" s="389">
        <f>RANK(AQ76,$AQ$8:$AQ$76)</f>
        <v>23</v>
      </c>
      <c r="AS76" s="14">
        <f>ROUND(AC76+T76,2)</f>
        <v>11116832.6</v>
      </c>
      <c r="AT76" s="14">
        <f t="shared" si="68"/>
        <v>2821.53</v>
      </c>
      <c r="AU76" s="389">
        <f>RANK(AT76,$AT$8:$AT$76)</f>
        <v>49</v>
      </c>
      <c r="AV76" s="16">
        <f>AS76/AW76</f>
        <v>0.31184726516837274</v>
      </c>
      <c r="AW76" s="389">
        <f>AS76+AO76</f>
        <v>35648324.810537599</v>
      </c>
      <c r="AX76" s="390">
        <f t="shared" si="69"/>
        <v>9047.7981752633495</v>
      </c>
      <c r="AY76" s="389">
        <f>RANK(AX76,$AX$8:$AX$76)</f>
        <v>22</v>
      </c>
      <c r="AZ76" s="14">
        <v>24120286.459590398</v>
      </c>
      <c r="BA76" s="277">
        <f>AO76-AZ76</f>
        <v>411205.75094720349</v>
      </c>
      <c r="BB76" s="277">
        <f>U76</f>
        <v>16560988</v>
      </c>
      <c r="BC76" s="277">
        <v>16312598</v>
      </c>
      <c r="BD76" s="277">
        <f>BB76-BC76</f>
        <v>248390</v>
      </c>
      <c r="BE76" s="277">
        <f>AE76</f>
        <v>4628653.6475376002</v>
      </c>
      <c r="BF76" s="277">
        <v>4530414.4595903996</v>
      </c>
      <c r="BG76" s="277">
        <f>BE76-BF76</f>
        <v>98239.187947200611</v>
      </c>
      <c r="BH76" s="277">
        <f>Y76</f>
        <v>13229458</v>
      </c>
      <c r="BI76" s="277">
        <v>11640732</v>
      </c>
      <c r="BJ76" s="277">
        <f>BH76-BI76</f>
        <v>1588726</v>
      </c>
      <c r="BK76" s="81">
        <f>C76</f>
        <v>3940</v>
      </c>
      <c r="BL76" s="81">
        <v>3891</v>
      </c>
      <c r="BM76" s="954">
        <f>BK76-BL76</f>
        <v>49</v>
      </c>
      <c r="BN76" s="81">
        <f>P76</f>
        <v>5358</v>
      </c>
      <c r="BO76" s="81">
        <v>5308</v>
      </c>
      <c r="BP76" s="954">
        <f>BN76-BO76</f>
        <v>50</v>
      </c>
    </row>
    <row r="77" spans="1:148" ht="13.5" thickBot="1">
      <c r="A77" s="105"/>
      <c r="B77" s="106" t="s">
        <v>98</v>
      </c>
      <c r="C77" s="107">
        <f>SUM(C8:C76)</f>
        <v>672250</v>
      </c>
      <c r="D77" s="107">
        <f t="shared" ref="D77:L77" si="70">SUM(D8:D76)</f>
        <v>457414</v>
      </c>
      <c r="E77" s="107">
        <f t="shared" si="70"/>
        <v>100632</v>
      </c>
      <c r="F77" s="107">
        <f t="shared" si="70"/>
        <v>214656</v>
      </c>
      <c r="G77" s="107">
        <f t="shared" si="70"/>
        <v>12874</v>
      </c>
      <c r="H77" s="107">
        <f t="shared" si="70"/>
        <v>81798</v>
      </c>
      <c r="I77" s="107">
        <f t="shared" si="70"/>
        <v>122713</v>
      </c>
      <c r="J77" s="107">
        <f t="shared" si="70"/>
        <v>28314</v>
      </c>
      <c r="K77" s="107">
        <f t="shared" si="70"/>
        <v>16986</v>
      </c>
      <c r="L77" s="107">
        <f t="shared" si="70"/>
        <v>181864</v>
      </c>
      <c r="M77" s="107"/>
      <c r="N77" s="107">
        <f>SUM(N8:N76)</f>
        <v>13313</v>
      </c>
      <c r="O77" s="107">
        <f>SUM(O8:O76)</f>
        <v>266518</v>
      </c>
      <c r="P77" s="107">
        <f>SUM(P8:P76)</f>
        <v>938768</v>
      </c>
      <c r="Q77" s="400">
        <f>$Q$4</f>
        <v>3855</v>
      </c>
      <c r="R77" s="401">
        <f>SUM(R8:R76)</f>
        <v>3618950640</v>
      </c>
      <c r="S77" s="401">
        <f>SUM(S8:S76)</f>
        <v>1288730485.5</v>
      </c>
      <c r="T77" s="401">
        <f>SUM(T8:T76)</f>
        <v>1266608632.25</v>
      </c>
      <c r="U77" s="402">
        <f>SUM(U8:U76)</f>
        <v>2352342007.75</v>
      </c>
      <c r="V77" s="403">
        <f>ROUND(U77/R77,4)</f>
        <v>0.65</v>
      </c>
      <c r="W77" s="404">
        <f>ROUND(T77/R77,4)</f>
        <v>0.35</v>
      </c>
      <c r="X77" s="405">
        <f>T77/C77</f>
        <v>1884.1333317218296</v>
      </c>
      <c r="Y77" s="401">
        <f t="shared" ref="Y77:AE77" si="71">SUM(Y8:Y76)</f>
        <v>2990718502.5</v>
      </c>
      <c r="Z77" s="401">
        <f t="shared" si="71"/>
        <v>1723351752.25</v>
      </c>
      <c r="AA77" s="401">
        <f t="shared" si="71"/>
        <v>0</v>
      </c>
      <c r="AB77" s="406">
        <f t="shared" si="71"/>
        <v>1230443217.5999997</v>
      </c>
      <c r="AC77" s="406">
        <f t="shared" si="71"/>
        <v>1094532865.6999998</v>
      </c>
      <c r="AD77" s="400">
        <f t="shared" si="71"/>
        <v>689663018.08814573</v>
      </c>
      <c r="AE77" s="407">
        <f t="shared" si="71"/>
        <v>414494348.78068721</v>
      </c>
      <c r="AF77" s="211">
        <f>IF(AC77=0,0,ROUND(AE77/AC77,4))</f>
        <v>0.37869999999999998</v>
      </c>
      <c r="AG77" s="410">
        <f>SUM(AG8:AG76)</f>
        <v>2766836356.5306869</v>
      </c>
      <c r="AH77" s="409">
        <f>ROUND(AG77/C77,0)</f>
        <v>4116</v>
      </c>
      <c r="AI77" s="410">
        <f>SUM(AI8:AI76)</f>
        <v>148377937</v>
      </c>
      <c r="AJ77" s="408">
        <f t="shared" si="66"/>
        <v>220.7183889921904</v>
      </c>
      <c r="AK77" s="410">
        <f>SUM(AK8:AK76)</f>
        <v>2915214293.5306869</v>
      </c>
      <c r="AL77" s="408">
        <f t="shared" si="67"/>
        <v>4336.5032257801222</v>
      </c>
      <c r="AM77" s="410">
        <f>SUM(AM8:AM76)</f>
        <v>622380014.09629655</v>
      </c>
      <c r="AN77" s="408">
        <f>AM77/C77</f>
        <v>925.81630955194726</v>
      </c>
      <c r="AO77" s="410">
        <f>SUM(AO8:AO76)</f>
        <v>3389216370.6269822</v>
      </c>
      <c r="AP77" s="408">
        <f>AO77/C77</f>
        <v>5041.6011463398772</v>
      </c>
      <c r="AQ77" s="411">
        <f>AO77/AW77</f>
        <v>0.58939225141924889</v>
      </c>
      <c r="AR77" s="409"/>
      <c r="AS77" s="409">
        <f>SUM(AS8:AS76)</f>
        <v>2361141497.9499998</v>
      </c>
      <c r="AT77" s="408">
        <f t="shared" si="68"/>
        <v>3512.3</v>
      </c>
      <c r="AU77" s="408"/>
      <c r="AV77" s="211">
        <f>AS77/AW77</f>
        <v>0.41060774858075066</v>
      </c>
      <c r="AW77" s="408">
        <f>SUM(AW8:AW76)</f>
        <v>5750357868.5769844</v>
      </c>
      <c r="AX77" s="401">
        <f t="shared" si="69"/>
        <v>8553.8979078869233</v>
      </c>
      <c r="AY77" s="408"/>
      <c r="AZ77" s="408">
        <f t="shared" ref="AZ77:BJ77" si="72">SUM(AZ8:AZ76)</f>
        <v>3331014473.4630613</v>
      </c>
      <c r="BA77" s="408">
        <f t="shared" si="72"/>
        <v>58201897.16392222</v>
      </c>
      <c r="BB77" s="408">
        <f t="shared" si="72"/>
        <v>2352342007.75</v>
      </c>
      <c r="BC77" s="408">
        <f t="shared" si="72"/>
        <v>2316995202.5</v>
      </c>
      <c r="BD77" s="401">
        <f t="shared" si="72"/>
        <v>35346805.25</v>
      </c>
      <c r="BE77" s="408">
        <f t="shared" si="72"/>
        <v>414494348.78068721</v>
      </c>
      <c r="BF77" s="408">
        <f t="shared" si="72"/>
        <v>399856216.25968516</v>
      </c>
      <c r="BG77" s="401">
        <f t="shared" si="72"/>
        <v>14638132.521001993</v>
      </c>
      <c r="BH77" s="401">
        <f t="shared" si="72"/>
        <v>2990718502.5</v>
      </c>
      <c r="BI77" s="401">
        <f t="shared" si="72"/>
        <v>2855993315.5</v>
      </c>
      <c r="BJ77" s="401">
        <f t="shared" si="72"/>
        <v>134725187</v>
      </c>
      <c r="BK77" s="164">
        <f t="shared" ref="BK77:BP77" si="73">SUM(BK8:BK76)</f>
        <v>672250</v>
      </c>
      <c r="BL77" s="164">
        <f t="shared" si="73"/>
        <v>661517</v>
      </c>
      <c r="BM77" s="959">
        <f t="shared" si="73"/>
        <v>10733</v>
      </c>
      <c r="BN77" s="164">
        <f t="shared" si="73"/>
        <v>938768</v>
      </c>
      <c r="BO77" s="164">
        <f t="shared" si="73"/>
        <v>924654</v>
      </c>
      <c r="BP77" s="959">
        <f t="shared" si="73"/>
        <v>14114</v>
      </c>
    </row>
    <row r="78" spans="1:148" ht="13.5" thickTop="1">
      <c r="A78" s="108"/>
      <c r="B78" s="201"/>
      <c r="C78" s="172"/>
      <c r="D78" s="109"/>
      <c r="E78" s="110"/>
      <c r="F78" s="172"/>
      <c r="G78" s="109"/>
      <c r="H78" s="109"/>
      <c r="I78" s="109"/>
      <c r="J78" s="109"/>
      <c r="O78" s="5"/>
      <c r="P78" s="5"/>
      <c r="S78" s="2"/>
      <c r="T78" s="2"/>
      <c r="U78" s="6"/>
      <c r="V78" s="2"/>
      <c r="W78" s="2"/>
      <c r="X78" s="2"/>
      <c r="Y78" s="2"/>
      <c r="AA78" s="2"/>
      <c r="AB78" s="2"/>
      <c r="AC78" s="2"/>
      <c r="AD78" s="2"/>
      <c r="AE78" s="2"/>
      <c r="AF78" s="2"/>
      <c r="AH78" s="2"/>
      <c r="AX78" s="412"/>
      <c r="AY78" s="412"/>
      <c r="AZ78" s="412"/>
      <c r="BA78" s="2"/>
      <c r="BN78" s="753"/>
      <c r="BO78" s="753"/>
      <c r="BP78" s="753"/>
    </row>
    <row r="79" spans="1:148" s="34" customFormat="1" ht="1.5" customHeight="1">
      <c r="A79" s="111"/>
      <c r="B79" s="112"/>
      <c r="C79" s="69"/>
      <c r="D79" s="269">
        <f>D76/C76</f>
        <v>0.50329949238578675</v>
      </c>
      <c r="E79" s="112"/>
      <c r="F79" s="170"/>
      <c r="G79" s="112"/>
      <c r="H79" s="198"/>
      <c r="I79" s="199"/>
      <c r="J79" s="198"/>
      <c r="N79" s="1847"/>
      <c r="O79" s="1847"/>
      <c r="Q79" s="60"/>
      <c r="R79" s="1724"/>
      <c r="S79" s="256"/>
      <c r="T79" s="256"/>
      <c r="U79" s="256"/>
      <c r="V79" s="22"/>
      <c r="W79" s="22"/>
      <c r="X79" s="22"/>
      <c r="Y79" s="22"/>
      <c r="AA79" s="22"/>
      <c r="AB79" s="22"/>
      <c r="AC79" s="22"/>
      <c r="AD79" s="22"/>
      <c r="AE79" s="254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199"/>
      <c r="BC79" s="199"/>
      <c r="BD79" s="199"/>
      <c r="BE79" s="199"/>
    </row>
    <row r="80" spans="1:148">
      <c r="A80" s="108"/>
      <c r="B80" s="109"/>
      <c r="C80" s="205"/>
      <c r="D80" s="171"/>
      <c r="E80" s="204"/>
      <c r="F80" s="109"/>
      <c r="G80" s="109"/>
      <c r="H80" s="139"/>
      <c r="I80" s="200"/>
      <c r="J80" s="139"/>
      <c r="Q80" s="142"/>
      <c r="R80" s="64"/>
      <c r="S80" s="256"/>
      <c r="T80" s="256"/>
      <c r="U80" s="1725"/>
      <c r="V80" s="22"/>
      <c r="W80" s="22"/>
      <c r="X80" s="22"/>
      <c r="Y80" s="22"/>
      <c r="AA80" s="22"/>
      <c r="AB80" s="22"/>
      <c r="AC80" s="22"/>
      <c r="AD80" s="22"/>
      <c r="AE80" s="22"/>
      <c r="AF80" s="22"/>
      <c r="AG80" s="255"/>
      <c r="AH80" s="22"/>
      <c r="AI80" s="22"/>
      <c r="AJ80" s="22"/>
      <c r="AK80" s="255"/>
      <c r="AL80" s="255"/>
      <c r="AM80" s="255"/>
      <c r="AN80" s="255"/>
      <c r="AO80" s="255"/>
      <c r="AP80" s="255"/>
      <c r="AQ80" s="255"/>
      <c r="AR80" s="255"/>
      <c r="AS80" s="22"/>
      <c r="AT80" s="255"/>
      <c r="AU80" s="255"/>
      <c r="AV80" s="255"/>
      <c r="AW80" s="255"/>
      <c r="AX80" s="255"/>
      <c r="AY80" s="255"/>
      <c r="AZ80" s="255"/>
      <c r="BA80" s="22"/>
    </row>
    <row r="81" spans="1:53">
      <c r="A81" s="108"/>
      <c r="B81" s="109"/>
      <c r="C81" s="203"/>
      <c r="D81" s="172"/>
      <c r="E81" s="109"/>
      <c r="F81" s="109"/>
      <c r="G81" s="109"/>
      <c r="H81" s="198"/>
      <c r="I81" s="139"/>
      <c r="J81" s="198"/>
      <c r="Q81" s="61"/>
      <c r="R81" s="346"/>
      <c r="S81" s="256"/>
      <c r="T81" s="256"/>
      <c r="U81" s="256"/>
      <c r="V81" s="22"/>
      <c r="W81" s="22"/>
      <c r="X81" s="22"/>
      <c r="Y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</row>
    <row r="82" spans="1:53">
      <c r="A82" s="108"/>
      <c r="B82" s="109"/>
      <c r="C82" s="203"/>
      <c r="D82" s="109"/>
      <c r="E82" s="109"/>
      <c r="F82" s="109"/>
      <c r="G82" s="109"/>
      <c r="H82" s="139"/>
      <c r="I82" s="139"/>
      <c r="J82" s="139"/>
      <c r="R82" s="64"/>
      <c r="S82" s="256"/>
      <c r="T82" s="256"/>
      <c r="U82" s="256"/>
      <c r="V82" s="22"/>
      <c r="W82" s="22"/>
      <c r="X82" s="22"/>
      <c r="Y82" s="22"/>
      <c r="AA82" s="22"/>
      <c r="AB82" s="22"/>
      <c r="AC82" s="22"/>
      <c r="AD82" s="22"/>
      <c r="AE82" s="22"/>
      <c r="AF82" s="22"/>
      <c r="AG82" s="25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55"/>
      <c r="BA82" s="22"/>
    </row>
    <row r="83" spans="1:53">
      <c r="A83" s="108"/>
      <c r="B83" s="109"/>
      <c r="C83" s="109"/>
      <c r="D83" s="109"/>
      <c r="E83" s="109"/>
      <c r="F83" s="109"/>
      <c r="G83" s="109"/>
      <c r="H83" s="109"/>
      <c r="I83" s="109"/>
      <c r="J83" s="109"/>
      <c r="R83" s="64"/>
      <c r="S83" s="256"/>
      <c r="T83" s="256"/>
      <c r="U83" s="256"/>
      <c r="V83" s="22"/>
      <c r="W83" s="22"/>
      <c r="X83" s="22"/>
      <c r="Y83" s="22"/>
      <c r="AA83" s="22"/>
      <c r="AB83" s="22"/>
      <c r="AC83" s="22"/>
      <c r="AD83" s="22"/>
      <c r="AE83" s="22"/>
      <c r="AF83" s="22"/>
      <c r="AG83" s="25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55"/>
      <c r="BA83" s="22"/>
    </row>
    <row r="84" spans="1:53" ht="20.25">
      <c r="A84" s="108"/>
      <c r="B84" s="109"/>
      <c r="C84" s="139"/>
      <c r="D84" s="282"/>
      <c r="E84" s="282"/>
      <c r="F84" s="282"/>
      <c r="G84" s="282"/>
      <c r="H84" s="139"/>
      <c r="I84" s="139"/>
      <c r="J84" s="139"/>
      <c r="R84" s="64"/>
      <c r="S84" s="249"/>
      <c r="T84" s="249"/>
      <c r="U84" s="249"/>
    </row>
    <row r="85" spans="1:53">
      <c r="A85" s="108"/>
      <c r="B85" s="109"/>
      <c r="C85" s="1836"/>
      <c r="D85" s="1836"/>
      <c r="E85" s="1836"/>
      <c r="F85" s="1836"/>
      <c r="G85" s="780"/>
      <c r="H85" s="1836"/>
      <c r="I85" s="1836"/>
      <c r="J85" s="1836"/>
      <c r="K85" s="1836"/>
      <c r="S85" s="249"/>
      <c r="T85" s="249"/>
      <c r="U85" s="249"/>
    </row>
    <row r="86" spans="1:53">
      <c r="A86" s="108"/>
      <c r="B86" s="109"/>
      <c r="C86" s="780"/>
      <c r="D86" s="780"/>
      <c r="E86" s="780"/>
      <c r="F86" s="780"/>
      <c r="G86" s="780"/>
      <c r="H86" s="139"/>
      <c r="I86" s="139"/>
      <c r="J86" s="139"/>
      <c r="S86" s="249"/>
      <c r="T86" s="249"/>
      <c r="U86" s="249"/>
      <c r="Z86" s="598"/>
    </row>
    <row r="87" spans="1:53" ht="20.25">
      <c r="A87" s="108"/>
      <c r="B87" s="109"/>
      <c r="C87" s="171"/>
      <c r="D87" s="139"/>
      <c r="E87" s="282"/>
      <c r="F87" s="282"/>
      <c r="G87" s="282"/>
      <c r="H87" s="139"/>
      <c r="I87" s="139"/>
      <c r="J87" s="139"/>
      <c r="S87" s="249"/>
      <c r="T87" s="249"/>
      <c r="U87" s="249"/>
      <c r="Z87" s="944"/>
      <c r="AG87" s="6"/>
      <c r="AI87" s="23"/>
      <c r="AJ87" s="2"/>
      <c r="AK87" s="412"/>
      <c r="AL87" s="412"/>
      <c r="AM87" s="412"/>
      <c r="AN87" s="412"/>
      <c r="AO87" s="1726"/>
      <c r="AP87" s="1727"/>
      <c r="AQ87" s="1727"/>
      <c r="AR87" s="1727"/>
      <c r="AS87" s="64"/>
      <c r="AT87" s="1727"/>
      <c r="AU87" s="1727"/>
      <c r="AV87" s="1727"/>
      <c r="AW87" s="1728"/>
    </row>
    <row r="88" spans="1:53">
      <c r="A88" s="108"/>
      <c r="B88" s="109"/>
      <c r="C88" s="109"/>
      <c r="D88" s="109"/>
      <c r="E88" s="109"/>
      <c r="F88" s="109"/>
      <c r="G88" s="109"/>
      <c r="H88" s="109"/>
      <c r="I88" s="109"/>
      <c r="J88" s="109"/>
      <c r="S88" s="249"/>
      <c r="T88" s="249"/>
      <c r="U88" s="249"/>
      <c r="Z88" s="598"/>
    </row>
    <row r="89" spans="1:53">
      <c r="A89" s="286"/>
      <c r="B89" s="139"/>
      <c r="C89" s="472"/>
      <c r="D89" s="139"/>
      <c r="E89" s="139"/>
      <c r="F89" s="139"/>
      <c r="G89" s="139"/>
      <c r="H89" s="139"/>
      <c r="I89" s="139"/>
      <c r="J89" s="139"/>
      <c r="K89" s="64"/>
      <c r="L89" s="64"/>
      <c r="M89" s="471"/>
      <c r="N89" s="64"/>
      <c r="O89" s="64"/>
      <c r="P89" s="64"/>
      <c r="Q89" s="64"/>
      <c r="R89" s="579"/>
      <c r="S89" s="249"/>
      <c r="T89" s="249"/>
      <c r="U89" s="249"/>
      <c r="Z89" s="945"/>
    </row>
    <row r="90" spans="1:53">
      <c r="A90" s="286"/>
      <c r="B90" s="139"/>
      <c r="C90" s="171"/>
      <c r="D90" s="139"/>
      <c r="E90" s="139"/>
      <c r="F90" s="139"/>
      <c r="G90" s="139"/>
      <c r="H90" s="139"/>
      <c r="I90" s="139"/>
      <c r="J90" s="139"/>
      <c r="K90" s="64"/>
      <c r="L90" s="64"/>
      <c r="M90" s="471"/>
      <c r="N90" s="64"/>
      <c r="O90" s="64"/>
      <c r="P90" s="64"/>
      <c r="Q90" s="64"/>
      <c r="R90" s="64"/>
      <c r="S90" s="249"/>
      <c r="T90" s="249"/>
      <c r="U90" s="249"/>
      <c r="AO90" s="234"/>
    </row>
    <row r="91" spans="1:53">
      <c r="A91" s="286"/>
      <c r="B91" s="139"/>
      <c r="C91" s="171"/>
      <c r="D91" s="139"/>
      <c r="E91" s="139"/>
      <c r="F91" s="139"/>
      <c r="G91" s="139"/>
      <c r="H91" s="139"/>
      <c r="I91" s="139"/>
      <c r="J91" s="139"/>
      <c r="K91" s="64"/>
      <c r="L91" s="64"/>
      <c r="M91" s="471"/>
      <c r="N91" s="64"/>
      <c r="O91" s="64"/>
      <c r="P91" s="64"/>
      <c r="Q91" s="64"/>
      <c r="R91" s="471"/>
      <c r="S91" s="249"/>
      <c r="T91" s="249"/>
      <c r="U91" s="249"/>
    </row>
    <row r="92" spans="1:53">
      <c r="A92" s="286"/>
      <c r="B92" s="139"/>
      <c r="C92" s="139"/>
      <c r="D92" s="139"/>
      <c r="E92" s="139"/>
      <c r="F92" s="139"/>
      <c r="G92" s="139"/>
      <c r="H92" s="139"/>
      <c r="I92" s="139"/>
      <c r="J92" s="139"/>
      <c r="K92" s="64"/>
      <c r="L92" s="64"/>
      <c r="M92" s="471"/>
      <c r="N92" s="64"/>
      <c r="O92" s="64"/>
      <c r="P92" s="64"/>
      <c r="Q92" s="64"/>
      <c r="R92" s="64"/>
      <c r="S92" s="249"/>
      <c r="T92" s="249"/>
      <c r="U92" s="249"/>
      <c r="Z92" s="7"/>
    </row>
    <row r="93" spans="1:53">
      <c r="A93" s="286"/>
      <c r="B93" s="139"/>
      <c r="C93" s="139"/>
      <c r="D93" s="139"/>
      <c r="E93" s="139"/>
      <c r="F93" s="139"/>
      <c r="G93" s="139"/>
      <c r="H93" s="139"/>
      <c r="I93" s="139"/>
      <c r="J93" s="139"/>
      <c r="K93" s="64"/>
      <c r="L93" s="64"/>
      <c r="M93" s="471"/>
      <c r="N93" s="64"/>
      <c r="O93" s="64"/>
      <c r="P93" s="64"/>
      <c r="Q93" s="64"/>
      <c r="R93" s="64"/>
      <c r="S93" s="249"/>
      <c r="T93" s="249"/>
      <c r="U93" s="249"/>
      <c r="Z93" s="286"/>
    </row>
    <row r="94" spans="1:53">
      <c r="A94" s="286"/>
      <c r="B94" s="171"/>
      <c r="C94" s="139"/>
      <c r="D94" s="139"/>
      <c r="E94" s="139"/>
      <c r="F94" s="139"/>
      <c r="G94" s="139"/>
      <c r="H94" s="139"/>
      <c r="I94" s="139"/>
      <c r="J94" s="139"/>
      <c r="K94" s="64"/>
      <c r="L94" s="64"/>
      <c r="M94" s="471"/>
      <c r="N94" s="64"/>
      <c r="O94" s="64"/>
      <c r="P94" s="64"/>
      <c r="Q94" s="64"/>
      <c r="R94" s="64"/>
      <c r="S94" s="249"/>
      <c r="T94" s="249"/>
      <c r="U94" s="249"/>
      <c r="Z94" s="287"/>
    </row>
    <row r="95" spans="1:53">
      <c r="A95" s="286"/>
      <c r="B95" s="139"/>
      <c r="C95" s="139"/>
      <c r="D95" s="139"/>
      <c r="E95" s="139"/>
      <c r="F95" s="139"/>
      <c r="G95" s="139"/>
      <c r="H95" s="139"/>
      <c r="I95" s="139"/>
      <c r="J95" s="139"/>
      <c r="K95" s="64"/>
      <c r="L95" s="64"/>
      <c r="M95" s="471"/>
      <c r="N95" s="64"/>
      <c r="O95" s="64"/>
      <c r="P95" s="64"/>
      <c r="Q95" s="64"/>
      <c r="R95" s="64"/>
      <c r="S95" s="249"/>
      <c r="T95" s="249"/>
      <c r="U95" s="249"/>
      <c r="Z95" s="287"/>
    </row>
    <row r="96" spans="1:53">
      <c r="A96" s="286"/>
      <c r="B96" s="139"/>
      <c r="C96" s="139"/>
      <c r="D96" s="139"/>
      <c r="E96" s="139"/>
      <c r="F96" s="139"/>
      <c r="G96" s="139"/>
      <c r="H96" s="139"/>
      <c r="I96" s="139"/>
      <c r="J96" s="139"/>
      <c r="K96" s="64"/>
      <c r="L96" s="64"/>
      <c r="M96" s="471"/>
      <c r="N96" s="64"/>
      <c r="O96" s="64"/>
      <c r="P96" s="64"/>
      <c r="Q96" s="64"/>
      <c r="R96" s="64"/>
      <c r="S96" s="249"/>
      <c r="T96" s="249"/>
      <c r="U96" s="249"/>
    </row>
    <row r="97" spans="1:148">
      <c r="A97" s="286"/>
      <c r="B97" s="139"/>
      <c r="C97" s="139"/>
      <c r="D97" s="139"/>
      <c r="E97" s="139"/>
      <c r="F97" s="139"/>
      <c r="G97" s="139"/>
      <c r="H97" s="139"/>
      <c r="I97" s="139"/>
      <c r="J97" s="139"/>
      <c r="K97" s="64"/>
      <c r="L97" s="64"/>
      <c r="M97" s="471"/>
      <c r="N97" s="64"/>
      <c r="O97" s="64"/>
      <c r="P97" s="64"/>
      <c r="Q97" s="64"/>
      <c r="R97" s="64"/>
      <c r="S97" s="249"/>
      <c r="T97" s="249"/>
      <c r="U97" s="249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148" s="339" customFormat="1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473"/>
      <c r="L98" s="473"/>
      <c r="M98" s="474"/>
      <c r="N98" s="473"/>
      <c r="O98" s="473"/>
      <c r="P98" s="473"/>
      <c r="Q98" s="473"/>
      <c r="R98" s="473"/>
      <c r="S98" s="475"/>
      <c r="T98" s="475"/>
      <c r="U98" s="475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1722"/>
      <c r="BC98" s="1722"/>
      <c r="BD98" s="1722"/>
      <c r="BE98" s="1722"/>
      <c r="BF98" s="1723"/>
      <c r="BG98" s="1723"/>
      <c r="BH98" s="1723"/>
      <c r="BI98" s="1723"/>
      <c r="BJ98" s="1723"/>
      <c r="BK98" s="1723"/>
      <c r="BL98" s="1723"/>
      <c r="BM98" s="1723"/>
      <c r="BN98" s="1723"/>
      <c r="BO98" s="1723"/>
      <c r="BP98" s="1723"/>
      <c r="BQ98" s="1723"/>
      <c r="BR98" s="1723"/>
      <c r="BS98" s="1723"/>
      <c r="BT98" s="1723"/>
      <c r="BU98" s="1723"/>
      <c r="BV98" s="1723"/>
      <c r="BW98" s="1723"/>
      <c r="BX98" s="1723"/>
      <c r="BY98" s="1723"/>
      <c r="BZ98" s="1723"/>
      <c r="CA98" s="1723"/>
      <c r="CB98" s="1723"/>
      <c r="CC98" s="1723"/>
      <c r="CD98" s="1723"/>
      <c r="CE98" s="1723"/>
      <c r="CF98" s="1723"/>
      <c r="CG98" s="1723"/>
      <c r="CH98" s="340"/>
      <c r="CI98" s="340"/>
      <c r="CJ98" s="340"/>
      <c r="CK98" s="340"/>
      <c r="CL98" s="340"/>
      <c r="CM98" s="340"/>
      <c r="CN98" s="340"/>
      <c r="CO98" s="340"/>
      <c r="CP98" s="340"/>
      <c r="CQ98" s="340"/>
      <c r="CR98" s="340"/>
      <c r="CS98" s="340"/>
      <c r="CT98" s="340"/>
      <c r="CU98" s="340"/>
      <c r="CV98" s="340"/>
      <c r="CW98" s="340"/>
      <c r="CX98" s="340"/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0"/>
      <c r="ER98" s="340"/>
    </row>
    <row r="99" spans="1:148">
      <c r="A99" s="286"/>
      <c r="B99" s="139"/>
      <c r="C99" s="139"/>
      <c r="D99" s="139"/>
      <c r="E99" s="139"/>
      <c r="F99" s="139"/>
      <c r="G99" s="139"/>
      <c r="H99" s="139"/>
      <c r="I99" s="139"/>
      <c r="J99" s="139"/>
      <c r="K99" s="64"/>
      <c r="L99" s="64"/>
      <c r="M99" s="471"/>
      <c r="N99" s="64"/>
      <c r="O99" s="64"/>
      <c r="P99" s="64"/>
      <c r="Q99" s="64"/>
      <c r="R99" s="64"/>
      <c r="S99" s="249"/>
      <c r="T99" s="249"/>
      <c r="U99" s="249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148" s="338" customFormat="1">
      <c r="A100" s="286"/>
      <c r="B100" s="171"/>
      <c r="C100" s="139"/>
      <c r="D100" s="139"/>
      <c r="E100" s="139"/>
      <c r="F100" s="139"/>
      <c r="G100" s="139"/>
      <c r="H100" s="139"/>
      <c r="I100" s="139"/>
      <c r="J100" s="139"/>
      <c r="K100" s="64"/>
      <c r="L100" s="64"/>
      <c r="M100" s="471"/>
      <c r="N100" s="64"/>
      <c r="O100" s="64"/>
      <c r="P100" s="64"/>
      <c r="Q100" s="64"/>
      <c r="R100" s="64"/>
      <c r="S100" s="249"/>
      <c r="T100" s="249"/>
      <c r="U100" s="24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79"/>
      <c r="BC100" s="179"/>
      <c r="BD100" s="179"/>
      <c r="BE100" s="179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268"/>
      <c r="CI100" s="268"/>
      <c r="CJ100" s="268"/>
      <c r="CK100" s="268"/>
      <c r="CL100" s="268"/>
      <c r="CM100" s="268"/>
      <c r="CN100" s="268"/>
      <c r="CO100" s="268"/>
      <c r="CP100" s="268"/>
      <c r="CQ100" s="268"/>
      <c r="CR100" s="268"/>
      <c r="CS100" s="268"/>
      <c r="CT100" s="268"/>
      <c r="CU100" s="268"/>
      <c r="CV100" s="268"/>
      <c r="CW100" s="268"/>
      <c r="CX100" s="268"/>
      <c r="CY100" s="268"/>
      <c r="CZ100" s="268"/>
      <c r="DA100" s="268"/>
      <c r="DB100" s="268"/>
      <c r="DC100" s="268"/>
      <c r="DD100" s="268"/>
      <c r="DE100" s="268"/>
      <c r="DF100" s="268"/>
      <c r="DG100" s="268"/>
      <c r="DH100" s="268"/>
      <c r="DI100" s="268"/>
      <c r="DJ100" s="268"/>
      <c r="DK100" s="268"/>
      <c r="DL100" s="268"/>
      <c r="DM100" s="268"/>
      <c r="DN100" s="268"/>
      <c r="DO100" s="268"/>
      <c r="DP100" s="268"/>
      <c r="DQ100" s="268"/>
      <c r="DR100" s="268"/>
      <c r="DS100" s="268"/>
      <c r="DT100" s="268"/>
      <c r="DU100" s="268"/>
      <c r="DV100" s="268"/>
      <c r="DW100" s="268"/>
      <c r="DX100" s="268"/>
      <c r="DY100" s="268"/>
      <c r="DZ100" s="268"/>
      <c r="EA100" s="268"/>
      <c r="EB100" s="268"/>
      <c r="EC100" s="268"/>
      <c r="ED100" s="268"/>
      <c r="EE100" s="268"/>
      <c r="EF100" s="268"/>
      <c r="EG100" s="268"/>
      <c r="EH100" s="268"/>
      <c r="EI100" s="268"/>
      <c r="EJ100" s="268"/>
      <c r="EK100" s="268"/>
      <c r="EL100" s="268"/>
      <c r="EM100" s="268"/>
      <c r="EN100" s="268"/>
      <c r="EO100" s="268"/>
      <c r="EP100" s="268"/>
      <c r="EQ100" s="268"/>
      <c r="ER100" s="268"/>
    </row>
    <row r="101" spans="1:148">
      <c r="A101" s="286"/>
      <c r="B101" s="139"/>
      <c r="C101" s="139"/>
      <c r="D101" s="139"/>
      <c r="E101" s="139"/>
      <c r="F101" s="139"/>
      <c r="G101" s="139"/>
      <c r="H101" s="139"/>
      <c r="I101" s="139"/>
      <c r="J101" s="139"/>
      <c r="K101" s="64"/>
      <c r="L101" s="64"/>
      <c r="M101" s="471"/>
      <c r="N101" s="64"/>
      <c r="O101" s="64"/>
      <c r="P101" s="64"/>
      <c r="Q101" s="64"/>
      <c r="R101" s="64"/>
      <c r="S101" s="249"/>
      <c r="T101" s="249"/>
      <c r="U101" s="249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148" s="338" customFormat="1">
      <c r="A102" s="286"/>
      <c r="B102" s="171"/>
      <c r="C102" s="139"/>
      <c r="D102" s="139"/>
      <c r="E102" s="139"/>
      <c r="F102" s="139"/>
      <c r="G102" s="139"/>
      <c r="H102" s="139"/>
      <c r="I102" s="139"/>
      <c r="J102" s="139"/>
      <c r="K102" s="64"/>
      <c r="L102" s="64"/>
      <c r="M102" s="471"/>
      <c r="N102" s="64"/>
      <c r="O102" s="64"/>
      <c r="P102" s="64"/>
      <c r="Q102" s="64"/>
      <c r="R102" s="64"/>
      <c r="S102" s="249"/>
      <c r="T102" s="249"/>
      <c r="U102" s="24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79"/>
      <c r="BC102" s="179"/>
      <c r="BD102" s="179"/>
      <c r="BE102" s="179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268"/>
      <c r="CI102" s="268"/>
      <c r="CJ102" s="268"/>
      <c r="CK102" s="268"/>
      <c r="CL102" s="268"/>
      <c r="CM102" s="268"/>
      <c r="CN102" s="268"/>
      <c r="CO102" s="268"/>
      <c r="CP102" s="268"/>
      <c r="CQ102" s="268"/>
      <c r="CR102" s="268"/>
      <c r="CS102" s="268"/>
      <c r="CT102" s="268"/>
      <c r="CU102" s="268"/>
      <c r="CV102" s="268"/>
      <c r="CW102" s="268"/>
      <c r="CX102" s="268"/>
      <c r="CY102" s="268"/>
      <c r="CZ102" s="268"/>
      <c r="DA102" s="268"/>
      <c r="DB102" s="268"/>
      <c r="DC102" s="268"/>
      <c r="DD102" s="268"/>
      <c r="DE102" s="268"/>
      <c r="DF102" s="268"/>
      <c r="DG102" s="268"/>
      <c r="DH102" s="268"/>
      <c r="DI102" s="268"/>
      <c r="DJ102" s="268"/>
      <c r="DK102" s="268"/>
      <c r="DL102" s="268"/>
      <c r="DM102" s="268"/>
      <c r="DN102" s="268"/>
      <c r="DO102" s="268"/>
      <c r="DP102" s="268"/>
      <c r="DQ102" s="268"/>
      <c r="DR102" s="268"/>
      <c r="DS102" s="268"/>
      <c r="DT102" s="268"/>
      <c r="DU102" s="268"/>
      <c r="DV102" s="268"/>
      <c r="DW102" s="268"/>
      <c r="DX102" s="268"/>
      <c r="DY102" s="268"/>
      <c r="DZ102" s="268"/>
      <c r="EA102" s="268"/>
      <c r="EB102" s="268"/>
      <c r="EC102" s="268"/>
      <c r="ED102" s="268"/>
      <c r="EE102" s="268"/>
      <c r="EF102" s="268"/>
      <c r="EG102" s="268"/>
      <c r="EH102" s="268"/>
      <c r="EI102" s="268"/>
      <c r="EJ102" s="268"/>
      <c r="EK102" s="268"/>
      <c r="EL102" s="268"/>
      <c r="EM102" s="268"/>
      <c r="EN102" s="268"/>
      <c r="EO102" s="268"/>
      <c r="EP102" s="268"/>
      <c r="EQ102" s="268"/>
      <c r="ER102" s="268"/>
    </row>
    <row r="103" spans="1:148">
      <c r="A103" s="286"/>
      <c r="B103" s="139"/>
      <c r="C103" s="139"/>
      <c r="D103" s="139"/>
      <c r="E103" s="139"/>
      <c r="F103" s="139"/>
      <c r="G103" s="139"/>
      <c r="H103" s="139"/>
      <c r="I103" s="139"/>
      <c r="J103" s="139"/>
      <c r="K103" s="64"/>
      <c r="L103" s="64"/>
      <c r="M103" s="471"/>
      <c r="N103" s="64"/>
      <c r="O103" s="64"/>
      <c r="P103" s="64"/>
      <c r="Q103" s="64"/>
      <c r="R103" s="64"/>
      <c r="S103" s="249"/>
      <c r="T103" s="249"/>
      <c r="U103" s="249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148" s="338" customFormat="1">
      <c r="A104" s="286"/>
      <c r="B104" s="171"/>
      <c r="C104" s="139"/>
      <c r="D104" s="139"/>
      <c r="E104" s="139"/>
      <c r="F104" s="139"/>
      <c r="G104" s="139"/>
      <c r="H104" s="139"/>
      <c r="I104" s="139"/>
      <c r="J104" s="139"/>
      <c r="K104" s="64"/>
      <c r="L104" s="64"/>
      <c r="M104" s="471"/>
      <c r="N104" s="64"/>
      <c r="O104" s="64"/>
      <c r="P104" s="64"/>
      <c r="Q104" s="64"/>
      <c r="R104" s="64"/>
      <c r="S104" s="249"/>
      <c r="T104" s="249"/>
      <c r="U104" s="24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79"/>
      <c r="BC104" s="179"/>
      <c r="BD104" s="179"/>
      <c r="BE104" s="179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268"/>
      <c r="CI104" s="268"/>
      <c r="CJ104" s="268"/>
      <c r="CK104" s="268"/>
      <c r="CL104" s="268"/>
      <c r="CM104" s="268"/>
      <c r="CN104" s="268"/>
      <c r="CO104" s="268"/>
      <c r="CP104" s="268"/>
      <c r="CQ104" s="268"/>
      <c r="CR104" s="268"/>
      <c r="CS104" s="268"/>
      <c r="CT104" s="268"/>
      <c r="CU104" s="268"/>
      <c r="CV104" s="268"/>
      <c r="CW104" s="268"/>
      <c r="CX104" s="268"/>
      <c r="CY104" s="268"/>
      <c r="CZ104" s="268"/>
      <c r="DA104" s="268"/>
      <c r="DB104" s="268"/>
      <c r="DC104" s="268"/>
      <c r="DD104" s="268"/>
      <c r="DE104" s="268"/>
      <c r="DF104" s="268"/>
      <c r="DG104" s="268"/>
      <c r="DH104" s="268"/>
      <c r="DI104" s="268"/>
      <c r="DJ104" s="268"/>
      <c r="DK104" s="268"/>
      <c r="DL104" s="268"/>
      <c r="DM104" s="268"/>
      <c r="DN104" s="268"/>
      <c r="DO104" s="268"/>
      <c r="DP104" s="268"/>
      <c r="DQ104" s="268"/>
      <c r="DR104" s="268"/>
      <c r="DS104" s="268"/>
      <c r="DT104" s="268"/>
      <c r="DU104" s="268"/>
      <c r="DV104" s="268"/>
      <c r="DW104" s="268"/>
      <c r="DX104" s="268"/>
      <c r="DY104" s="268"/>
      <c r="DZ104" s="268"/>
      <c r="EA104" s="268"/>
      <c r="EB104" s="268"/>
      <c r="EC104" s="268"/>
      <c r="ED104" s="268"/>
      <c r="EE104" s="268"/>
      <c r="EF104" s="268"/>
      <c r="EG104" s="268"/>
      <c r="EH104" s="268"/>
      <c r="EI104" s="268"/>
      <c r="EJ104" s="268"/>
      <c r="EK104" s="268"/>
      <c r="EL104" s="268"/>
      <c r="EM104" s="268"/>
      <c r="EN104" s="268"/>
      <c r="EO104" s="268"/>
      <c r="EP104" s="268"/>
      <c r="EQ104" s="268"/>
      <c r="ER104" s="268"/>
    </row>
    <row r="105" spans="1:148">
      <c r="A105" s="286"/>
      <c r="B105" s="139"/>
      <c r="C105" s="139"/>
      <c r="D105" s="139"/>
      <c r="E105" s="139"/>
      <c r="F105" s="139"/>
      <c r="G105" s="139"/>
      <c r="H105" s="139"/>
      <c r="I105" s="139"/>
      <c r="J105" s="139"/>
      <c r="K105" s="64"/>
      <c r="L105" s="64"/>
      <c r="M105" s="471"/>
      <c r="N105" s="64"/>
      <c r="O105" s="64"/>
      <c r="P105" s="64"/>
      <c r="Q105" s="64"/>
      <c r="R105" s="64"/>
      <c r="S105" s="249"/>
      <c r="T105" s="249"/>
      <c r="U105" s="249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148" s="338" customFormat="1">
      <c r="A106" s="286"/>
      <c r="B106" s="171"/>
      <c r="C106" s="139"/>
      <c r="D106" s="139"/>
      <c r="E106" s="139"/>
      <c r="F106" s="139"/>
      <c r="G106" s="139"/>
      <c r="H106" s="139"/>
      <c r="I106" s="139"/>
      <c r="J106" s="139"/>
      <c r="K106" s="64"/>
      <c r="L106" s="64"/>
      <c r="M106" s="471"/>
      <c r="N106" s="64"/>
      <c r="O106" s="64"/>
      <c r="P106" s="64"/>
      <c r="Q106" s="64"/>
      <c r="R106" s="64"/>
      <c r="S106" s="249"/>
      <c r="T106" s="249"/>
      <c r="U106" s="24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79"/>
      <c r="BC106" s="179"/>
      <c r="BD106" s="179"/>
      <c r="BE106" s="179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268"/>
      <c r="CI106" s="268"/>
      <c r="CJ106" s="268"/>
      <c r="CK106" s="268"/>
      <c r="CL106" s="268"/>
      <c r="CM106" s="268"/>
      <c r="CN106" s="268"/>
      <c r="CO106" s="268"/>
      <c r="CP106" s="268"/>
      <c r="CQ106" s="268"/>
      <c r="CR106" s="268"/>
      <c r="CS106" s="268"/>
      <c r="CT106" s="268"/>
      <c r="CU106" s="268"/>
      <c r="CV106" s="268"/>
      <c r="CW106" s="268"/>
      <c r="CX106" s="268"/>
      <c r="CY106" s="268"/>
      <c r="CZ106" s="268"/>
      <c r="DA106" s="268"/>
      <c r="DB106" s="268"/>
      <c r="DC106" s="268"/>
      <c r="DD106" s="268"/>
      <c r="DE106" s="268"/>
      <c r="DF106" s="268"/>
      <c r="DG106" s="268"/>
      <c r="DH106" s="268"/>
      <c r="DI106" s="268"/>
      <c r="DJ106" s="268"/>
      <c r="DK106" s="268"/>
      <c r="DL106" s="268"/>
      <c r="DM106" s="268"/>
      <c r="DN106" s="268"/>
      <c r="DO106" s="268"/>
      <c r="DP106" s="268"/>
      <c r="DQ106" s="268"/>
      <c r="DR106" s="268"/>
      <c r="DS106" s="268"/>
      <c r="DT106" s="268"/>
      <c r="DU106" s="268"/>
      <c r="DV106" s="268"/>
      <c r="DW106" s="268"/>
      <c r="DX106" s="268"/>
      <c r="DY106" s="268"/>
      <c r="DZ106" s="268"/>
      <c r="EA106" s="268"/>
      <c r="EB106" s="268"/>
      <c r="EC106" s="268"/>
      <c r="ED106" s="268"/>
      <c r="EE106" s="268"/>
      <c r="EF106" s="268"/>
      <c r="EG106" s="268"/>
      <c r="EH106" s="268"/>
      <c r="EI106" s="268"/>
      <c r="EJ106" s="268"/>
      <c r="EK106" s="268"/>
      <c r="EL106" s="268"/>
      <c r="EM106" s="268"/>
      <c r="EN106" s="268"/>
      <c r="EO106" s="268"/>
      <c r="EP106" s="268"/>
      <c r="EQ106" s="268"/>
      <c r="ER106" s="268"/>
    </row>
    <row r="107" spans="1:148">
      <c r="A107" s="286"/>
      <c r="B107" s="139"/>
      <c r="C107" s="139"/>
      <c r="D107" s="139"/>
      <c r="E107" s="139"/>
      <c r="F107" s="139"/>
      <c r="G107" s="139"/>
      <c r="H107" s="139"/>
      <c r="I107" s="139"/>
      <c r="J107" s="139"/>
      <c r="K107" s="64"/>
      <c r="L107" s="64"/>
      <c r="M107" s="471"/>
      <c r="N107" s="64"/>
      <c r="O107" s="64"/>
      <c r="P107" s="64"/>
      <c r="Q107" s="64"/>
      <c r="R107" s="64"/>
      <c r="S107" s="249"/>
      <c r="T107" s="249"/>
      <c r="U107" s="249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148">
      <c r="A108" s="286"/>
      <c r="B108" s="171"/>
      <c r="C108" s="139"/>
      <c r="D108" s="139"/>
      <c r="E108" s="139"/>
      <c r="F108" s="139"/>
      <c r="G108" s="139"/>
      <c r="H108" s="139"/>
      <c r="I108" s="139"/>
      <c r="J108" s="139"/>
      <c r="K108" s="64"/>
      <c r="L108" s="64"/>
      <c r="M108" s="471"/>
      <c r="N108" s="64"/>
      <c r="O108" s="64"/>
      <c r="P108" s="64"/>
      <c r="Q108" s="64"/>
      <c r="R108" s="64"/>
      <c r="S108" s="249"/>
      <c r="T108" s="249"/>
      <c r="U108" s="249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148">
      <c r="A109" s="286"/>
      <c r="B109" s="139"/>
      <c r="C109" s="139"/>
      <c r="D109" s="139"/>
      <c r="E109" s="139"/>
      <c r="F109" s="139"/>
      <c r="G109" s="139"/>
      <c r="H109" s="139"/>
      <c r="I109" s="139"/>
      <c r="J109" s="139"/>
      <c r="K109" s="64"/>
      <c r="L109" s="64"/>
      <c r="M109" s="471"/>
      <c r="N109" s="64"/>
      <c r="O109" s="64"/>
      <c r="P109" s="64"/>
      <c r="Q109" s="64"/>
      <c r="R109" s="64"/>
      <c r="S109" s="249"/>
      <c r="T109" s="249"/>
      <c r="U109" s="249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148">
      <c r="A110" s="286"/>
      <c r="B110" s="139"/>
      <c r="C110" s="139"/>
      <c r="D110" s="139"/>
      <c r="E110" s="139"/>
      <c r="F110" s="139"/>
      <c r="G110" s="139"/>
      <c r="H110" s="139"/>
      <c r="I110" s="139"/>
      <c r="J110" s="139"/>
      <c r="K110" s="64"/>
      <c r="L110" s="64"/>
      <c r="M110" s="471"/>
      <c r="N110" s="64"/>
      <c r="O110" s="64"/>
      <c r="P110" s="64"/>
      <c r="Q110" s="64"/>
      <c r="R110" s="64"/>
      <c r="S110" s="249"/>
      <c r="T110" s="249"/>
      <c r="U110" s="249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148">
      <c r="A111" s="286"/>
      <c r="B111" s="139"/>
      <c r="C111" s="139"/>
      <c r="D111" s="139"/>
      <c r="E111" s="139"/>
      <c r="F111" s="139"/>
      <c r="G111" s="139"/>
      <c r="H111" s="139"/>
      <c r="I111" s="139"/>
      <c r="J111" s="139"/>
      <c r="K111" s="64"/>
      <c r="L111" s="64"/>
      <c r="M111" s="471"/>
      <c r="N111" s="64"/>
      <c r="O111" s="64"/>
      <c r="P111" s="64"/>
      <c r="Q111" s="64"/>
      <c r="R111" s="64"/>
      <c r="S111" s="249"/>
      <c r="T111" s="249"/>
      <c r="U111" s="249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148">
      <c r="A112" s="286"/>
      <c r="B112" s="139"/>
      <c r="C112" s="139"/>
      <c r="D112" s="139"/>
      <c r="E112" s="139"/>
      <c r="F112" s="139"/>
      <c r="G112" s="139"/>
      <c r="H112" s="139"/>
      <c r="I112" s="139"/>
      <c r="J112" s="139"/>
      <c r="K112" s="64"/>
      <c r="L112" s="64"/>
      <c r="M112" s="471"/>
      <c r="N112" s="64"/>
      <c r="O112" s="64"/>
      <c r="P112" s="64"/>
      <c r="Q112" s="64"/>
      <c r="R112" s="64"/>
      <c r="S112" s="249"/>
      <c r="T112" s="249"/>
      <c r="U112" s="249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>
      <c r="A113" s="286"/>
      <c r="B113" s="139"/>
      <c r="C113" s="139"/>
      <c r="D113" s="139"/>
      <c r="E113" s="139"/>
      <c r="F113" s="139"/>
      <c r="G113" s="139"/>
      <c r="H113" s="139"/>
      <c r="I113" s="139"/>
      <c r="J113" s="139"/>
      <c r="K113" s="64"/>
      <c r="L113" s="64"/>
      <c r="M113" s="471"/>
      <c r="N113" s="64"/>
      <c r="O113" s="64"/>
      <c r="P113" s="64"/>
      <c r="Q113" s="64"/>
      <c r="R113" s="64"/>
      <c r="S113" s="249"/>
      <c r="T113" s="249"/>
      <c r="U113" s="249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>
      <c r="A114" s="286"/>
      <c r="B114" s="139"/>
      <c r="C114" s="139"/>
      <c r="D114" s="139"/>
      <c r="E114" s="139"/>
      <c r="F114" s="139"/>
      <c r="G114" s="139"/>
      <c r="H114" s="139"/>
      <c r="I114" s="139"/>
      <c r="J114" s="139"/>
      <c r="K114" s="64"/>
      <c r="L114" s="64"/>
      <c r="M114" s="471"/>
      <c r="N114" s="64"/>
      <c r="O114" s="64"/>
      <c r="P114" s="64"/>
      <c r="Q114" s="64"/>
      <c r="R114" s="64"/>
      <c r="S114" s="249"/>
      <c r="T114" s="249"/>
      <c r="U114" s="249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>
      <c r="A115" s="286"/>
      <c r="B115" s="139"/>
      <c r="C115" s="139"/>
      <c r="D115" s="139"/>
      <c r="E115" s="139"/>
      <c r="F115" s="139"/>
      <c r="G115" s="139"/>
      <c r="H115" s="139"/>
      <c r="I115" s="139"/>
      <c r="J115" s="139"/>
      <c r="K115" s="64"/>
      <c r="L115" s="64"/>
      <c r="M115" s="471"/>
      <c r="N115" s="64"/>
      <c r="O115" s="64"/>
      <c r="P115" s="64"/>
      <c r="Q115" s="64"/>
      <c r="R115" s="64"/>
      <c r="S115" s="249"/>
      <c r="T115" s="249"/>
      <c r="U115" s="249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>
      <c r="A116" s="286"/>
      <c r="B116" s="139"/>
      <c r="C116" s="139"/>
      <c r="D116" s="139"/>
      <c r="E116" s="139"/>
      <c r="F116" s="139"/>
      <c r="G116" s="139"/>
      <c r="H116" s="139"/>
      <c r="I116" s="139"/>
      <c r="J116" s="139"/>
      <c r="K116" s="64"/>
      <c r="L116" s="64"/>
      <c r="M116" s="471"/>
      <c r="N116" s="64"/>
      <c r="O116" s="64"/>
      <c r="P116" s="64"/>
      <c r="Q116" s="64"/>
      <c r="R116" s="64"/>
      <c r="S116" s="249"/>
      <c r="T116" s="249"/>
      <c r="U116" s="249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>
      <c r="A117" s="108"/>
      <c r="B117" s="109"/>
      <c r="C117" s="109"/>
      <c r="D117" s="109"/>
      <c r="E117" s="109"/>
      <c r="F117" s="109"/>
      <c r="G117" s="109"/>
      <c r="H117" s="109"/>
      <c r="I117" s="109"/>
      <c r="J117" s="109"/>
      <c r="S117" s="249"/>
      <c r="T117" s="249"/>
      <c r="U117" s="249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>
      <c r="A118" s="108"/>
      <c r="B118" s="109"/>
      <c r="C118" s="109"/>
      <c r="D118" s="109"/>
      <c r="E118" s="109"/>
      <c r="F118" s="109"/>
      <c r="G118" s="109"/>
      <c r="H118" s="109"/>
      <c r="I118" s="109"/>
      <c r="J118" s="109"/>
      <c r="S118" s="249"/>
      <c r="T118" s="249"/>
      <c r="U118" s="249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</row>
    <row r="119" spans="1:85">
      <c r="A119" s="108"/>
      <c r="B119" s="109"/>
      <c r="C119" s="109"/>
      <c r="D119" s="109"/>
      <c r="E119" s="109"/>
      <c r="F119" s="109"/>
      <c r="G119" s="109"/>
      <c r="H119" s="109"/>
      <c r="I119" s="109"/>
      <c r="J119" s="109"/>
      <c r="S119" s="249"/>
      <c r="T119" s="249"/>
      <c r="U119" s="249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</row>
    <row r="120" spans="1:85">
      <c r="A120" s="108"/>
      <c r="B120" s="109"/>
      <c r="C120" s="109"/>
      <c r="D120" s="109"/>
      <c r="E120" s="109"/>
      <c r="F120" s="109"/>
      <c r="G120" s="109"/>
      <c r="H120" s="109"/>
      <c r="I120" s="109"/>
      <c r="J120" s="109"/>
      <c r="S120" s="249"/>
      <c r="T120" s="249"/>
      <c r="U120" s="249"/>
    </row>
    <row r="121" spans="1:85">
      <c r="A121" s="108"/>
      <c r="B121" s="109"/>
      <c r="C121" s="109"/>
      <c r="D121" s="109"/>
      <c r="E121" s="109"/>
      <c r="F121" s="109"/>
      <c r="G121" s="109"/>
      <c r="H121" s="109"/>
      <c r="I121" s="109"/>
      <c r="J121" s="109"/>
      <c r="S121" s="249"/>
      <c r="T121" s="249"/>
      <c r="U121" s="249"/>
    </row>
    <row r="122" spans="1:85">
      <c r="A122" s="108"/>
      <c r="B122" s="109"/>
      <c r="C122" s="109"/>
      <c r="D122" s="109"/>
      <c r="E122" s="109"/>
      <c r="F122" s="109"/>
      <c r="G122" s="109"/>
      <c r="H122" s="109"/>
      <c r="I122" s="109"/>
      <c r="J122" s="109"/>
      <c r="S122" s="249"/>
      <c r="T122" s="249"/>
      <c r="U122" s="249"/>
    </row>
    <row r="123" spans="1:85">
      <c r="A123" s="108"/>
      <c r="B123" s="109"/>
      <c r="C123" s="109"/>
      <c r="D123" s="109"/>
      <c r="E123" s="109"/>
      <c r="F123" s="109"/>
      <c r="G123" s="109"/>
      <c r="H123" s="109"/>
      <c r="I123" s="109"/>
      <c r="J123" s="109"/>
      <c r="S123" s="249"/>
      <c r="T123" s="249"/>
      <c r="U123" s="249"/>
    </row>
    <row r="124" spans="1:85">
      <c r="A124" s="108"/>
      <c r="B124" s="109"/>
      <c r="C124" s="109"/>
      <c r="D124" s="109"/>
      <c r="E124" s="109"/>
      <c r="F124" s="109"/>
      <c r="G124" s="109"/>
      <c r="H124" s="109"/>
      <c r="I124" s="109"/>
      <c r="J124" s="109"/>
      <c r="S124" s="249"/>
      <c r="T124" s="249"/>
      <c r="U124" s="249"/>
    </row>
    <row r="125" spans="1:85">
      <c r="A125" s="108"/>
      <c r="B125" s="109"/>
      <c r="C125" s="109"/>
      <c r="D125" s="109"/>
      <c r="E125" s="109"/>
      <c r="F125" s="109"/>
      <c r="G125" s="109"/>
      <c r="H125" s="109"/>
      <c r="I125" s="109"/>
      <c r="J125" s="109"/>
      <c r="S125" s="249"/>
      <c r="T125" s="249"/>
      <c r="U125" s="249"/>
    </row>
    <row r="126" spans="1:85">
      <c r="A126" s="108"/>
      <c r="B126" s="109"/>
      <c r="C126" s="109"/>
      <c r="D126" s="109"/>
      <c r="E126" s="109"/>
      <c r="F126" s="109"/>
      <c r="G126" s="109"/>
      <c r="H126" s="109"/>
      <c r="I126" s="109"/>
      <c r="J126" s="109"/>
      <c r="S126" s="249"/>
      <c r="T126" s="249"/>
      <c r="U126" s="249"/>
    </row>
    <row r="127" spans="1:85">
      <c r="A127" s="108"/>
      <c r="B127" s="109"/>
      <c r="C127" s="109"/>
      <c r="D127" s="109"/>
      <c r="E127" s="109"/>
      <c r="F127" s="109"/>
      <c r="G127" s="109"/>
      <c r="H127" s="109"/>
      <c r="I127" s="109"/>
      <c r="J127" s="109"/>
      <c r="S127" s="249"/>
      <c r="T127" s="249"/>
      <c r="U127" s="249"/>
    </row>
    <row r="128" spans="1:85">
      <c r="A128" s="108"/>
      <c r="B128" s="109"/>
      <c r="C128" s="109"/>
      <c r="D128" s="109"/>
      <c r="E128" s="109"/>
      <c r="F128" s="109"/>
      <c r="G128" s="109"/>
      <c r="H128" s="109"/>
      <c r="I128" s="109"/>
      <c r="J128" s="109"/>
      <c r="S128" s="249"/>
      <c r="T128" s="249"/>
      <c r="U128" s="249"/>
    </row>
    <row r="129" spans="1:21">
      <c r="A129" s="108"/>
      <c r="B129" s="109"/>
      <c r="C129" s="109"/>
      <c r="D129" s="109"/>
      <c r="E129" s="109"/>
      <c r="F129" s="109"/>
      <c r="G129" s="109"/>
      <c r="H129" s="109"/>
      <c r="I129" s="109"/>
      <c r="J129" s="109"/>
      <c r="S129" s="249"/>
      <c r="T129" s="249"/>
      <c r="U129" s="249"/>
    </row>
    <row r="130" spans="1:21">
      <c r="A130" s="108"/>
      <c r="B130" s="109"/>
      <c r="C130" s="109"/>
      <c r="D130" s="109"/>
      <c r="E130" s="109"/>
      <c r="F130" s="109"/>
      <c r="G130" s="109"/>
      <c r="H130" s="109"/>
      <c r="I130" s="109"/>
      <c r="J130" s="109"/>
      <c r="S130" s="249"/>
      <c r="T130" s="249"/>
      <c r="U130" s="249"/>
    </row>
    <row r="131" spans="1:21">
      <c r="A131" s="108"/>
      <c r="B131" s="109"/>
      <c r="C131" s="109"/>
      <c r="D131" s="109"/>
      <c r="E131" s="109"/>
      <c r="F131" s="109"/>
      <c r="G131" s="109"/>
      <c r="H131" s="109"/>
      <c r="I131" s="109"/>
      <c r="J131" s="109"/>
    </row>
    <row r="132" spans="1:21">
      <c r="A132" s="108"/>
      <c r="B132" s="109"/>
      <c r="C132" s="109"/>
      <c r="D132" s="109"/>
      <c r="E132" s="109"/>
      <c r="F132" s="109"/>
      <c r="G132" s="109"/>
      <c r="H132" s="109"/>
      <c r="I132" s="109"/>
      <c r="J132" s="109"/>
    </row>
    <row r="133" spans="1:21">
      <c r="A133" s="108"/>
      <c r="B133" s="109"/>
      <c r="C133" s="109"/>
      <c r="D133" s="109"/>
      <c r="E133" s="109"/>
      <c r="F133" s="109"/>
      <c r="G133" s="109"/>
      <c r="H133" s="109"/>
      <c r="I133" s="109"/>
      <c r="J133" s="109"/>
    </row>
    <row r="134" spans="1:21">
      <c r="A134" s="108"/>
      <c r="B134" s="109"/>
      <c r="C134" s="109"/>
      <c r="D134" s="109"/>
      <c r="E134" s="109"/>
      <c r="F134" s="109"/>
      <c r="G134" s="109"/>
      <c r="H134" s="109"/>
      <c r="I134" s="109"/>
      <c r="J134" s="109"/>
    </row>
    <row r="135" spans="1:21">
      <c r="A135" s="108"/>
      <c r="B135" s="109"/>
      <c r="C135" s="109"/>
      <c r="D135" s="109"/>
      <c r="E135" s="109"/>
      <c r="F135" s="109"/>
      <c r="G135" s="109"/>
      <c r="H135" s="109"/>
      <c r="I135" s="109"/>
      <c r="J135" s="109"/>
    </row>
    <row r="136" spans="1:21">
      <c r="A136" s="108"/>
      <c r="B136" s="109"/>
      <c r="C136" s="109"/>
      <c r="D136" s="109"/>
      <c r="E136" s="109"/>
      <c r="F136" s="109"/>
      <c r="G136" s="109"/>
      <c r="H136" s="109"/>
      <c r="I136" s="109"/>
      <c r="J136" s="109"/>
    </row>
    <row r="137" spans="1:21">
      <c r="A137" s="108"/>
      <c r="B137" s="109"/>
      <c r="C137" s="109"/>
      <c r="D137" s="109"/>
      <c r="E137" s="109"/>
      <c r="F137" s="109"/>
      <c r="G137" s="109"/>
      <c r="H137" s="109"/>
      <c r="I137" s="109"/>
      <c r="J137" s="109"/>
    </row>
    <row r="138" spans="1:21">
      <c r="A138" s="108"/>
      <c r="B138" s="109"/>
      <c r="C138" s="109"/>
      <c r="D138" s="109"/>
      <c r="E138" s="109"/>
      <c r="F138" s="109"/>
      <c r="G138" s="109"/>
      <c r="H138" s="109"/>
      <c r="I138" s="109"/>
      <c r="J138" s="109"/>
    </row>
    <row r="139" spans="1:21">
      <c r="A139" s="108"/>
      <c r="B139" s="109"/>
      <c r="C139" s="109"/>
      <c r="D139" s="109"/>
      <c r="E139" s="109"/>
      <c r="F139" s="109"/>
      <c r="G139" s="109"/>
      <c r="H139" s="109"/>
      <c r="I139" s="109"/>
      <c r="J139" s="109"/>
    </row>
    <row r="140" spans="1:21">
      <c r="A140" s="108"/>
      <c r="B140" s="109"/>
      <c r="C140" s="109"/>
      <c r="D140" s="109"/>
      <c r="E140" s="109"/>
      <c r="F140" s="109"/>
      <c r="G140" s="109"/>
      <c r="H140" s="109"/>
      <c r="I140" s="109"/>
      <c r="J140" s="109"/>
    </row>
    <row r="141" spans="1:21">
      <c r="A141" s="108"/>
      <c r="B141" s="109"/>
      <c r="C141" s="109"/>
      <c r="D141" s="109"/>
      <c r="E141" s="109"/>
      <c r="F141" s="109"/>
      <c r="G141" s="109"/>
      <c r="H141" s="109"/>
      <c r="I141" s="109"/>
      <c r="J141" s="109"/>
    </row>
    <row r="142" spans="1:21">
      <c r="A142" s="108"/>
      <c r="B142" s="109"/>
      <c r="C142" s="109"/>
      <c r="D142" s="109"/>
      <c r="E142" s="109"/>
      <c r="F142" s="109"/>
      <c r="G142" s="109"/>
      <c r="H142" s="109"/>
      <c r="I142" s="109"/>
      <c r="J142" s="109"/>
    </row>
    <row r="143" spans="1:21">
      <c r="A143" s="108"/>
      <c r="B143" s="109"/>
      <c r="C143" s="109"/>
      <c r="D143" s="109"/>
      <c r="E143" s="109"/>
      <c r="F143" s="109"/>
      <c r="G143" s="109"/>
      <c r="H143" s="109"/>
      <c r="I143" s="109"/>
      <c r="J143" s="109"/>
    </row>
    <row r="144" spans="1:21">
      <c r="A144" s="108"/>
      <c r="B144" s="109"/>
      <c r="C144" s="109"/>
      <c r="D144" s="109"/>
      <c r="E144" s="109"/>
      <c r="F144" s="109"/>
      <c r="G144" s="109"/>
      <c r="H144" s="109"/>
      <c r="I144" s="109"/>
      <c r="J144" s="109"/>
    </row>
    <row r="145" spans="1:10">
      <c r="A145" s="108"/>
      <c r="B145" s="109"/>
      <c r="C145" s="109"/>
      <c r="D145" s="109"/>
      <c r="E145" s="109"/>
      <c r="F145" s="109"/>
      <c r="G145" s="109"/>
      <c r="H145" s="109"/>
      <c r="I145" s="109"/>
      <c r="J145" s="109"/>
    </row>
    <row r="146" spans="1:10">
      <c r="A146" s="108"/>
      <c r="B146" s="109"/>
      <c r="C146" s="109"/>
      <c r="D146" s="109"/>
      <c r="E146" s="109"/>
      <c r="F146" s="109"/>
      <c r="G146" s="109"/>
      <c r="H146" s="109"/>
      <c r="I146" s="109"/>
      <c r="J146" s="109"/>
    </row>
    <row r="147" spans="1:10">
      <c r="A147" s="108"/>
      <c r="B147" s="109"/>
      <c r="C147" s="109"/>
      <c r="D147" s="109"/>
      <c r="E147" s="109"/>
      <c r="F147" s="109"/>
      <c r="G147" s="109"/>
      <c r="H147" s="109"/>
      <c r="I147" s="109"/>
      <c r="J147" s="109"/>
    </row>
    <row r="148" spans="1:10">
      <c r="A148" s="108"/>
      <c r="B148" s="109"/>
      <c r="C148" s="109"/>
      <c r="D148" s="109"/>
      <c r="E148" s="109"/>
      <c r="F148" s="109"/>
      <c r="G148" s="109"/>
      <c r="H148" s="109"/>
      <c r="I148" s="109"/>
      <c r="J148" s="109"/>
    </row>
    <row r="149" spans="1:10">
      <c r="A149" s="108"/>
      <c r="B149" s="109"/>
      <c r="C149" s="109"/>
      <c r="D149" s="109"/>
      <c r="E149" s="109"/>
      <c r="F149" s="109"/>
      <c r="G149" s="109"/>
      <c r="H149" s="109"/>
      <c r="I149" s="109"/>
      <c r="J149" s="109"/>
    </row>
    <row r="150" spans="1:10">
      <c r="A150" s="108"/>
      <c r="B150" s="109"/>
      <c r="C150" s="109"/>
      <c r="D150" s="109"/>
      <c r="E150" s="109"/>
      <c r="F150" s="109"/>
      <c r="G150" s="109"/>
      <c r="H150" s="109"/>
      <c r="I150" s="109"/>
      <c r="J150" s="109"/>
    </row>
    <row r="151" spans="1:10">
      <c r="A151" s="108"/>
      <c r="B151" s="109"/>
      <c r="C151" s="109"/>
      <c r="D151" s="109"/>
      <c r="E151" s="109"/>
      <c r="F151" s="109"/>
      <c r="G151" s="109"/>
      <c r="H151" s="109"/>
      <c r="I151" s="109"/>
      <c r="J151" s="109"/>
    </row>
    <row r="152" spans="1:10">
      <c r="A152" s="108"/>
      <c r="B152" s="109"/>
      <c r="C152" s="109"/>
      <c r="D152" s="109"/>
      <c r="E152" s="109"/>
      <c r="F152" s="109"/>
      <c r="G152" s="109"/>
      <c r="H152" s="109"/>
      <c r="I152" s="109"/>
      <c r="J152" s="109"/>
    </row>
    <row r="153" spans="1:10">
      <c r="A153" s="108"/>
      <c r="B153" s="109"/>
      <c r="C153" s="109"/>
      <c r="D153" s="109"/>
      <c r="E153" s="109"/>
      <c r="F153" s="109"/>
      <c r="G153" s="109"/>
      <c r="H153" s="109"/>
      <c r="I153" s="109"/>
      <c r="J153" s="109"/>
    </row>
    <row r="154" spans="1:10">
      <c r="A154" s="108"/>
      <c r="B154" s="109"/>
      <c r="C154" s="109"/>
      <c r="D154" s="109"/>
      <c r="E154" s="109"/>
      <c r="F154" s="109"/>
      <c r="G154" s="109"/>
      <c r="H154" s="109"/>
      <c r="I154" s="109"/>
      <c r="J154" s="109"/>
    </row>
    <row r="155" spans="1:10">
      <c r="A155" s="108"/>
      <c r="B155" s="109"/>
      <c r="C155" s="109"/>
      <c r="D155" s="109"/>
      <c r="E155" s="109"/>
      <c r="F155" s="109"/>
      <c r="G155" s="109"/>
      <c r="H155" s="109"/>
      <c r="I155" s="109"/>
      <c r="J155" s="109"/>
    </row>
    <row r="156" spans="1:10">
      <c r="A156" s="108"/>
      <c r="B156" s="109"/>
      <c r="C156" s="109"/>
      <c r="D156" s="109"/>
      <c r="E156" s="109"/>
      <c r="F156" s="109"/>
      <c r="G156" s="109"/>
      <c r="H156" s="109"/>
      <c r="I156" s="109"/>
      <c r="J156" s="109"/>
    </row>
    <row r="157" spans="1:10">
      <c r="A157" s="108"/>
      <c r="B157" s="109"/>
      <c r="C157" s="109"/>
      <c r="D157" s="109"/>
      <c r="E157" s="109"/>
      <c r="F157" s="109"/>
      <c r="G157" s="109"/>
      <c r="H157" s="109"/>
      <c r="I157" s="109"/>
      <c r="J157" s="109"/>
    </row>
    <row r="158" spans="1:10">
      <c r="A158" s="108"/>
      <c r="B158" s="109"/>
      <c r="C158" s="109"/>
      <c r="D158" s="109"/>
      <c r="E158" s="109"/>
      <c r="F158" s="109"/>
      <c r="G158" s="109"/>
      <c r="H158" s="109"/>
      <c r="I158" s="109"/>
      <c r="J158" s="109"/>
    </row>
    <row r="159" spans="1:10">
      <c r="A159" s="108"/>
      <c r="B159" s="109"/>
      <c r="C159" s="109"/>
      <c r="D159" s="109"/>
      <c r="E159" s="109"/>
      <c r="F159" s="109"/>
      <c r="G159" s="109"/>
      <c r="H159" s="109"/>
      <c r="I159" s="109"/>
      <c r="J159" s="109"/>
    </row>
    <row r="160" spans="1:10">
      <c r="A160" s="108"/>
      <c r="B160" s="109"/>
      <c r="C160" s="109"/>
      <c r="D160" s="109"/>
      <c r="E160" s="109"/>
      <c r="F160" s="109"/>
      <c r="G160" s="109"/>
      <c r="H160" s="109"/>
      <c r="I160" s="109"/>
      <c r="J160" s="109"/>
    </row>
    <row r="161" spans="1:10">
      <c r="A161" s="108"/>
      <c r="B161" s="109"/>
      <c r="C161" s="109"/>
      <c r="D161" s="109"/>
      <c r="E161" s="109"/>
      <c r="F161" s="109"/>
      <c r="G161" s="109"/>
      <c r="H161" s="109"/>
      <c r="I161" s="109"/>
      <c r="J161" s="109"/>
    </row>
    <row r="162" spans="1:10">
      <c r="A162" s="108"/>
      <c r="B162" s="109"/>
      <c r="C162" s="109"/>
      <c r="D162" s="109"/>
      <c r="E162" s="109"/>
      <c r="F162" s="109"/>
      <c r="G162" s="109"/>
      <c r="H162" s="109"/>
      <c r="I162" s="109"/>
      <c r="J162" s="109"/>
    </row>
    <row r="163" spans="1:10">
      <c r="A163" s="108"/>
      <c r="B163" s="109"/>
      <c r="C163" s="109"/>
      <c r="D163" s="109"/>
      <c r="E163" s="109"/>
      <c r="F163" s="109"/>
      <c r="G163" s="109"/>
      <c r="H163" s="109"/>
      <c r="I163" s="109"/>
      <c r="J163" s="109"/>
    </row>
    <row r="164" spans="1:10">
      <c r="A164" s="108"/>
      <c r="B164" s="109"/>
      <c r="C164" s="109"/>
      <c r="D164" s="109"/>
      <c r="E164" s="109"/>
      <c r="F164" s="109"/>
      <c r="G164" s="109"/>
      <c r="H164" s="109"/>
      <c r="I164" s="109"/>
      <c r="J164" s="109"/>
    </row>
    <row r="165" spans="1:10">
      <c r="A165" s="108"/>
      <c r="B165" s="109"/>
      <c r="C165" s="109"/>
      <c r="D165" s="109"/>
      <c r="E165" s="109"/>
      <c r="F165" s="109"/>
      <c r="G165" s="109"/>
      <c r="H165" s="109"/>
      <c r="I165" s="109"/>
      <c r="J165" s="109"/>
    </row>
    <row r="166" spans="1:10">
      <c r="A166" s="108"/>
      <c r="B166" s="109"/>
      <c r="C166" s="109"/>
      <c r="D166" s="109"/>
      <c r="E166" s="109"/>
      <c r="F166" s="109"/>
      <c r="G166" s="109"/>
      <c r="H166" s="109"/>
      <c r="I166" s="109"/>
      <c r="J166" s="109"/>
    </row>
    <row r="167" spans="1:10">
      <c r="A167" s="108"/>
      <c r="B167" s="109"/>
      <c r="C167" s="109"/>
      <c r="D167" s="109"/>
      <c r="E167" s="109"/>
      <c r="F167" s="109"/>
      <c r="G167" s="109"/>
      <c r="H167" s="109"/>
      <c r="I167" s="109"/>
      <c r="J167" s="109"/>
    </row>
    <row r="168" spans="1:10">
      <c r="A168" s="108"/>
      <c r="B168" s="109"/>
      <c r="C168" s="109"/>
      <c r="D168" s="109"/>
      <c r="E168" s="109"/>
      <c r="F168" s="109"/>
      <c r="G168" s="109"/>
      <c r="H168" s="109"/>
      <c r="I168" s="109"/>
      <c r="J168" s="109"/>
    </row>
    <row r="169" spans="1:10">
      <c r="A169" s="108"/>
      <c r="B169" s="109"/>
      <c r="C169" s="109"/>
      <c r="D169" s="109"/>
      <c r="E169" s="109"/>
      <c r="F169" s="109"/>
      <c r="G169" s="109"/>
      <c r="H169" s="109"/>
      <c r="I169" s="109"/>
      <c r="J169" s="109"/>
    </row>
    <row r="170" spans="1:10">
      <c r="A170" s="108"/>
      <c r="B170" s="109"/>
      <c r="C170" s="109"/>
      <c r="D170" s="109"/>
      <c r="E170" s="109"/>
      <c r="F170" s="109"/>
      <c r="G170" s="109"/>
      <c r="H170" s="109"/>
      <c r="I170" s="109"/>
      <c r="J170" s="109"/>
    </row>
    <row r="171" spans="1:10">
      <c r="A171" s="108"/>
      <c r="B171" s="109"/>
      <c r="C171" s="109"/>
      <c r="D171" s="109"/>
      <c r="E171" s="109"/>
      <c r="F171" s="109"/>
      <c r="G171" s="109"/>
      <c r="H171" s="109"/>
      <c r="I171" s="109"/>
      <c r="J171" s="109"/>
    </row>
    <row r="172" spans="1:10">
      <c r="A172" s="108"/>
      <c r="B172" s="109"/>
      <c r="C172" s="109"/>
      <c r="D172" s="109"/>
      <c r="E172" s="109"/>
      <c r="F172" s="109"/>
      <c r="G172" s="109"/>
      <c r="H172" s="109"/>
      <c r="I172" s="109"/>
      <c r="J172" s="109"/>
    </row>
    <row r="173" spans="1:10">
      <c r="A173" s="108"/>
      <c r="B173" s="109"/>
      <c r="C173" s="109"/>
      <c r="D173" s="109"/>
      <c r="E173" s="109"/>
      <c r="F173" s="109"/>
      <c r="G173" s="109"/>
      <c r="H173" s="109"/>
      <c r="I173" s="109"/>
      <c r="J173" s="109"/>
    </row>
    <row r="174" spans="1:10">
      <c r="A174" s="108"/>
      <c r="B174" s="109"/>
      <c r="C174" s="109"/>
      <c r="D174" s="109"/>
      <c r="E174" s="109"/>
      <c r="F174" s="109"/>
      <c r="G174" s="109"/>
      <c r="H174" s="109"/>
      <c r="I174" s="109"/>
      <c r="J174" s="109"/>
    </row>
    <row r="175" spans="1:10">
      <c r="A175" s="108"/>
      <c r="B175" s="109"/>
      <c r="C175" s="109"/>
      <c r="D175" s="109"/>
      <c r="E175" s="109"/>
      <c r="F175" s="109"/>
      <c r="G175" s="109"/>
      <c r="H175" s="109"/>
      <c r="I175" s="109"/>
      <c r="J175" s="109"/>
    </row>
    <row r="176" spans="1:10">
      <c r="A176" s="108"/>
      <c r="B176" s="109"/>
      <c r="C176" s="109"/>
      <c r="D176" s="109"/>
      <c r="E176" s="109"/>
      <c r="F176" s="109"/>
      <c r="G176" s="109"/>
      <c r="H176" s="109"/>
      <c r="I176" s="109"/>
      <c r="J176" s="109"/>
    </row>
    <row r="177" spans="1:25">
      <c r="A177" s="108"/>
      <c r="B177" s="109"/>
      <c r="C177" s="109"/>
      <c r="D177" s="109"/>
      <c r="E177" s="109"/>
      <c r="F177" s="109"/>
      <c r="G177" s="109"/>
      <c r="H177" s="109"/>
      <c r="I177" s="109"/>
      <c r="J177" s="109"/>
    </row>
    <row r="178" spans="1:25">
      <c r="A178" s="108"/>
      <c r="B178" s="109"/>
      <c r="C178" s="109"/>
      <c r="D178" s="109"/>
      <c r="E178" s="109"/>
      <c r="F178" s="109"/>
      <c r="G178" s="109"/>
      <c r="H178" s="109"/>
      <c r="I178" s="109"/>
      <c r="J178" s="109"/>
    </row>
    <row r="179" spans="1:25">
      <c r="A179" s="108"/>
      <c r="B179" s="109"/>
      <c r="C179" s="109"/>
      <c r="D179" s="109"/>
      <c r="E179" s="109"/>
      <c r="F179" s="109"/>
      <c r="G179" s="109"/>
      <c r="H179" s="109"/>
      <c r="I179" s="109"/>
      <c r="J179" s="109"/>
    </row>
    <row r="180" spans="1:25">
      <c r="A180" s="108"/>
      <c r="B180" s="109"/>
      <c r="C180" s="109"/>
      <c r="D180" s="109"/>
      <c r="E180" s="109"/>
      <c r="F180" s="109"/>
      <c r="G180" s="109"/>
      <c r="H180" s="109"/>
      <c r="I180" s="109"/>
      <c r="J180" s="109"/>
    </row>
    <row r="181" spans="1:25">
      <c r="A181" s="108"/>
      <c r="B181" s="109"/>
      <c r="C181" s="109"/>
      <c r="D181" s="109"/>
      <c r="E181" s="109"/>
      <c r="F181" s="109"/>
      <c r="G181" s="109"/>
      <c r="H181" s="109"/>
      <c r="I181" s="109"/>
      <c r="J181" s="109"/>
    </row>
    <row r="182" spans="1:25">
      <c r="A182" s="108"/>
      <c r="B182" s="109"/>
      <c r="C182" s="109"/>
      <c r="D182" s="109"/>
      <c r="E182" s="109"/>
      <c r="F182" s="109"/>
      <c r="G182" s="109"/>
      <c r="H182" s="109"/>
      <c r="I182" s="109"/>
      <c r="J182" s="109"/>
    </row>
    <row r="183" spans="1:25">
      <c r="A183" s="108"/>
      <c r="B183" s="109"/>
      <c r="C183" s="109"/>
      <c r="D183" s="109"/>
      <c r="E183" s="109"/>
      <c r="F183" s="109"/>
      <c r="G183" s="109"/>
      <c r="H183" s="109"/>
      <c r="I183" s="109"/>
      <c r="J183" s="109"/>
    </row>
    <row r="184" spans="1:25">
      <c r="A184" s="108"/>
      <c r="B184" s="109"/>
      <c r="C184" s="109"/>
      <c r="D184" s="109"/>
      <c r="E184" s="109"/>
      <c r="F184" s="109"/>
      <c r="G184" s="109"/>
      <c r="H184" s="109"/>
      <c r="I184" s="109"/>
      <c r="J184" s="109"/>
    </row>
    <row r="185" spans="1:25">
      <c r="A185" s="108"/>
      <c r="B185" s="109"/>
      <c r="C185" s="109"/>
      <c r="D185" s="109"/>
      <c r="E185" s="109"/>
      <c r="F185" s="109"/>
      <c r="G185" s="109"/>
      <c r="H185" s="109"/>
      <c r="I185" s="109"/>
      <c r="J185" s="109"/>
    </row>
    <row r="186" spans="1:25">
      <c r="A186" s="108"/>
      <c r="B186" s="109"/>
      <c r="C186" s="109"/>
      <c r="D186" s="109"/>
      <c r="E186" s="109"/>
      <c r="F186" s="109"/>
      <c r="G186" s="109"/>
      <c r="H186" s="109"/>
      <c r="I186" s="109"/>
      <c r="J186" s="109"/>
    </row>
    <row r="187" spans="1:25">
      <c r="A187" s="108"/>
      <c r="B187" s="109"/>
      <c r="C187" s="109"/>
      <c r="D187" s="109"/>
      <c r="E187" s="109"/>
      <c r="F187" s="109"/>
      <c r="G187" s="109"/>
      <c r="H187" s="109"/>
      <c r="I187" s="109"/>
      <c r="J187" s="109"/>
      <c r="Y187" s="171"/>
    </row>
    <row r="188" spans="1:25">
      <c r="A188" s="108"/>
      <c r="B188" s="109"/>
      <c r="C188" s="109"/>
      <c r="D188" s="109"/>
      <c r="E188" s="109"/>
      <c r="F188" s="109"/>
      <c r="G188" s="109"/>
      <c r="H188" s="109"/>
      <c r="I188" s="109"/>
      <c r="J188" s="109"/>
    </row>
    <row r="189" spans="1:25">
      <c r="A189" s="108"/>
      <c r="B189" s="109"/>
      <c r="C189" s="109"/>
      <c r="D189" s="109"/>
      <c r="E189" s="109"/>
      <c r="F189" s="109"/>
      <c r="G189" s="109"/>
      <c r="H189" s="109"/>
      <c r="I189" s="109"/>
      <c r="J189" s="109"/>
    </row>
    <row r="190" spans="1:25">
      <c r="A190" s="108"/>
      <c r="B190" s="109"/>
      <c r="C190" s="109"/>
      <c r="D190" s="109"/>
      <c r="E190" s="109"/>
      <c r="F190" s="109"/>
      <c r="G190" s="109"/>
      <c r="H190" s="109"/>
      <c r="I190" s="109"/>
      <c r="J190" s="109"/>
    </row>
    <row r="191" spans="1:25">
      <c r="A191" s="108"/>
      <c r="B191" s="109"/>
      <c r="C191" s="109"/>
      <c r="D191" s="109"/>
      <c r="E191" s="109"/>
      <c r="F191" s="109"/>
      <c r="G191" s="109"/>
      <c r="H191" s="109"/>
      <c r="I191" s="109"/>
      <c r="J191" s="109"/>
    </row>
    <row r="192" spans="1:25">
      <c r="A192" s="108"/>
      <c r="B192" s="109"/>
      <c r="C192" s="109"/>
      <c r="D192" s="109"/>
      <c r="E192" s="109"/>
      <c r="F192" s="109"/>
      <c r="G192" s="109"/>
      <c r="H192" s="109"/>
      <c r="I192" s="109"/>
      <c r="J192" s="109"/>
    </row>
    <row r="193" spans="1:25">
      <c r="A193" s="108"/>
      <c r="B193" s="109"/>
      <c r="C193" s="109"/>
      <c r="D193" s="109"/>
      <c r="E193" s="109"/>
      <c r="F193" s="109"/>
      <c r="G193" s="109"/>
      <c r="H193" s="109"/>
      <c r="I193" s="109"/>
      <c r="J193" s="109"/>
    </row>
    <row r="194" spans="1:25">
      <c r="A194" s="108"/>
      <c r="B194" s="109"/>
      <c r="C194" s="109"/>
      <c r="D194" s="109"/>
      <c r="E194" s="109"/>
      <c r="F194" s="109"/>
      <c r="G194" s="109"/>
      <c r="H194" s="109"/>
      <c r="I194" s="109"/>
      <c r="J194" s="109"/>
    </row>
    <row r="195" spans="1:25">
      <c r="A195" s="108"/>
      <c r="B195" s="109"/>
      <c r="C195" s="109"/>
      <c r="D195" s="109"/>
      <c r="E195" s="109"/>
      <c r="F195" s="109"/>
      <c r="G195" s="109"/>
      <c r="H195" s="109"/>
      <c r="I195" s="109"/>
      <c r="J195" s="109"/>
    </row>
    <row r="196" spans="1:25">
      <c r="A196" s="108"/>
      <c r="B196" s="109"/>
      <c r="C196" s="109"/>
      <c r="D196" s="109"/>
      <c r="E196" s="109"/>
      <c r="F196" s="109"/>
      <c r="G196" s="109"/>
      <c r="H196" s="109"/>
      <c r="I196" s="109"/>
      <c r="J196" s="109"/>
    </row>
    <row r="197" spans="1:25">
      <c r="A197" s="108"/>
      <c r="B197" s="109"/>
      <c r="C197" s="109"/>
      <c r="D197" s="109"/>
      <c r="E197" s="109"/>
      <c r="F197" s="109"/>
      <c r="G197" s="109"/>
      <c r="H197" s="109"/>
      <c r="I197" s="109"/>
      <c r="J197" s="109"/>
      <c r="Y197" s="171"/>
    </row>
    <row r="198" spans="1:25">
      <c r="A198" s="108"/>
      <c r="B198" s="109"/>
      <c r="C198" s="109"/>
      <c r="D198" s="109"/>
      <c r="E198" s="109"/>
      <c r="F198" s="109"/>
      <c r="G198" s="109"/>
      <c r="H198" s="109"/>
      <c r="I198" s="109"/>
      <c r="J198" s="109"/>
    </row>
    <row r="199" spans="1:25">
      <c r="A199" s="108"/>
      <c r="B199" s="109"/>
      <c r="C199" s="109"/>
      <c r="D199" s="109"/>
      <c r="E199" s="109"/>
      <c r="F199" s="109"/>
      <c r="G199" s="109"/>
      <c r="H199" s="109"/>
      <c r="I199" s="109"/>
      <c r="J199" s="109"/>
    </row>
    <row r="200" spans="1:25">
      <c r="A200" s="108"/>
      <c r="B200" s="109"/>
      <c r="C200" s="109"/>
      <c r="D200" s="109"/>
      <c r="E200" s="109"/>
      <c r="F200" s="109"/>
      <c r="G200" s="109"/>
      <c r="H200" s="109"/>
      <c r="I200" s="109"/>
      <c r="J200" s="109"/>
    </row>
    <row r="201" spans="1:25">
      <c r="A201" s="108"/>
      <c r="B201" s="109"/>
      <c r="C201" s="109"/>
      <c r="D201" s="109"/>
      <c r="E201" s="109"/>
      <c r="F201" s="109"/>
      <c r="G201" s="109"/>
      <c r="H201" s="109"/>
      <c r="I201" s="109"/>
      <c r="J201" s="109"/>
    </row>
    <row r="202" spans="1:25">
      <c r="A202" s="108"/>
      <c r="B202" s="109"/>
      <c r="C202" s="109"/>
      <c r="D202" s="109"/>
      <c r="E202" s="109"/>
      <c r="F202" s="109"/>
      <c r="G202" s="109"/>
      <c r="H202" s="109"/>
      <c r="I202" s="109"/>
      <c r="J202" s="109"/>
    </row>
    <row r="203" spans="1:25">
      <c r="A203" s="108"/>
      <c r="B203" s="109"/>
      <c r="C203" s="109"/>
      <c r="D203" s="109"/>
      <c r="E203" s="109"/>
      <c r="F203" s="109"/>
      <c r="G203" s="109"/>
      <c r="H203" s="109"/>
      <c r="I203" s="109"/>
      <c r="J203" s="109"/>
    </row>
    <row r="204" spans="1:25">
      <c r="A204" s="108"/>
      <c r="B204" s="109"/>
      <c r="C204" s="109"/>
      <c r="D204" s="109"/>
      <c r="E204" s="109"/>
      <c r="F204" s="109"/>
      <c r="G204" s="109"/>
      <c r="H204" s="109"/>
      <c r="I204" s="109"/>
      <c r="J204" s="109"/>
    </row>
    <row r="205" spans="1:25">
      <c r="A205" s="108"/>
      <c r="B205" s="109"/>
      <c r="C205" s="109"/>
      <c r="D205" s="109"/>
      <c r="E205" s="109"/>
      <c r="F205" s="109"/>
      <c r="G205" s="109"/>
      <c r="H205" s="109"/>
      <c r="I205" s="109"/>
      <c r="J205" s="109"/>
    </row>
    <row r="206" spans="1:25">
      <c r="A206" s="108"/>
      <c r="B206" s="109"/>
      <c r="C206" s="109"/>
      <c r="D206" s="109"/>
      <c r="E206" s="109"/>
      <c r="F206" s="109"/>
      <c r="G206" s="109"/>
      <c r="H206" s="109"/>
      <c r="I206" s="109"/>
      <c r="J206" s="109"/>
    </row>
    <row r="207" spans="1:25">
      <c r="A207" s="108"/>
      <c r="B207" s="109"/>
      <c r="C207" s="109"/>
      <c r="D207" s="109"/>
      <c r="E207" s="109"/>
      <c r="F207" s="109"/>
      <c r="G207" s="109"/>
      <c r="H207" s="109"/>
      <c r="I207" s="109"/>
      <c r="J207" s="109"/>
    </row>
    <row r="208" spans="1:25">
      <c r="A208" s="108"/>
      <c r="B208" s="109"/>
      <c r="C208" s="109"/>
      <c r="D208" s="109"/>
      <c r="E208" s="109"/>
      <c r="F208" s="109"/>
      <c r="G208" s="109"/>
      <c r="H208" s="109"/>
      <c r="I208" s="109"/>
      <c r="J208" s="109"/>
    </row>
    <row r="209" spans="1:25">
      <c r="A209" s="108"/>
      <c r="B209" s="109"/>
      <c r="C209" s="109"/>
      <c r="D209" s="109"/>
      <c r="E209" s="109"/>
      <c r="F209" s="109"/>
      <c r="G209" s="109"/>
      <c r="H209" s="109"/>
      <c r="I209" s="109"/>
      <c r="J209" s="109"/>
    </row>
    <row r="210" spans="1:25">
      <c r="A210" s="108"/>
      <c r="B210" s="109"/>
      <c r="C210" s="109"/>
      <c r="D210" s="109"/>
      <c r="E210" s="109"/>
      <c r="F210" s="109"/>
      <c r="G210" s="109"/>
      <c r="H210" s="109"/>
      <c r="I210" s="109"/>
      <c r="J210" s="109"/>
    </row>
    <row r="211" spans="1:25">
      <c r="A211" s="108"/>
      <c r="B211" s="109"/>
      <c r="C211" s="109"/>
      <c r="D211" s="109"/>
      <c r="E211" s="109"/>
      <c r="F211" s="109"/>
      <c r="G211" s="109"/>
      <c r="H211" s="109"/>
      <c r="I211" s="109"/>
      <c r="J211" s="109"/>
    </row>
    <row r="212" spans="1:25">
      <c r="A212" s="108"/>
      <c r="B212" s="109"/>
      <c r="C212" s="109"/>
      <c r="D212" s="109"/>
      <c r="E212" s="109"/>
      <c r="F212" s="109"/>
      <c r="G212" s="109"/>
      <c r="H212" s="109"/>
      <c r="I212" s="109"/>
      <c r="J212" s="109"/>
    </row>
    <row r="213" spans="1:25">
      <c r="A213" s="108"/>
      <c r="B213" s="109"/>
      <c r="C213" s="109"/>
      <c r="D213" s="109"/>
      <c r="E213" s="109"/>
      <c r="F213" s="109"/>
      <c r="G213" s="109"/>
      <c r="H213" s="109"/>
      <c r="I213" s="109"/>
      <c r="J213" s="109"/>
      <c r="Y213" s="171"/>
    </row>
    <row r="214" spans="1:25">
      <c r="A214" s="108"/>
      <c r="B214" s="109"/>
      <c r="C214" s="109"/>
      <c r="D214" s="109"/>
      <c r="E214" s="109"/>
      <c r="F214" s="109"/>
      <c r="G214" s="109"/>
      <c r="H214" s="109"/>
      <c r="I214" s="109"/>
      <c r="J214" s="109"/>
    </row>
    <row r="215" spans="1:25">
      <c r="A215" s="108"/>
      <c r="B215" s="109"/>
      <c r="C215" s="109"/>
      <c r="D215" s="109"/>
      <c r="E215" s="109"/>
      <c r="F215" s="109"/>
      <c r="G215" s="109"/>
      <c r="H215" s="109"/>
      <c r="I215" s="109"/>
      <c r="J215" s="109"/>
    </row>
    <row r="216" spans="1:25">
      <c r="A216" s="108"/>
      <c r="B216" s="109"/>
      <c r="C216" s="109"/>
      <c r="D216" s="109"/>
      <c r="E216" s="109"/>
      <c r="F216" s="109"/>
      <c r="G216" s="109"/>
      <c r="H216" s="109"/>
      <c r="I216" s="109"/>
      <c r="J216" s="109"/>
    </row>
    <row r="217" spans="1:25">
      <c r="A217" s="108"/>
      <c r="B217" s="109"/>
      <c r="C217" s="109"/>
      <c r="D217" s="109"/>
      <c r="E217" s="109"/>
      <c r="F217" s="109"/>
      <c r="G217" s="109"/>
      <c r="H217" s="109"/>
      <c r="I217" s="109"/>
      <c r="J217" s="109"/>
    </row>
    <row r="218" spans="1:25">
      <c r="A218" s="108"/>
      <c r="B218" s="109"/>
      <c r="C218" s="109"/>
      <c r="D218" s="109"/>
      <c r="E218" s="109"/>
      <c r="F218" s="109"/>
      <c r="G218" s="109"/>
      <c r="H218" s="109"/>
      <c r="I218" s="109"/>
      <c r="J218" s="109"/>
    </row>
    <row r="219" spans="1:25">
      <c r="A219" s="108"/>
      <c r="B219" s="109"/>
      <c r="C219" s="109"/>
      <c r="D219" s="109"/>
      <c r="E219" s="109"/>
      <c r="F219" s="109"/>
      <c r="G219" s="109"/>
      <c r="H219" s="109"/>
      <c r="I219" s="109"/>
      <c r="J219" s="109"/>
    </row>
    <row r="220" spans="1:25">
      <c r="A220" s="108"/>
      <c r="B220" s="109"/>
      <c r="C220" s="109"/>
      <c r="D220" s="109"/>
      <c r="E220" s="109"/>
      <c r="F220" s="109"/>
      <c r="G220" s="109"/>
      <c r="H220" s="109"/>
      <c r="I220" s="109"/>
      <c r="J220" s="109"/>
    </row>
    <row r="221" spans="1:25">
      <c r="A221" s="108"/>
      <c r="B221" s="109"/>
      <c r="C221" s="109"/>
      <c r="D221" s="109"/>
      <c r="E221" s="109"/>
      <c r="F221" s="109"/>
      <c r="G221" s="109"/>
      <c r="H221" s="109"/>
      <c r="I221" s="109"/>
      <c r="J221" s="109"/>
    </row>
    <row r="222" spans="1:25">
      <c r="A222" s="108"/>
      <c r="B222" s="109"/>
      <c r="C222" s="109"/>
      <c r="D222" s="109"/>
      <c r="E222" s="109"/>
      <c r="F222" s="109"/>
      <c r="G222" s="109"/>
      <c r="H222" s="109"/>
      <c r="I222" s="109"/>
      <c r="J222" s="109"/>
    </row>
    <row r="223" spans="1:25">
      <c r="A223" s="108"/>
      <c r="B223" s="109"/>
      <c r="C223" s="109"/>
      <c r="D223" s="109"/>
      <c r="E223" s="109"/>
      <c r="F223" s="109"/>
      <c r="G223" s="109"/>
      <c r="H223" s="109"/>
      <c r="I223" s="109"/>
      <c r="J223" s="109"/>
    </row>
    <row r="224" spans="1:25">
      <c r="A224" s="108"/>
      <c r="B224" s="109"/>
      <c r="C224" s="109"/>
      <c r="D224" s="109"/>
      <c r="E224" s="109"/>
      <c r="F224" s="109"/>
      <c r="G224" s="109"/>
      <c r="H224" s="109"/>
      <c r="I224" s="109"/>
      <c r="J224" s="109"/>
    </row>
    <row r="225" spans="1:29">
      <c r="A225" s="108"/>
      <c r="B225" s="109"/>
      <c r="C225" s="109"/>
      <c r="D225" s="109"/>
      <c r="E225" s="109"/>
      <c r="F225" s="109"/>
      <c r="G225" s="109"/>
      <c r="H225" s="109"/>
      <c r="I225" s="109"/>
      <c r="J225" s="109"/>
    </row>
    <row r="226" spans="1:29">
      <c r="A226" s="108"/>
      <c r="B226" s="109"/>
      <c r="C226" s="109"/>
      <c r="D226" s="109"/>
      <c r="E226" s="109"/>
      <c r="F226" s="109"/>
      <c r="G226" s="109"/>
      <c r="H226" s="109"/>
      <c r="I226" s="109"/>
      <c r="J226" s="109"/>
    </row>
    <row r="227" spans="1:29">
      <c r="A227" s="108"/>
      <c r="B227" s="109"/>
      <c r="C227" s="109"/>
      <c r="D227" s="109"/>
      <c r="E227" s="109"/>
      <c r="F227" s="109"/>
      <c r="G227" s="109"/>
      <c r="H227" s="109"/>
      <c r="I227" s="109"/>
      <c r="J227" s="109"/>
    </row>
    <row r="228" spans="1:29">
      <c r="A228" s="108"/>
      <c r="B228" s="109"/>
      <c r="C228" s="109"/>
      <c r="D228" s="109"/>
      <c r="E228" s="109"/>
      <c r="F228" s="109"/>
      <c r="G228" s="109"/>
      <c r="H228" s="109"/>
      <c r="I228" s="109"/>
      <c r="J228" s="109"/>
    </row>
    <row r="229" spans="1:29">
      <c r="A229" s="108"/>
      <c r="B229" s="109"/>
      <c r="C229" s="109"/>
      <c r="D229" s="109"/>
      <c r="E229" s="109"/>
      <c r="F229" s="109"/>
      <c r="G229" s="109"/>
      <c r="H229" s="109"/>
      <c r="I229" s="109"/>
      <c r="J229" s="109"/>
      <c r="W229" s="171"/>
      <c r="X229" s="171"/>
      <c r="Y229" s="171"/>
      <c r="AC229" s="171"/>
    </row>
    <row r="230" spans="1:29">
      <c r="A230" s="108"/>
      <c r="B230" s="109"/>
      <c r="C230" s="109"/>
      <c r="D230" s="109"/>
      <c r="E230" s="109"/>
      <c r="F230" s="109"/>
      <c r="G230" s="109"/>
      <c r="H230" s="109"/>
      <c r="I230" s="109"/>
      <c r="J230" s="109"/>
    </row>
    <row r="231" spans="1:29">
      <c r="A231" s="108"/>
      <c r="B231" s="109"/>
      <c r="C231" s="109"/>
      <c r="D231" s="109"/>
      <c r="E231" s="109"/>
      <c r="F231" s="109"/>
      <c r="G231" s="109"/>
      <c r="H231" s="109"/>
      <c r="I231" s="109"/>
      <c r="J231" s="109"/>
    </row>
    <row r="232" spans="1:29">
      <c r="A232" s="108"/>
      <c r="B232" s="109"/>
      <c r="C232" s="109"/>
      <c r="D232" s="109"/>
      <c r="E232" s="109"/>
      <c r="F232" s="109"/>
      <c r="G232" s="109"/>
      <c r="H232" s="109"/>
      <c r="I232" s="109"/>
      <c r="J232" s="109"/>
    </row>
    <row r="233" spans="1:29">
      <c r="A233" s="108"/>
      <c r="B233" s="109"/>
      <c r="C233" s="109"/>
      <c r="D233" s="109"/>
      <c r="E233" s="109"/>
      <c r="F233" s="109"/>
      <c r="G233" s="109"/>
      <c r="H233" s="109"/>
      <c r="I233" s="109"/>
      <c r="J233" s="109"/>
    </row>
    <row r="234" spans="1:29">
      <c r="A234" s="108"/>
      <c r="B234" s="109"/>
      <c r="C234" s="109"/>
      <c r="D234" s="109"/>
      <c r="E234" s="109"/>
      <c r="F234" s="109"/>
      <c r="G234" s="109"/>
      <c r="H234" s="109"/>
      <c r="I234" s="109"/>
      <c r="J234" s="109"/>
    </row>
    <row r="235" spans="1:29">
      <c r="A235" s="108"/>
      <c r="B235" s="109"/>
      <c r="C235" s="109"/>
      <c r="D235" s="109"/>
      <c r="E235" s="109"/>
      <c r="F235" s="109"/>
      <c r="G235" s="109"/>
      <c r="H235" s="109"/>
      <c r="I235" s="109"/>
      <c r="J235" s="109"/>
    </row>
    <row r="236" spans="1:29">
      <c r="A236" s="108"/>
      <c r="B236" s="109"/>
      <c r="C236" s="109"/>
      <c r="D236" s="109"/>
      <c r="E236" s="109"/>
      <c r="F236" s="109"/>
      <c r="G236" s="109"/>
      <c r="H236" s="109"/>
      <c r="I236" s="109"/>
      <c r="J236" s="109"/>
    </row>
    <row r="237" spans="1:29">
      <c r="A237" s="108"/>
      <c r="B237" s="109"/>
      <c r="C237" s="109"/>
      <c r="D237" s="109"/>
      <c r="E237" s="109"/>
      <c r="F237" s="109"/>
      <c r="G237" s="109"/>
      <c r="H237" s="109"/>
      <c r="I237" s="109"/>
      <c r="J237" s="109"/>
    </row>
    <row r="238" spans="1:29">
      <c r="A238" s="108"/>
      <c r="B238" s="109"/>
      <c r="C238" s="109"/>
      <c r="D238" s="109"/>
      <c r="E238" s="109"/>
      <c r="F238" s="109"/>
      <c r="G238" s="109"/>
      <c r="H238" s="109"/>
      <c r="I238" s="109"/>
      <c r="J238" s="109"/>
    </row>
    <row r="239" spans="1:29">
      <c r="A239" s="108"/>
      <c r="B239" s="109"/>
      <c r="C239" s="109"/>
      <c r="D239" s="109"/>
      <c r="E239" s="109"/>
      <c r="F239" s="109"/>
      <c r="G239" s="109"/>
      <c r="H239" s="109"/>
      <c r="I239" s="109"/>
      <c r="J239" s="109"/>
    </row>
    <row r="240" spans="1:29">
      <c r="A240" s="108"/>
      <c r="B240" s="109"/>
      <c r="C240" s="109"/>
      <c r="D240" s="109"/>
      <c r="E240" s="109"/>
      <c r="F240" s="109"/>
      <c r="G240" s="109"/>
      <c r="H240" s="109"/>
      <c r="I240" s="109"/>
      <c r="J240" s="109"/>
    </row>
    <row r="241" spans="1:10">
      <c r="A241" s="108"/>
      <c r="B241" s="109"/>
      <c r="C241" s="109"/>
      <c r="D241" s="109"/>
      <c r="E241" s="109"/>
      <c r="F241" s="109"/>
      <c r="G241" s="109"/>
      <c r="H241" s="109"/>
      <c r="I241" s="109"/>
      <c r="J241" s="109"/>
    </row>
    <row r="242" spans="1:10">
      <c r="A242" s="108"/>
      <c r="B242" s="109"/>
      <c r="C242" s="109"/>
      <c r="D242" s="109"/>
      <c r="E242" s="109"/>
      <c r="F242" s="109"/>
      <c r="G242" s="109"/>
      <c r="H242" s="109"/>
      <c r="I242" s="109"/>
      <c r="J242" s="109"/>
    </row>
    <row r="243" spans="1:10">
      <c r="A243" s="108"/>
      <c r="B243" s="109"/>
      <c r="C243" s="109"/>
      <c r="D243" s="109"/>
      <c r="E243" s="109"/>
      <c r="F243" s="109"/>
      <c r="G243" s="109"/>
      <c r="H243" s="109"/>
      <c r="I243" s="109"/>
      <c r="J243" s="109"/>
    </row>
    <row r="244" spans="1:10">
      <c r="A244" s="108"/>
      <c r="B244" s="109"/>
      <c r="C244" s="109"/>
      <c r="D244" s="109"/>
      <c r="E244" s="109"/>
      <c r="F244" s="109"/>
      <c r="G244" s="109"/>
      <c r="H244" s="109"/>
      <c r="I244" s="109"/>
      <c r="J244" s="109"/>
    </row>
    <row r="245" spans="1:10">
      <c r="A245" s="108"/>
      <c r="B245" s="109"/>
      <c r="C245" s="109"/>
      <c r="D245" s="109"/>
      <c r="E245" s="109"/>
      <c r="F245" s="109"/>
      <c r="G245" s="109"/>
      <c r="H245" s="109"/>
      <c r="I245" s="109"/>
      <c r="J245" s="109"/>
    </row>
    <row r="246" spans="1:10">
      <c r="A246" s="108"/>
      <c r="B246" s="109"/>
      <c r="C246" s="109"/>
      <c r="D246" s="109"/>
      <c r="E246" s="109"/>
      <c r="F246" s="109"/>
      <c r="G246" s="109"/>
      <c r="H246" s="109"/>
      <c r="I246" s="109"/>
      <c r="J246" s="109"/>
    </row>
    <row r="247" spans="1:10">
      <c r="A247" s="108"/>
      <c r="B247" s="109"/>
      <c r="C247" s="109"/>
      <c r="D247" s="109"/>
      <c r="E247" s="109"/>
      <c r="F247" s="109"/>
      <c r="G247" s="109"/>
      <c r="H247" s="109"/>
      <c r="I247" s="109"/>
      <c r="J247" s="109"/>
    </row>
    <row r="248" spans="1:10">
      <c r="A248" s="108"/>
      <c r="B248" s="109"/>
      <c r="C248" s="109"/>
      <c r="D248" s="109"/>
      <c r="E248" s="109"/>
      <c r="F248" s="109"/>
      <c r="G248" s="109"/>
      <c r="H248" s="109"/>
      <c r="I248" s="109"/>
      <c r="J248" s="109"/>
    </row>
    <row r="249" spans="1:10">
      <c r="A249" s="108"/>
      <c r="B249" s="109"/>
      <c r="C249" s="109"/>
      <c r="D249" s="109"/>
      <c r="E249" s="109"/>
      <c r="F249" s="109"/>
      <c r="G249" s="109"/>
      <c r="H249" s="109"/>
      <c r="I249" s="109"/>
      <c r="J249" s="109"/>
    </row>
    <row r="250" spans="1:10">
      <c r="A250" s="108"/>
      <c r="B250" s="109"/>
      <c r="C250" s="109"/>
      <c r="D250" s="109"/>
      <c r="E250" s="109"/>
      <c r="F250" s="109"/>
      <c r="G250" s="109"/>
      <c r="H250" s="109"/>
      <c r="I250" s="109"/>
      <c r="J250" s="109"/>
    </row>
    <row r="251" spans="1:10">
      <c r="A251" s="108"/>
      <c r="B251" s="109"/>
      <c r="C251" s="109"/>
      <c r="D251" s="109"/>
      <c r="E251" s="109"/>
      <c r="F251" s="109"/>
      <c r="G251" s="109"/>
      <c r="H251" s="109"/>
      <c r="I251" s="109"/>
      <c r="J251" s="109"/>
    </row>
    <row r="252" spans="1:10">
      <c r="A252" s="108"/>
      <c r="B252" s="109"/>
      <c r="C252" s="109"/>
      <c r="D252" s="109"/>
      <c r="E252" s="109"/>
      <c r="F252" s="109"/>
      <c r="G252" s="109"/>
      <c r="H252" s="109"/>
      <c r="I252" s="109"/>
      <c r="J252" s="109"/>
    </row>
    <row r="253" spans="1:10">
      <c r="A253" s="108"/>
      <c r="B253" s="109"/>
      <c r="C253" s="109"/>
      <c r="D253" s="109"/>
      <c r="E253" s="109"/>
      <c r="F253" s="109"/>
      <c r="G253" s="109"/>
      <c r="H253" s="109"/>
      <c r="I253" s="109"/>
      <c r="J253" s="109"/>
    </row>
    <row r="254" spans="1:10">
      <c r="A254" s="108"/>
      <c r="B254" s="109"/>
      <c r="C254" s="109"/>
      <c r="D254" s="109"/>
      <c r="E254" s="109"/>
      <c r="F254" s="109"/>
      <c r="G254" s="109"/>
      <c r="H254" s="109"/>
      <c r="I254" s="109"/>
      <c r="J254" s="109"/>
    </row>
    <row r="255" spans="1:10">
      <c r="A255" s="108"/>
      <c r="B255" s="109"/>
      <c r="C255" s="109"/>
      <c r="D255" s="109"/>
      <c r="E255" s="109"/>
      <c r="F255" s="109"/>
      <c r="G255" s="109"/>
      <c r="H255" s="109"/>
      <c r="I255" s="109"/>
      <c r="J255" s="109"/>
    </row>
    <row r="256" spans="1:10">
      <c r="A256" s="108"/>
      <c r="B256" s="109"/>
      <c r="C256" s="109"/>
      <c r="D256" s="109"/>
      <c r="E256" s="109"/>
      <c r="F256" s="109"/>
      <c r="G256" s="109"/>
      <c r="H256" s="109"/>
      <c r="I256" s="109"/>
      <c r="J256" s="109"/>
    </row>
    <row r="257" spans="1:10">
      <c r="A257" s="108"/>
      <c r="B257" s="109"/>
      <c r="C257" s="109"/>
      <c r="D257" s="109"/>
      <c r="E257" s="109"/>
      <c r="F257" s="109"/>
      <c r="G257" s="109"/>
      <c r="H257" s="109"/>
      <c r="I257" s="109"/>
      <c r="J257" s="109"/>
    </row>
    <row r="258" spans="1:10">
      <c r="A258" s="108"/>
      <c r="B258" s="109"/>
      <c r="C258" s="109"/>
      <c r="D258" s="109"/>
      <c r="E258" s="109"/>
      <c r="F258" s="109"/>
      <c r="G258" s="109"/>
      <c r="H258" s="109"/>
      <c r="I258" s="109"/>
      <c r="J258" s="109"/>
    </row>
    <row r="259" spans="1:10">
      <c r="A259" s="108"/>
      <c r="B259" s="109"/>
      <c r="C259" s="109"/>
      <c r="D259" s="109"/>
      <c r="E259" s="109"/>
      <c r="F259" s="109"/>
      <c r="G259" s="109"/>
      <c r="H259" s="109"/>
      <c r="I259" s="109"/>
      <c r="J259" s="109"/>
    </row>
    <row r="260" spans="1:10">
      <c r="A260" s="108"/>
      <c r="B260" s="109"/>
      <c r="C260" s="109"/>
      <c r="D260" s="109"/>
      <c r="E260" s="109"/>
      <c r="F260" s="109"/>
      <c r="G260" s="109"/>
      <c r="H260" s="109"/>
      <c r="I260" s="109"/>
      <c r="J260" s="109"/>
    </row>
    <row r="261" spans="1:10">
      <c r="A261" s="108"/>
      <c r="B261" s="109"/>
      <c r="C261" s="109"/>
      <c r="D261" s="109"/>
      <c r="E261" s="109"/>
      <c r="F261" s="109"/>
      <c r="G261" s="109"/>
      <c r="H261" s="109"/>
      <c r="I261" s="109"/>
      <c r="J261" s="109"/>
    </row>
    <row r="262" spans="1:10">
      <c r="A262" s="108"/>
      <c r="B262" s="109"/>
      <c r="C262" s="109"/>
      <c r="D262" s="109"/>
      <c r="E262" s="109"/>
      <c r="F262" s="109"/>
      <c r="G262" s="109"/>
      <c r="H262" s="109"/>
      <c r="I262" s="109"/>
      <c r="J262" s="109"/>
    </row>
    <row r="263" spans="1:10">
      <c r="A263" s="108"/>
      <c r="B263" s="109"/>
      <c r="C263" s="109"/>
      <c r="D263" s="109"/>
      <c r="E263" s="109"/>
      <c r="F263" s="109"/>
      <c r="G263" s="109"/>
      <c r="H263" s="109"/>
      <c r="I263" s="109"/>
      <c r="J263" s="109"/>
    </row>
    <row r="264" spans="1:10">
      <c r="A264" s="108"/>
      <c r="B264" s="109"/>
      <c r="C264" s="109"/>
      <c r="D264" s="109"/>
      <c r="E264" s="109"/>
      <c r="F264" s="109"/>
      <c r="G264" s="109"/>
      <c r="H264" s="109"/>
      <c r="I264" s="109"/>
      <c r="J264" s="109"/>
    </row>
    <row r="265" spans="1:10">
      <c r="A265" s="108"/>
      <c r="B265" s="109"/>
      <c r="C265" s="109"/>
      <c r="D265" s="109"/>
      <c r="E265" s="109"/>
      <c r="F265" s="109"/>
      <c r="G265" s="109"/>
      <c r="H265" s="109"/>
      <c r="I265" s="109"/>
      <c r="J265" s="109"/>
    </row>
    <row r="266" spans="1:10">
      <c r="A266" s="108"/>
      <c r="B266" s="109"/>
      <c r="C266" s="109"/>
      <c r="D266" s="109"/>
      <c r="E266" s="109"/>
      <c r="F266" s="109"/>
      <c r="G266" s="109"/>
      <c r="H266" s="109"/>
      <c r="I266" s="109"/>
      <c r="J266" s="109"/>
    </row>
    <row r="267" spans="1:10">
      <c r="A267" s="108"/>
      <c r="B267" s="109"/>
      <c r="C267" s="109"/>
      <c r="D267" s="109"/>
      <c r="E267" s="109"/>
      <c r="F267" s="109"/>
      <c r="G267" s="109"/>
      <c r="H267" s="109"/>
      <c r="I267" s="109"/>
      <c r="J267" s="109"/>
    </row>
    <row r="268" spans="1:10">
      <c r="A268" s="108"/>
      <c r="B268" s="109"/>
      <c r="C268" s="109"/>
      <c r="D268" s="109"/>
      <c r="E268" s="109"/>
      <c r="F268" s="109"/>
      <c r="G268" s="109"/>
      <c r="H268" s="109"/>
      <c r="I268" s="109"/>
      <c r="J268" s="109"/>
    </row>
    <row r="269" spans="1:10">
      <c r="A269" s="108"/>
      <c r="B269" s="109"/>
      <c r="C269" s="109"/>
      <c r="D269" s="109"/>
      <c r="E269" s="109"/>
      <c r="F269" s="109"/>
      <c r="G269" s="109"/>
      <c r="H269" s="109"/>
      <c r="I269" s="109"/>
      <c r="J269" s="109"/>
    </row>
    <row r="270" spans="1:10">
      <c r="A270" s="108"/>
      <c r="B270" s="109"/>
      <c r="C270" s="109"/>
      <c r="D270" s="109"/>
      <c r="E270" s="109"/>
      <c r="F270" s="109"/>
      <c r="G270" s="109"/>
      <c r="H270" s="109"/>
      <c r="I270" s="109"/>
      <c r="J270" s="109"/>
    </row>
    <row r="271" spans="1:10">
      <c r="A271" s="108"/>
      <c r="B271" s="109"/>
      <c r="C271" s="109"/>
      <c r="D271" s="109"/>
      <c r="E271" s="109"/>
      <c r="F271" s="109"/>
      <c r="G271" s="109"/>
      <c r="H271" s="109"/>
      <c r="I271" s="109"/>
      <c r="J271" s="109"/>
    </row>
    <row r="272" spans="1:10">
      <c r="A272" s="108"/>
      <c r="B272" s="109"/>
      <c r="C272" s="109"/>
      <c r="D272" s="109"/>
      <c r="E272" s="109"/>
      <c r="F272" s="109"/>
      <c r="G272" s="109"/>
      <c r="H272" s="109"/>
      <c r="I272" s="109"/>
      <c r="J272" s="109"/>
    </row>
    <row r="273" spans="1:10">
      <c r="A273" s="108"/>
      <c r="B273" s="109"/>
      <c r="C273" s="109"/>
      <c r="D273" s="109"/>
      <c r="E273" s="109"/>
      <c r="F273" s="109"/>
      <c r="G273" s="109"/>
      <c r="H273" s="109"/>
      <c r="I273" s="109"/>
      <c r="J273" s="109"/>
    </row>
    <row r="274" spans="1:10">
      <c r="A274" s="108"/>
      <c r="B274" s="109"/>
      <c r="C274" s="109"/>
      <c r="D274" s="109"/>
      <c r="E274" s="109"/>
      <c r="F274" s="109"/>
      <c r="G274" s="109"/>
      <c r="H274" s="109"/>
      <c r="I274" s="109"/>
      <c r="J274" s="109"/>
    </row>
    <row r="275" spans="1:10">
      <c r="A275" s="108"/>
      <c r="B275" s="109"/>
      <c r="C275" s="109"/>
      <c r="D275" s="109"/>
      <c r="E275" s="109"/>
      <c r="F275" s="109"/>
      <c r="G275" s="109"/>
      <c r="H275" s="109"/>
      <c r="I275" s="109"/>
      <c r="J275" s="109"/>
    </row>
    <row r="276" spans="1:10">
      <c r="A276" s="108"/>
      <c r="B276" s="109"/>
      <c r="C276" s="109"/>
      <c r="D276" s="109"/>
      <c r="E276" s="109"/>
      <c r="F276" s="109"/>
      <c r="G276" s="109"/>
      <c r="H276" s="109"/>
      <c r="I276" s="109"/>
      <c r="J276" s="109"/>
    </row>
    <row r="277" spans="1:10">
      <c r="A277" s="108"/>
      <c r="B277" s="109"/>
      <c r="C277" s="109"/>
      <c r="D277" s="109"/>
      <c r="E277" s="109"/>
      <c r="F277" s="109"/>
      <c r="G277" s="109"/>
      <c r="H277" s="109"/>
      <c r="I277" s="109"/>
      <c r="J277" s="109"/>
    </row>
    <row r="278" spans="1:10">
      <c r="A278" s="108"/>
      <c r="B278" s="109"/>
      <c r="C278" s="109"/>
      <c r="D278" s="109"/>
      <c r="E278" s="109"/>
      <c r="F278" s="109"/>
      <c r="G278" s="109"/>
      <c r="H278" s="109"/>
      <c r="I278" s="109"/>
      <c r="J278" s="109"/>
    </row>
    <row r="279" spans="1:10">
      <c r="A279" s="108"/>
      <c r="B279" s="109"/>
      <c r="C279" s="109"/>
      <c r="D279" s="109"/>
      <c r="E279" s="109"/>
      <c r="F279" s="109"/>
      <c r="G279" s="109"/>
      <c r="H279" s="109"/>
      <c r="I279" s="109"/>
      <c r="J279" s="109"/>
    </row>
    <row r="280" spans="1:10">
      <c r="A280" s="108"/>
      <c r="B280" s="109"/>
      <c r="C280" s="109"/>
      <c r="D280" s="109"/>
      <c r="E280" s="109"/>
      <c r="F280" s="109"/>
      <c r="G280" s="109"/>
      <c r="H280" s="109"/>
      <c r="I280" s="109"/>
      <c r="J280" s="109"/>
    </row>
    <row r="281" spans="1:10">
      <c r="A281" s="108"/>
      <c r="B281" s="109"/>
      <c r="C281" s="109"/>
      <c r="D281" s="109"/>
      <c r="E281" s="109"/>
      <c r="F281" s="109"/>
      <c r="G281" s="109"/>
      <c r="H281" s="109"/>
      <c r="I281" s="109"/>
      <c r="J281" s="109"/>
    </row>
    <row r="282" spans="1:10">
      <c r="A282" s="108"/>
      <c r="B282" s="109"/>
      <c r="C282" s="109"/>
      <c r="D282" s="109"/>
      <c r="E282" s="109"/>
      <c r="F282" s="109"/>
      <c r="G282" s="109"/>
      <c r="H282" s="109"/>
      <c r="I282" s="109"/>
      <c r="J282" s="109"/>
    </row>
    <row r="283" spans="1:10">
      <c r="A283" s="108"/>
      <c r="B283" s="109"/>
      <c r="C283" s="109"/>
      <c r="D283" s="109"/>
      <c r="E283" s="109"/>
      <c r="F283" s="109"/>
      <c r="G283" s="109"/>
      <c r="H283" s="109"/>
      <c r="I283" s="109"/>
      <c r="J283" s="109"/>
    </row>
    <row r="284" spans="1:10">
      <c r="A284" s="108"/>
      <c r="B284" s="109"/>
      <c r="C284" s="109"/>
      <c r="D284" s="109"/>
      <c r="E284" s="109"/>
      <c r="F284" s="109"/>
      <c r="G284" s="109"/>
      <c r="H284" s="109"/>
      <c r="I284" s="109"/>
      <c r="J284" s="109"/>
    </row>
    <row r="285" spans="1:10">
      <c r="A285" s="108"/>
      <c r="B285" s="109"/>
      <c r="C285" s="109"/>
      <c r="D285" s="109"/>
      <c r="E285" s="109"/>
      <c r="F285" s="109"/>
      <c r="G285" s="109"/>
      <c r="H285" s="109"/>
      <c r="I285" s="109"/>
      <c r="J285" s="109"/>
    </row>
    <row r="286" spans="1:10">
      <c r="A286" s="108"/>
      <c r="B286" s="109"/>
      <c r="C286" s="109"/>
      <c r="D286" s="109"/>
      <c r="E286" s="109"/>
      <c r="F286" s="109"/>
      <c r="G286" s="109"/>
      <c r="H286" s="109"/>
      <c r="I286" s="109"/>
      <c r="J286" s="109"/>
    </row>
    <row r="287" spans="1:10">
      <c r="A287" s="108"/>
      <c r="B287" s="109"/>
      <c r="C287" s="109"/>
      <c r="D287" s="109"/>
      <c r="E287" s="109"/>
      <c r="F287" s="109"/>
      <c r="G287" s="109"/>
      <c r="H287" s="109"/>
      <c r="I287" s="109"/>
      <c r="J287" s="109"/>
    </row>
    <row r="288" spans="1:10">
      <c r="A288" s="108"/>
      <c r="B288" s="109"/>
      <c r="C288" s="109"/>
      <c r="D288" s="109"/>
      <c r="E288" s="109"/>
      <c r="F288" s="109"/>
      <c r="G288" s="109"/>
      <c r="H288" s="109"/>
      <c r="I288" s="109"/>
      <c r="J288" s="109"/>
    </row>
    <row r="289" spans="1:10">
      <c r="A289" s="108"/>
      <c r="B289" s="109"/>
      <c r="C289" s="109"/>
      <c r="D289" s="109"/>
      <c r="E289" s="109"/>
      <c r="F289" s="109"/>
      <c r="G289" s="109"/>
      <c r="H289" s="109"/>
      <c r="I289" s="109"/>
      <c r="J289" s="109"/>
    </row>
    <row r="290" spans="1:10">
      <c r="A290" s="108"/>
      <c r="B290" s="109"/>
      <c r="C290" s="109"/>
      <c r="D290" s="109"/>
      <c r="E290" s="109"/>
      <c r="F290" s="109"/>
      <c r="G290" s="109"/>
      <c r="H290" s="109"/>
      <c r="I290" s="109"/>
      <c r="J290" s="109"/>
    </row>
    <row r="291" spans="1:10">
      <c r="A291" s="108"/>
      <c r="B291" s="109"/>
      <c r="C291" s="109"/>
      <c r="D291" s="109"/>
      <c r="E291" s="109"/>
      <c r="F291" s="109"/>
      <c r="G291" s="109"/>
      <c r="H291" s="109"/>
      <c r="I291" s="109"/>
      <c r="J291" s="109"/>
    </row>
    <row r="292" spans="1:10">
      <c r="A292" s="108"/>
      <c r="B292" s="109"/>
      <c r="C292" s="109"/>
      <c r="D292" s="109"/>
      <c r="E292" s="109"/>
      <c r="F292" s="109"/>
      <c r="G292" s="109"/>
      <c r="H292" s="109"/>
      <c r="I292" s="109"/>
      <c r="J292" s="109"/>
    </row>
    <row r="293" spans="1:10">
      <c r="A293" s="108"/>
      <c r="B293" s="109"/>
      <c r="C293" s="109"/>
      <c r="D293" s="109"/>
      <c r="E293" s="109"/>
      <c r="F293" s="109"/>
      <c r="G293" s="109"/>
      <c r="H293" s="109"/>
      <c r="I293" s="109"/>
      <c r="J293" s="109"/>
    </row>
    <row r="294" spans="1:10">
      <c r="A294" s="108"/>
      <c r="B294" s="109"/>
      <c r="C294" s="109"/>
      <c r="D294" s="109"/>
      <c r="E294" s="109"/>
      <c r="F294" s="109"/>
      <c r="G294" s="109"/>
      <c r="H294" s="109"/>
      <c r="I294" s="109"/>
      <c r="J294" s="109"/>
    </row>
    <row r="295" spans="1:10">
      <c r="A295" s="108"/>
      <c r="B295" s="109"/>
      <c r="C295" s="109"/>
      <c r="D295" s="109"/>
      <c r="E295" s="109"/>
      <c r="F295" s="109"/>
      <c r="G295" s="109"/>
      <c r="H295" s="109"/>
      <c r="I295" s="109"/>
      <c r="J295" s="109"/>
    </row>
    <row r="296" spans="1:10">
      <c r="A296" s="108"/>
      <c r="B296" s="109"/>
      <c r="C296" s="109"/>
      <c r="D296" s="109"/>
      <c r="E296" s="109"/>
      <c r="F296" s="109"/>
      <c r="G296" s="109"/>
      <c r="H296" s="109"/>
      <c r="I296" s="109"/>
      <c r="J296" s="109"/>
    </row>
    <row r="297" spans="1:10">
      <c r="A297" s="108"/>
      <c r="B297" s="109"/>
      <c r="C297" s="109"/>
      <c r="D297" s="109"/>
      <c r="E297" s="109"/>
      <c r="F297" s="109"/>
      <c r="G297" s="109"/>
      <c r="H297" s="109"/>
      <c r="I297" s="109"/>
      <c r="J297" s="109"/>
    </row>
    <row r="298" spans="1:10">
      <c r="A298" s="108"/>
      <c r="B298" s="109"/>
      <c r="C298" s="109"/>
      <c r="D298" s="109"/>
      <c r="E298" s="109"/>
      <c r="F298" s="109"/>
      <c r="G298" s="109"/>
      <c r="H298" s="109"/>
      <c r="I298" s="109"/>
      <c r="J298" s="109"/>
    </row>
    <row r="299" spans="1:10">
      <c r="A299" s="108"/>
      <c r="B299" s="109"/>
      <c r="C299" s="109"/>
      <c r="D299" s="109"/>
      <c r="E299" s="109"/>
      <c r="F299" s="109"/>
      <c r="G299" s="109"/>
      <c r="H299" s="109"/>
      <c r="I299" s="109"/>
      <c r="J299" s="109"/>
    </row>
    <row r="300" spans="1:10">
      <c r="A300" s="108"/>
      <c r="B300" s="109"/>
      <c r="C300" s="109"/>
      <c r="D300" s="109"/>
      <c r="E300" s="109"/>
      <c r="F300" s="109"/>
      <c r="G300" s="109"/>
      <c r="H300" s="109"/>
      <c r="I300" s="109"/>
      <c r="J300" s="109"/>
    </row>
    <row r="301" spans="1:10">
      <c r="A301" s="108"/>
      <c r="B301" s="109"/>
      <c r="C301" s="109"/>
      <c r="D301" s="109"/>
      <c r="E301" s="109"/>
      <c r="F301" s="109"/>
      <c r="G301" s="109"/>
      <c r="H301" s="109"/>
      <c r="I301" s="109"/>
      <c r="J301" s="109"/>
    </row>
    <row r="302" spans="1:10">
      <c r="A302" s="108"/>
      <c r="B302" s="109"/>
      <c r="C302" s="109"/>
      <c r="D302" s="109"/>
      <c r="E302" s="109"/>
      <c r="F302" s="109"/>
      <c r="G302" s="109"/>
      <c r="H302" s="109"/>
      <c r="I302" s="109"/>
      <c r="J302" s="109"/>
    </row>
    <row r="303" spans="1:10">
      <c r="A303" s="108"/>
      <c r="B303" s="109"/>
      <c r="C303" s="109"/>
      <c r="D303" s="109"/>
      <c r="E303" s="109"/>
      <c r="F303" s="109"/>
      <c r="G303" s="109"/>
      <c r="H303" s="109"/>
      <c r="I303" s="109"/>
      <c r="J303" s="109"/>
    </row>
    <row r="304" spans="1:10">
      <c r="A304" s="108"/>
      <c r="B304" s="109"/>
      <c r="C304" s="109"/>
      <c r="D304" s="109"/>
      <c r="E304" s="109"/>
      <c r="F304" s="109"/>
      <c r="G304" s="109"/>
      <c r="H304" s="109"/>
      <c r="I304" s="109"/>
      <c r="J304" s="109"/>
    </row>
    <row r="305" spans="1:10">
      <c r="A305" s="108"/>
      <c r="B305" s="109"/>
      <c r="C305" s="109"/>
      <c r="D305" s="109"/>
      <c r="E305" s="109"/>
      <c r="F305" s="109"/>
      <c r="G305" s="109"/>
      <c r="H305" s="109"/>
      <c r="I305" s="109"/>
      <c r="J305" s="109"/>
    </row>
    <row r="306" spans="1:10">
      <c r="A306" s="108"/>
      <c r="B306" s="109"/>
      <c r="C306" s="109"/>
      <c r="D306" s="109"/>
      <c r="E306" s="109"/>
      <c r="F306" s="109"/>
      <c r="G306" s="109"/>
      <c r="H306" s="109"/>
      <c r="I306" s="109"/>
      <c r="J306" s="109"/>
    </row>
    <row r="307" spans="1:10">
      <c r="A307" s="108"/>
      <c r="B307" s="109"/>
      <c r="C307" s="109"/>
      <c r="D307" s="109"/>
      <c r="E307" s="109"/>
      <c r="F307" s="109"/>
      <c r="G307" s="109"/>
      <c r="H307" s="109"/>
      <c r="I307" s="109"/>
      <c r="J307" s="109"/>
    </row>
    <row r="308" spans="1:10">
      <c r="A308" s="108"/>
      <c r="B308" s="109"/>
      <c r="C308" s="109"/>
      <c r="D308" s="109"/>
      <c r="E308" s="109"/>
      <c r="F308" s="109"/>
      <c r="G308" s="109"/>
      <c r="H308" s="109"/>
      <c r="I308" s="109"/>
      <c r="J308" s="109"/>
    </row>
    <row r="309" spans="1:10">
      <c r="A309" s="108"/>
      <c r="B309" s="109"/>
      <c r="C309" s="109"/>
      <c r="D309" s="109"/>
      <c r="E309" s="109"/>
      <c r="F309" s="109"/>
      <c r="G309" s="109"/>
      <c r="H309" s="109"/>
      <c r="I309" s="109"/>
      <c r="J309" s="109"/>
    </row>
    <row r="310" spans="1:10">
      <c r="A310" s="108"/>
      <c r="B310" s="109"/>
      <c r="C310" s="109"/>
      <c r="D310" s="109"/>
      <c r="E310" s="109"/>
      <c r="F310" s="109"/>
      <c r="G310" s="109"/>
      <c r="H310" s="109"/>
      <c r="I310" s="109"/>
      <c r="J310" s="109"/>
    </row>
    <row r="311" spans="1:10">
      <c r="A311" s="108"/>
      <c r="B311" s="109"/>
      <c r="C311" s="109"/>
      <c r="D311" s="109"/>
      <c r="E311" s="109"/>
      <c r="F311" s="109"/>
      <c r="G311" s="109"/>
      <c r="H311" s="109"/>
      <c r="I311" s="109"/>
      <c r="J311" s="109"/>
    </row>
    <row r="312" spans="1:10">
      <c r="A312" s="108"/>
      <c r="B312" s="109"/>
      <c r="C312" s="109"/>
      <c r="D312" s="109"/>
      <c r="E312" s="109"/>
      <c r="F312" s="109"/>
      <c r="G312" s="109"/>
      <c r="H312" s="109"/>
      <c r="I312" s="109"/>
      <c r="J312" s="109"/>
    </row>
    <row r="313" spans="1:10">
      <c r="A313" s="108"/>
      <c r="B313" s="109"/>
      <c r="C313" s="109"/>
      <c r="D313" s="109"/>
      <c r="E313" s="109"/>
      <c r="F313" s="109"/>
      <c r="G313" s="109"/>
      <c r="H313" s="109"/>
      <c r="I313" s="109"/>
      <c r="J313" s="109"/>
    </row>
    <row r="314" spans="1:10">
      <c r="A314" s="108"/>
      <c r="B314" s="109"/>
      <c r="C314" s="109"/>
      <c r="D314" s="109"/>
      <c r="E314" s="109"/>
      <c r="F314" s="109"/>
      <c r="G314" s="109"/>
      <c r="H314" s="109"/>
      <c r="I314" s="109"/>
      <c r="J314" s="109"/>
    </row>
    <row r="315" spans="1:10">
      <c r="A315" s="108"/>
      <c r="B315" s="109"/>
      <c r="C315" s="109"/>
      <c r="D315" s="109"/>
      <c r="E315" s="109"/>
      <c r="F315" s="109"/>
      <c r="G315" s="109"/>
      <c r="H315" s="109"/>
      <c r="I315" s="109"/>
      <c r="J315" s="109"/>
    </row>
    <row r="316" spans="1:10">
      <c r="A316" s="108"/>
      <c r="B316" s="109"/>
      <c r="C316" s="109"/>
      <c r="D316" s="109"/>
      <c r="E316" s="109"/>
      <c r="F316" s="109"/>
      <c r="G316" s="109"/>
      <c r="H316" s="109"/>
      <c r="I316" s="109"/>
      <c r="J316" s="109"/>
    </row>
    <row r="317" spans="1:10">
      <c r="A317" s="108"/>
      <c r="B317" s="109"/>
      <c r="C317" s="109"/>
      <c r="D317" s="109"/>
      <c r="E317" s="109"/>
      <c r="F317" s="109"/>
      <c r="G317" s="109"/>
      <c r="H317" s="109"/>
      <c r="I317" s="109"/>
      <c r="J317" s="109"/>
    </row>
    <row r="318" spans="1:10">
      <c r="A318" s="108"/>
      <c r="B318" s="109"/>
      <c r="C318" s="109"/>
      <c r="D318" s="109"/>
      <c r="E318" s="109"/>
      <c r="F318" s="109"/>
      <c r="G318" s="109"/>
      <c r="H318" s="109"/>
      <c r="I318" s="109"/>
      <c r="J318" s="109"/>
    </row>
    <row r="319" spans="1:10">
      <c r="A319" s="108"/>
      <c r="B319" s="109"/>
      <c r="C319" s="109"/>
      <c r="D319" s="109"/>
      <c r="E319" s="109"/>
      <c r="F319" s="109"/>
      <c r="G319" s="109"/>
      <c r="H319" s="109"/>
      <c r="I319" s="109"/>
      <c r="J319" s="109"/>
    </row>
    <row r="320" spans="1:10">
      <c r="A320" s="108"/>
      <c r="B320" s="109"/>
      <c r="C320" s="109"/>
      <c r="D320" s="109"/>
      <c r="E320" s="109"/>
      <c r="F320" s="109"/>
      <c r="G320" s="109"/>
      <c r="H320" s="109"/>
      <c r="I320" s="109"/>
      <c r="J320" s="109"/>
    </row>
    <row r="321" spans="1:10">
      <c r="A321" s="108"/>
      <c r="B321" s="109"/>
      <c r="C321" s="109"/>
      <c r="D321" s="109"/>
      <c r="E321" s="109"/>
      <c r="F321" s="109"/>
      <c r="G321" s="109"/>
      <c r="H321" s="109"/>
      <c r="I321" s="109"/>
      <c r="J321" s="109"/>
    </row>
    <row r="322" spans="1:10">
      <c r="A322" s="108"/>
      <c r="B322" s="109"/>
      <c r="C322" s="109"/>
      <c r="D322" s="109"/>
      <c r="E322" s="109"/>
      <c r="F322" s="109"/>
      <c r="G322" s="109"/>
      <c r="H322" s="109"/>
      <c r="I322" s="109"/>
      <c r="J322" s="109"/>
    </row>
    <row r="323" spans="1:10">
      <c r="A323" s="108"/>
      <c r="B323" s="109"/>
      <c r="C323" s="109"/>
      <c r="D323" s="109"/>
      <c r="E323" s="109"/>
      <c r="F323" s="109"/>
      <c r="G323" s="109"/>
      <c r="H323" s="109"/>
      <c r="I323" s="109"/>
      <c r="J323" s="109"/>
    </row>
    <row r="324" spans="1:10">
      <c r="A324" s="108"/>
      <c r="B324" s="109"/>
      <c r="C324" s="109"/>
      <c r="D324" s="109"/>
      <c r="E324" s="109"/>
      <c r="F324" s="109"/>
      <c r="G324" s="109"/>
      <c r="H324" s="109"/>
      <c r="I324" s="109"/>
      <c r="J324" s="109"/>
    </row>
    <row r="325" spans="1:10">
      <c r="A325" s="108"/>
      <c r="B325" s="109"/>
      <c r="C325" s="109"/>
      <c r="D325" s="109"/>
      <c r="E325" s="109"/>
      <c r="F325" s="109"/>
      <c r="G325" s="109"/>
      <c r="H325" s="109"/>
      <c r="I325" s="109"/>
      <c r="J325" s="109"/>
    </row>
    <row r="326" spans="1:10">
      <c r="A326" s="108"/>
      <c r="B326" s="109"/>
      <c r="C326" s="109"/>
      <c r="D326" s="109"/>
      <c r="E326" s="109"/>
      <c r="F326" s="109"/>
      <c r="G326" s="109"/>
      <c r="H326" s="109"/>
      <c r="I326" s="109"/>
      <c r="J326" s="109"/>
    </row>
    <row r="327" spans="1:10">
      <c r="A327" s="108"/>
      <c r="B327" s="109"/>
      <c r="C327" s="109"/>
      <c r="D327" s="109"/>
      <c r="E327" s="109"/>
      <c r="F327" s="109"/>
      <c r="G327" s="109"/>
      <c r="H327" s="109"/>
      <c r="I327" s="109"/>
      <c r="J327" s="109"/>
    </row>
    <row r="328" spans="1:10">
      <c r="A328" s="108"/>
      <c r="B328" s="109"/>
      <c r="C328" s="109"/>
      <c r="D328" s="109"/>
      <c r="E328" s="109"/>
      <c r="F328" s="109"/>
      <c r="G328" s="109"/>
      <c r="H328" s="109"/>
      <c r="I328" s="109"/>
      <c r="J328" s="109"/>
    </row>
    <row r="329" spans="1:10">
      <c r="A329" s="108"/>
      <c r="B329" s="109"/>
      <c r="C329" s="109"/>
      <c r="D329" s="109"/>
      <c r="E329" s="109"/>
      <c r="F329" s="109"/>
      <c r="G329" s="109"/>
      <c r="H329" s="109"/>
      <c r="I329" s="109"/>
      <c r="J329" s="109"/>
    </row>
    <row r="330" spans="1:10">
      <c r="A330" s="108"/>
      <c r="B330" s="109"/>
      <c r="C330" s="109"/>
      <c r="D330" s="109"/>
      <c r="E330" s="109"/>
      <c r="F330" s="109"/>
      <c r="G330" s="109"/>
      <c r="H330" s="109"/>
      <c r="I330" s="109"/>
      <c r="J330" s="109"/>
    </row>
    <row r="331" spans="1:10">
      <c r="A331" s="108"/>
      <c r="B331" s="109"/>
      <c r="C331" s="109"/>
      <c r="D331" s="109"/>
      <c r="E331" s="109"/>
      <c r="F331" s="109"/>
      <c r="G331" s="109"/>
      <c r="H331" s="109"/>
      <c r="I331" s="109"/>
      <c r="J331" s="109"/>
    </row>
    <row r="332" spans="1:10">
      <c r="A332" s="108"/>
      <c r="B332" s="109"/>
      <c r="C332" s="109"/>
      <c r="D332" s="109"/>
      <c r="E332" s="109"/>
      <c r="F332" s="109"/>
      <c r="G332" s="109"/>
      <c r="H332" s="109"/>
      <c r="I332" s="109"/>
      <c r="J332" s="109"/>
    </row>
    <row r="333" spans="1:10">
      <c r="A333" s="108"/>
      <c r="B333" s="109"/>
      <c r="C333" s="109"/>
      <c r="D333" s="109"/>
      <c r="E333" s="109"/>
      <c r="F333" s="109"/>
      <c r="G333" s="109"/>
      <c r="H333" s="109"/>
      <c r="I333" s="109"/>
      <c r="J333" s="109"/>
    </row>
    <row r="334" spans="1:10">
      <c r="A334" s="108"/>
      <c r="B334" s="109"/>
      <c r="C334" s="109"/>
      <c r="D334" s="109"/>
      <c r="E334" s="109"/>
      <c r="F334" s="109"/>
      <c r="G334" s="109"/>
      <c r="H334" s="109"/>
      <c r="I334" s="109"/>
      <c r="J334" s="109"/>
    </row>
    <row r="335" spans="1:10">
      <c r="A335" s="108"/>
      <c r="B335" s="109"/>
      <c r="C335" s="109"/>
      <c r="D335" s="109"/>
      <c r="E335" s="109"/>
      <c r="F335" s="109"/>
      <c r="G335" s="109"/>
      <c r="H335" s="109"/>
      <c r="I335" s="109"/>
      <c r="J335" s="109"/>
    </row>
    <row r="336" spans="1:10">
      <c r="A336" s="108"/>
      <c r="B336" s="109"/>
      <c r="C336" s="109"/>
      <c r="D336" s="109"/>
      <c r="E336" s="109"/>
      <c r="F336" s="109"/>
      <c r="G336" s="109"/>
      <c r="H336" s="109"/>
      <c r="I336" s="109"/>
      <c r="J336" s="109"/>
    </row>
    <row r="337" spans="1:10">
      <c r="A337" s="108"/>
      <c r="B337" s="109"/>
      <c r="C337" s="109"/>
      <c r="D337" s="109"/>
      <c r="E337" s="109"/>
      <c r="F337" s="109"/>
      <c r="G337" s="109"/>
      <c r="H337" s="109"/>
      <c r="I337" s="109"/>
      <c r="J337" s="109"/>
    </row>
    <row r="338" spans="1:10">
      <c r="A338" s="108"/>
      <c r="B338" s="109"/>
      <c r="C338" s="109"/>
      <c r="D338" s="109"/>
      <c r="E338" s="109"/>
      <c r="F338" s="109"/>
      <c r="G338" s="109"/>
      <c r="H338" s="109"/>
      <c r="I338" s="109"/>
      <c r="J338" s="109"/>
    </row>
    <row r="339" spans="1:10">
      <c r="A339" s="108"/>
      <c r="B339" s="109"/>
      <c r="C339" s="109"/>
      <c r="D339" s="109"/>
      <c r="E339" s="109"/>
      <c r="F339" s="109"/>
      <c r="G339" s="109"/>
      <c r="H339" s="109"/>
      <c r="I339" s="109"/>
      <c r="J339" s="109"/>
    </row>
    <row r="340" spans="1:10">
      <c r="A340" s="108"/>
      <c r="B340" s="109"/>
      <c r="C340" s="109"/>
      <c r="D340" s="109"/>
      <c r="E340" s="109"/>
      <c r="F340" s="109"/>
      <c r="G340" s="109"/>
      <c r="H340" s="109"/>
      <c r="I340" s="109"/>
      <c r="J340" s="109"/>
    </row>
    <row r="341" spans="1:10">
      <c r="A341" s="108"/>
      <c r="B341" s="109"/>
      <c r="C341" s="109"/>
      <c r="D341" s="109"/>
      <c r="E341" s="109"/>
      <c r="F341" s="109"/>
      <c r="G341" s="109"/>
      <c r="H341" s="109"/>
      <c r="I341" s="109"/>
      <c r="J341" s="109"/>
    </row>
    <row r="342" spans="1:10">
      <c r="A342" s="108"/>
      <c r="B342" s="109"/>
      <c r="C342" s="109"/>
      <c r="D342" s="109"/>
      <c r="E342" s="109"/>
      <c r="F342" s="109"/>
      <c r="G342" s="109"/>
      <c r="H342" s="109"/>
      <c r="I342" s="109"/>
      <c r="J342" s="109"/>
    </row>
    <row r="343" spans="1:10">
      <c r="A343" s="108"/>
      <c r="B343" s="109"/>
      <c r="C343" s="109"/>
      <c r="D343" s="109"/>
      <c r="E343" s="109"/>
      <c r="F343" s="109"/>
      <c r="G343" s="109"/>
      <c r="H343" s="109"/>
      <c r="I343" s="109"/>
      <c r="J343" s="109"/>
    </row>
    <row r="344" spans="1:10">
      <c r="A344" s="108"/>
      <c r="B344" s="109"/>
      <c r="C344" s="109"/>
      <c r="D344" s="109"/>
      <c r="E344" s="109"/>
      <c r="F344" s="109"/>
      <c r="G344" s="109"/>
      <c r="H344" s="109"/>
      <c r="I344" s="109"/>
      <c r="J344" s="109"/>
    </row>
    <row r="345" spans="1:10">
      <c r="A345" s="108"/>
      <c r="B345" s="109"/>
      <c r="C345" s="109"/>
      <c r="D345" s="109"/>
      <c r="E345" s="109"/>
      <c r="F345" s="109"/>
      <c r="G345" s="109"/>
      <c r="H345" s="109"/>
      <c r="I345" s="109"/>
      <c r="J345" s="109"/>
    </row>
    <row r="346" spans="1:10">
      <c r="A346" s="108"/>
      <c r="B346" s="109"/>
      <c r="C346" s="109"/>
      <c r="D346" s="109"/>
      <c r="E346" s="109"/>
      <c r="F346" s="109"/>
      <c r="G346" s="109"/>
      <c r="H346" s="109"/>
      <c r="I346" s="109"/>
      <c r="J346" s="109"/>
    </row>
    <row r="347" spans="1:10">
      <c r="A347" s="108"/>
      <c r="B347" s="109"/>
      <c r="C347" s="109"/>
      <c r="D347" s="109"/>
      <c r="E347" s="109"/>
      <c r="F347" s="109"/>
      <c r="G347" s="109"/>
      <c r="H347" s="109"/>
      <c r="I347" s="109"/>
      <c r="J347" s="109"/>
    </row>
    <row r="348" spans="1:10">
      <c r="A348" s="108"/>
      <c r="B348" s="109"/>
      <c r="C348" s="109"/>
      <c r="D348" s="109"/>
      <c r="E348" s="109"/>
      <c r="F348" s="109"/>
      <c r="G348" s="109"/>
      <c r="H348" s="109"/>
      <c r="I348" s="109"/>
      <c r="J348" s="109"/>
    </row>
    <row r="349" spans="1:10">
      <c r="A349" s="108"/>
      <c r="B349" s="109"/>
      <c r="C349" s="109"/>
      <c r="D349" s="109"/>
      <c r="E349" s="109"/>
      <c r="F349" s="109"/>
      <c r="G349" s="109"/>
      <c r="H349" s="109"/>
      <c r="I349" s="109"/>
      <c r="J349" s="109"/>
    </row>
    <row r="350" spans="1:10">
      <c r="A350" s="108"/>
      <c r="B350" s="109"/>
      <c r="C350" s="109"/>
      <c r="D350" s="109"/>
      <c r="E350" s="109"/>
      <c r="F350" s="109"/>
      <c r="G350" s="109"/>
      <c r="H350" s="109"/>
      <c r="I350" s="109"/>
      <c r="J350" s="109"/>
    </row>
    <row r="351" spans="1:10">
      <c r="A351" s="108"/>
      <c r="B351" s="109"/>
      <c r="C351" s="109"/>
      <c r="D351" s="109"/>
      <c r="E351" s="109"/>
      <c r="F351" s="109"/>
      <c r="G351" s="109"/>
      <c r="H351" s="109"/>
      <c r="I351" s="109"/>
      <c r="J351" s="109"/>
    </row>
    <row r="352" spans="1:10">
      <c r="A352" s="108"/>
      <c r="B352" s="109"/>
      <c r="C352" s="109"/>
      <c r="D352" s="109"/>
      <c r="E352" s="109"/>
      <c r="F352" s="109"/>
      <c r="G352" s="109"/>
      <c r="H352" s="109"/>
      <c r="I352" s="109"/>
      <c r="J352" s="109"/>
    </row>
    <row r="353" spans="1:10">
      <c r="A353" s="108"/>
      <c r="B353" s="109"/>
      <c r="C353" s="109"/>
      <c r="D353" s="109"/>
      <c r="E353" s="109"/>
      <c r="F353" s="109"/>
      <c r="G353" s="109"/>
      <c r="H353" s="109"/>
      <c r="I353" s="109"/>
      <c r="J353" s="109"/>
    </row>
    <row r="354" spans="1:10">
      <c r="A354" s="108"/>
      <c r="B354" s="109"/>
      <c r="C354" s="109"/>
      <c r="D354" s="109"/>
      <c r="E354" s="109"/>
      <c r="F354" s="109"/>
      <c r="G354" s="109"/>
      <c r="H354" s="109"/>
      <c r="I354" s="109"/>
      <c r="J354" s="109"/>
    </row>
    <row r="355" spans="1:10">
      <c r="A355" s="108"/>
      <c r="B355" s="109"/>
      <c r="C355" s="109"/>
      <c r="D355" s="109"/>
      <c r="E355" s="109"/>
      <c r="F355" s="109"/>
      <c r="G355" s="109"/>
      <c r="H355" s="109"/>
      <c r="I355" s="109"/>
      <c r="J355" s="109"/>
    </row>
    <row r="356" spans="1:10">
      <c r="A356" s="108"/>
      <c r="B356" s="109"/>
      <c r="C356" s="109"/>
      <c r="D356" s="109"/>
      <c r="E356" s="109"/>
      <c r="F356" s="109"/>
      <c r="G356" s="109"/>
      <c r="H356" s="109"/>
      <c r="I356" s="109"/>
      <c r="J356" s="109"/>
    </row>
    <row r="357" spans="1:10">
      <c r="A357" s="108"/>
      <c r="B357" s="109"/>
      <c r="C357" s="109"/>
      <c r="D357" s="109"/>
      <c r="E357" s="109"/>
      <c r="F357" s="109"/>
      <c r="G357" s="109"/>
      <c r="H357" s="109"/>
      <c r="I357" s="109"/>
      <c r="J357" s="109"/>
    </row>
    <row r="358" spans="1:10">
      <c r="A358" s="108"/>
      <c r="B358" s="109"/>
      <c r="C358" s="109"/>
      <c r="D358" s="109"/>
      <c r="E358" s="109"/>
      <c r="F358" s="109"/>
      <c r="G358" s="109"/>
      <c r="H358" s="109"/>
      <c r="I358" s="109"/>
      <c r="J358" s="109"/>
    </row>
    <row r="359" spans="1:10">
      <c r="A359" s="108"/>
      <c r="B359" s="109"/>
      <c r="C359" s="109"/>
      <c r="D359" s="109"/>
      <c r="E359" s="109"/>
      <c r="F359" s="109"/>
      <c r="G359" s="109"/>
      <c r="H359" s="109"/>
      <c r="I359" s="109"/>
      <c r="J359" s="109"/>
    </row>
    <row r="360" spans="1:10">
      <c r="A360" s="108"/>
      <c r="B360" s="109"/>
      <c r="C360" s="109"/>
      <c r="D360" s="109"/>
      <c r="E360" s="109"/>
      <c r="F360" s="109"/>
      <c r="G360" s="109"/>
      <c r="H360" s="109"/>
      <c r="I360" s="109"/>
      <c r="J360" s="109"/>
    </row>
    <row r="361" spans="1:10">
      <c r="A361" s="108"/>
      <c r="B361" s="109"/>
      <c r="C361" s="109"/>
      <c r="D361" s="109"/>
      <c r="E361" s="109"/>
      <c r="F361" s="109"/>
      <c r="G361" s="109"/>
      <c r="H361" s="109"/>
      <c r="I361" s="109"/>
      <c r="J361" s="109"/>
    </row>
    <row r="362" spans="1:10">
      <c r="A362" s="108"/>
      <c r="B362" s="109"/>
      <c r="C362" s="109"/>
      <c r="D362" s="109"/>
      <c r="E362" s="109"/>
      <c r="F362" s="109"/>
      <c r="G362" s="109"/>
      <c r="H362" s="109"/>
      <c r="I362" s="109"/>
      <c r="J362" s="109"/>
    </row>
    <row r="363" spans="1:10">
      <c r="A363" s="108"/>
      <c r="B363" s="109"/>
      <c r="C363" s="109"/>
      <c r="D363" s="109"/>
      <c r="E363" s="109"/>
      <c r="F363" s="109"/>
      <c r="G363" s="109"/>
      <c r="H363" s="109"/>
      <c r="I363" s="109"/>
      <c r="J363" s="109"/>
    </row>
    <row r="364" spans="1:10">
      <c r="A364" s="108"/>
      <c r="B364" s="109"/>
      <c r="C364" s="109"/>
      <c r="D364" s="109"/>
      <c r="E364" s="109"/>
      <c r="F364" s="109"/>
      <c r="G364" s="109"/>
      <c r="H364" s="109"/>
      <c r="I364" s="109"/>
      <c r="J364" s="109"/>
    </row>
    <row r="365" spans="1:10">
      <c r="A365" s="108"/>
      <c r="B365" s="109"/>
      <c r="C365" s="109"/>
      <c r="D365" s="109"/>
      <c r="E365" s="109"/>
      <c r="F365" s="109"/>
      <c r="G365" s="109"/>
      <c r="H365" s="109"/>
      <c r="I365" s="109"/>
      <c r="J365" s="109"/>
    </row>
    <row r="366" spans="1:10">
      <c r="A366" s="108"/>
      <c r="B366" s="109"/>
      <c r="C366" s="109"/>
      <c r="D366" s="109"/>
      <c r="E366" s="109"/>
      <c r="F366" s="109"/>
      <c r="G366" s="109"/>
      <c r="H366" s="109"/>
      <c r="I366" s="109"/>
      <c r="J366" s="109"/>
    </row>
    <row r="367" spans="1:10">
      <c r="A367" s="108"/>
      <c r="B367" s="109"/>
      <c r="C367" s="109"/>
      <c r="D367" s="109"/>
      <c r="E367" s="109"/>
      <c r="F367" s="109"/>
      <c r="G367" s="109"/>
      <c r="H367" s="109"/>
      <c r="I367" s="109"/>
      <c r="J367" s="109"/>
    </row>
    <row r="368" spans="1:10">
      <c r="A368" s="108"/>
      <c r="B368" s="109"/>
      <c r="C368" s="109"/>
      <c r="D368" s="109"/>
      <c r="E368" s="109"/>
      <c r="F368" s="109"/>
      <c r="G368" s="109"/>
      <c r="H368" s="109"/>
      <c r="I368" s="109"/>
      <c r="J368" s="109"/>
    </row>
    <row r="369" spans="1:10">
      <c r="A369" s="108"/>
      <c r="B369" s="109"/>
      <c r="C369" s="109"/>
      <c r="D369" s="109"/>
      <c r="E369" s="109"/>
      <c r="F369" s="109"/>
      <c r="G369" s="109"/>
      <c r="H369" s="109"/>
      <c r="I369" s="109"/>
      <c r="J369" s="109"/>
    </row>
    <row r="370" spans="1:10">
      <c r="A370" s="108"/>
      <c r="B370" s="109"/>
      <c r="C370" s="109"/>
      <c r="D370" s="109"/>
      <c r="E370" s="109"/>
      <c r="F370" s="109"/>
      <c r="G370" s="109"/>
      <c r="H370" s="109"/>
      <c r="I370" s="109"/>
      <c r="J370" s="109"/>
    </row>
    <row r="371" spans="1:10">
      <c r="A371" s="108"/>
      <c r="B371" s="109"/>
      <c r="C371" s="109"/>
      <c r="D371" s="109"/>
      <c r="E371" s="109"/>
      <c r="F371" s="109"/>
      <c r="G371" s="109"/>
      <c r="H371" s="109"/>
      <c r="I371" s="109"/>
      <c r="J371" s="109"/>
    </row>
    <row r="372" spans="1:10">
      <c r="A372" s="108"/>
      <c r="B372" s="109"/>
      <c r="C372" s="109"/>
      <c r="D372" s="109"/>
      <c r="E372" s="109"/>
      <c r="F372" s="109"/>
      <c r="G372" s="109"/>
      <c r="H372" s="109"/>
      <c r="I372" s="109"/>
      <c r="J372" s="109"/>
    </row>
    <row r="373" spans="1:10">
      <c r="A373" s="108"/>
      <c r="B373" s="109"/>
      <c r="C373" s="109"/>
      <c r="D373" s="109"/>
      <c r="E373" s="109"/>
      <c r="F373" s="109"/>
      <c r="G373" s="109"/>
      <c r="H373" s="109"/>
      <c r="I373" s="109"/>
      <c r="J373" s="109"/>
    </row>
    <row r="374" spans="1:10">
      <c r="A374" s="108"/>
      <c r="B374" s="109"/>
      <c r="C374" s="109"/>
      <c r="D374" s="109"/>
      <c r="E374" s="109"/>
      <c r="F374" s="109"/>
      <c r="G374" s="109"/>
      <c r="H374" s="109"/>
      <c r="I374" s="109"/>
      <c r="J374" s="109"/>
    </row>
    <row r="375" spans="1:10">
      <c r="A375" s="108"/>
      <c r="B375" s="109"/>
      <c r="C375" s="109"/>
      <c r="D375" s="109"/>
      <c r="E375" s="109"/>
      <c r="F375" s="109"/>
      <c r="G375" s="109"/>
      <c r="H375" s="109"/>
      <c r="I375" s="109"/>
      <c r="J375" s="109"/>
    </row>
    <row r="376" spans="1:10">
      <c r="A376" s="108"/>
      <c r="B376" s="109"/>
      <c r="C376" s="109"/>
      <c r="D376" s="109"/>
      <c r="E376" s="109"/>
      <c r="F376" s="109"/>
      <c r="G376" s="109"/>
      <c r="H376" s="109"/>
      <c r="I376" s="109"/>
      <c r="J376" s="109"/>
    </row>
    <row r="377" spans="1:10">
      <c r="A377" s="108"/>
      <c r="B377" s="109"/>
      <c r="C377" s="109"/>
      <c r="D377" s="109"/>
      <c r="E377" s="109"/>
      <c r="F377" s="109"/>
      <c r="G377" s="109"/>
      <c r="H377" s="109"/>
      <c r="I377" s="109"/>
      <c r="J377" s="109"/>
    </row>
    <row r="378" spans="1:10">
      <c r="A378" s="108"/>
      <c r="B378" s="109"/>
      <c r="C378" s="109"/>
      <c r="D378" s="109"/>
      <c r="E378" s="109"/>
      <c r="F378" s="109"/>
      <c r="G378" s="109"/>
      <c r="H378" s="109"/>
      <c r="I378" s="109"/>
      <c r="J378" s="109"/>
    </row>
    <row r="379" spans="1:10">
      <c r="A379" s="108"/>
      <c r="B379" s="109"/>
      <c r="C379" s="109"/>
      <c r="D379" s="109"/>
      <c r="E379" s="109"/>
      <c r="F379" s="109"/>
      <c r="G379" s="109"/>
      <c r="H379" s="109"/>
      <c r="I379" s="109"/>
      <c r="J379" s="109"/>
    </row>
    <row r="380" spans="1:10">
      <c r="A380" s="108"/>
      <c r="B380" s="109"/>
      <c r="C380" s="109"/>
      <c r="D380" s="109"/>
      <c r="E380" s="109"/>
      <c r="F380" s="109"/>
      <c r="G380" s="109"/>
      <c r="H380" s="109"/>
      <c r="I380" s="109"/>
      <c r="J380" s="109"/>
    </row>
    <row r="381" spans="1:10">
      <c r="A381" s="108"/>
      <c r="B381" s="109"/>
      <c r="C381" s="109"/>
      <c r="D381" s="109"/>
      <c r="E381" s="109"/>
      <c r="F381" s="109"/>
      <c r="G381" s="109"/>
      <c r="H381" s="109"/>
      <c r="I381" s="109"/>
      <c r="J381" s="109"/>
    </row>
    <row r="382" spans="1:10">
      <c r="A382" s="108"/>
      <c r="B382" s="109"/>
      <c r="C382" s="109"/>
      <c r="D382" s="109"/>
      <c r="E382" s="109"/>
      <c r="F382" s="109"/>
      <c r="G382" s="109"/>
      <c r="H382" s="109"/>
      <c r="I382" s="109"/>
      <c r="J382" s="109"/>
    </row>
    <row r="383" spans="1:10">
      <c r="A383" s="108"/>
      <c r="B383" s="109"/>
      <c r="C383" s="109"/>
      <c r="D383" s="109"/>
      <c r="E383" s="109"/>
      <c r="F383" s="109"/>
      <c r="G383" s="109"/>
      <c r="H383" s="109"/>
      <c r="I383" s="109"/>
      <c r="J383" s="109"/>
    </row>
    <row r="384" spans="1:10">
      <c r="A384" s="108"/>
      <c r="B384" s="109"/>
      <c r="C384" s="109"/>
      <c r="D384" s="109"/>
      <c r="E384" s="109"/>
      <c r="F384" s="109"/>
      <c r="G384" s="109"/>
      <c r="H384" s="109"/>
      <c r="I384" s="109"/>
      <c r="J384" s="109"/>
    </row>
    <row r="385" spans="1:10">
      <c r="A385" s="108"/>
      <c r="B385" s="109"/>
      <c r="C385" s="109"/>
      <c r="D385" s="109"/>
      <c r="E385" s="109"/>
      <c r="F385" s="109"/>
      <c r="G385" s="109"/>
      <c r="H385" s="109"/>
      <c r="I385" s="109"/>
      <c r="J385" s="109"/>
    </row>
    <row r="386" spans="1:10">
      <c r="A386" s="108"/>
      <c r="B386" s="109"/>
      <c r="C386" s="109"/>
      <c r="D386" s="109"/>
      <c r="E386" s="109"/>
      <c r="F386" s="109"/>
      <c r="G386" s="109"/>
      <c r="H386" s="109"/>
      <c r="I386" s="109"/>
      <c r="J386" s="109"/>
    </row>
    <row r="387" spans="1:10">
      <c r="A387" s="108"/>
      <c r="B387" s="109"/>
      <c r="C387" s="109"/>
      <c r="D387" s="109"/>
      <c r="E387" s="109"/>
      <c r="F387" s="109"/>
      <c r="G387" s="109"/>
      <c r="H387" s="109"/>
      <c r="I387" s="109"/>
      <c r="J387" s="109"/>
    </row>
    <row r="388" spans="1:10">
      <c r="A388" s="108"/>
      <c r="B388" s="109"/>
      <c r="C388" s="109"/>
      <c r="D388" s="109"/>
      <c r="E388" s="109"/>
      <c r="F388" s="109"/>
      <c r="G388" s="109"/>
      <c r="H388" s="109"/>
      <c r="I388" s="109"/>
      <c r="J388" s="109"/>
    </row>
    <row r="389" spans="1:10">
      <c r="A389" s="108"/>
      <c r="B389" s="109"/>
      <c r="C389" s="109"/>
      <c r="D389" s="109"/>
      <c r="E389" s="109"/>
      <c r="F389" s="109"/>
      <c r="G389" s="109"/>
      <c r="H389" s="109"/>
      <c r="I389" s="109"/>
      <c r="J389" s="109"/>
    </row>
    <row r="390" spans="1:10">
      <c r="A390" s="108"/>
      <c r="B390" s="109"/>
      <c r="C390" s="109"/>
      <c r="D390" s="109"/>
      <c r="E390" s="109"/>
      <c r="F390" s="109"/>
      <c r="G390" s="109"/>
      <c r="H390" s="109"/>
      <c r="I390" s="109"/>
      <c r="J390" s="109"/>
    </row>
    <row r="391" spans="1:10">
      <c r="A391" s="108"/>
      <c r="B391" s="109"/>
      <c r="C391" s="109"/>
      <c r="D391" s="109"/>
      <c r="E391" s="109"/>
      <c r="F391" s="109"/>
      <c r="G391" s="109"/>
      <c r="H391" s="109"/>
      <c r="I391" s="109"/>
      <c r="J391" s="109"/>
    </row>
    <row r="392" spans="1:10">
      <c r="A392" s="108"/>
      <c r="B392" s="109"/>
      <c r="C392" s="109"/>
      <c r="D392" s="109"/>
      <c r="E392" s="109"/>
      <c r="F392" s="109"/>
      <c r="G392" s="109"/>
      <c r="H392" s="109"/>
      <c r="I392" s="109"/>
      <c r="J392" s="109"/>
    </row>
    <row r="393" spans="1:10">
      <c r="A393" s="108"/>
      <c r="B393" s="109"/>
      <c r="C393" s="109"/>
      <c r="D393" s="109"/>
      <c r="E393" s="109"/>
      <c r="F393" s="109"/>
      <c r="G393" s="109"/>
      <c r="H393" s="109"/>
      <c r="I393" s="109"/>
      <c r="J393" s="109"/>
    </row>
    <row r="394" spans="1:10">
      <c r="A394" s="108"/>
      <c r="B394" s="109"/>
      <c r="C394" s="109"/>
      <c r="D394" s="109"/>
      <c r="E394" s="109"/>
      <c r="F394" s="109"/>
      <c r="G394" s="109"/>
      <c r="H394" s="109"/>
      <c r="I394" s="109"/>
      <c r="J394" s="109"/>
    </row>
    <row r="395" spans="1:10">
      <c r="A395" s="108"/>
      <c r="B395" s="109"/>
      <c r="C395" s="109"/>
      <c r="D395" s="109"/>
      <c r="E395" s="109"/>
      <c r="F395" s="109"/>
      <c r="G395" s="109"/>
      <c r="H395" s="109"/>
      <c r="I395" s="109"/>
      <c r="J395" s="109"/>
    </row>
    <row r="396" spans="1:10">
      <c r="A396" s="108"/>
      <c r="B396" s="109"/>
      <c r="C396" s="109"/>
      <c r="D396" s="109"/>
      <c r="E396" s="109"/>
      <c r="F396" s="109"/>
      <c r="G396" s="109"/>
      <c r="H396" s="109"/>
      <c r="I396" s="109"/>
      <c r="J396" s="109"/>
    </row>
    <row r="397" spans="1:10">
      <c r="A397" s="108"/>
      <c r="B397" s="109"/>
      <c r="C397" s="109"/>
      <c r="D397" s="109"/>
      <c r="E397" s="109"/>
      <c r="F397" s="109"/>
      <c r="G397" s="109"/>
      <c r="H397" s="109"/>
      <c r="I397" s="109"/>
      <c r="J397" s="109"/>
    </row>
    <row r="398" spans="1:10">
      <c r="A398" s="108"/>
      <c r="B398" s="109"/>
      <c r="C398" s="109"/>
      <c r="D398" s="109"/>
      <c r="E398" s="109"/>
      <c r="F398" s="109"/>
      <c r="G398" s="109"/>
      <c r="H398" s="109"/>
      <c r="I398" s="109"/>
      <c r="J398" s="109"/>
    </row>
    <row r="399" spans="1:10">
      <c r="A399" s="108"/>
      <c r="B399" s="109"/>
      <c r="C399" s="109"/>
      <c r="D399" s="109"/>
      <c r="E399" s="109"/>
      <c r="F399" s="109"/>
      <c r="G399" s="109"/>
      <c r="H399" s="109"/>
      <c r="I399" s="109"/>
      <c r="J399" s="109"/>
    </row>
    <row r="400" spans="1:10">
      <c r="A400" s="108"/>
      <c r="B400" s="109"/>
      <c r="C400" s="109"/>
      <c r="D400" s="109"/>
      <c r="E400" s="109"/>
      <c r="F400" s="109"/>
      <c r="G400" s="109"/>
      <c r="H400" s="109"/>
      <c r="I400" s="109"/>
      <c r="J400" s="109"/>
    </row>
    <row r="401" spans="1:10">
      <c r="A401" s="108"/>
      <c r="B401" s="109"/>
      <c r="C401" s="109"/>
      <c r="D401" s="109"/>
      <c r="E401" s="109"/>
      <c r="F401" s="109"/>
      <c r="G401" s="109"/>
      <c r="H401" s="109"/>
      <c r="I401" s="109"/>
      <c r="J401" s="109"/>
    </row>
    <row r="402" spans="1:10">
      <c r="A402" s="108"/>
      <c r="B402" s="109"/>
      <c r="C402" s="109"/>
      <c r="D402" s="109"/>
      <c r="E402" s="109"/>
      <c r="F402" s="109"/>
      <c r="G402" s="109"/>
      <c r="H402" s="109"/>
      <c r="I402" s="109"/>
      <c r="J402" s="109"/>
    </row>
    <row r="403" spans="1:10">
      <c r="A403" s="108"/>
      <c r="B403" s="109"/>
      <c r="C403" s="109"/>
      <c r="D403" s="109"/>
      <c r="E403" s="109"/>
      <c r="F403" s="109"/>
      <c r="G403" s="109"/>
      <c r="H403" s="109"/>
      <c r="I403" s="109"/>
      <c r="J403" s="109"/>
    </row>
    <row r="404" spans="1:10">
      <c r="A404" s="108"/>
      <c r="B404" s="109"/>
      <c r="C404" s="109"/>
      <c r="D404" s="109"/>
      <c r="E404" s="109"/>
      <c r="F404" s="109"/>
      <c r="G404" s="109"/>
      <c r="H404" s="109"/>
      <c r="I404" s="109"/>
      <c r="J404" s="109"/>
    </row>
    <row r="405" spans="1:10">
      <c r="A405" s="108"/>
      <c r="B405" s="109"/>
      <c r="C405" s="109"/>
      <c r="D405" s="109"/>
      <c r="E405" s="109"/>
      <c r="F405" s="109"/>
      <c r="G405" s="109"/>
      <c r="H405" s="109"/>
      <c r="I405" s="109"/>
      <c r="J405" s="109"/>
    </row>
    <row r="406" spans="1:10">
      <c r="A406" s="108"/>
      <c r="B406" s="109"/>
      <c r="C406" s="109"/>
      <c r="D406" s="109"/>
      <c r="E406" s="109"/>
      <c r="F406" s="109"/>
      <c r="G406" s="109"/>
      <c r="H406" s="109"/>
      <c r="I406" s="109"/>
      <c r="J406" s="109"/>
    </row>
    <row r="407" spans="1:10">
      <c r="A407" s="108"/>
      <c r="B407" s="109"/>
      <c r="C407" s="109"/>
      <c r="D407" s="109"/>
      <c r="E407" s="109"/>
      <c r="F407" s="109"/>
      <c r="G407" s="109"/>
      <c r="H407" s="109"/>
      <c r="I407" s="109"/>
      <c r="J407" s="109"/>
    </row>
    <row r="408" spans="1:10">
      <c r="A408" s="108"/>
      <c r="B408" s="109"/>
      <c r="C408" s="109"/>
      <c r="D408" s="109"/>
      <c r="E408" s="109"/>
      <c r="F408" s="109"/>
      <c r="G408" s="109"/>
      <c r="H408" s="109"/>
      <c r="I408" s="109"/>
      <c r="J408" s="109"/>
    </row>
    <row r="409" spans="1:10">
      <c r="A409" s="108"/>
      <c r="B409" s="109"/>
      <c r="C409" s="109"/>
      <c r="D409" s="109"/>
      <c r="E409" s="109"/>
      <c r="F409" s="109"/>
      <c r="G409" s="109"/>
      <c r="H409" s="109"/>
      <c r="I409" s="109"/>
      <c r="J409" s="109"/>
    </row>
    <row r="410" spans="1:10">
      <c r="A410" s="108"/>
      <c r="B410" s="109"/>
      <c r="C410" s="109"/>
      <c r="D410" s="109"/>
      <c r="E410" s="109"/>
      <c r="F410" s="109"/>
      <c r="G410" s="109"/>
      <c r="H410" s="109"/>
      <c r="I410" s="109"/>
      <c r="J410" s="109"/>
    </row>
    <row r="411" spans="1:10">
      <c r="A411" s="108"/>
      <c r="B411" s="109"/>
      <c r="C411" s="109"/>
      <c r="D411" s="109"/>
      <c r="E411" s="109"/>
      <c r="F411" s="109"/>
      <c r="G411" s="109"/>
      <c r="H411" s="109"/>
      <c r="I411" s="109"/>
      <c r="J411" s="109"/>
    </row>
    <row r="412" spans="1:10">
      <c r="A412" s="108"/>
      <c r="B412" s="109"/>
      <c r="C412" s="109"/>
      <c r="D412" s="109"/>
      <c r="E412" s="109"/>
      <c r="F412" s="109"/>
      <c r="G412" s="109"/>
      <c r="H412" s="109"/>
      <c r="I412" s="109"/>
      <c r="J412" s="109"/>
    </row>
    <row r="413" spans="1:10">
      <c r="A413" s="108"/>
      <c r="B413" s="109"/>
      <c r="C413" s="109"/>
      <c r="D413" s="109"/>
      <c r="E413" s="109"/>
      <c r="F413" s="109"/>
      <c r="G413" s="109"/>
      <c r="H413" s="109"/>
      <c r="I413" s="109"/>
      <c r="J413" s="109"/>
    </row>
    <row r="414" spans="1:10">
      <c r="A414" s="108"/>
      <c r="B414" s="109"/>
      <c r="C414" s="109"/>
      <c r="D414" s="109"/>
      <c r="E414" s="109"/>
      <c r="F414" s="109"/>
      <c r="G414" s="109"/>
      <c r="H414" s="109"/>
      <c r="I414" s="109"/>
      <c r="J414" s="109"/>
    </row>
    <row r="415" spans="1:10">
      <c r="A415" s="108"/>
      <c r="B415" s="109"/>
      <c r="C415" s="109"/>
      <c r="D415" s="109"/>
      <c r="E415" s="109"/>
      <c r="F415" s="109"/>
      <c r="G415" s="109"/>
      <c r="H415" s="109"/>
      <c r="I415" s="109"/>
      <c r="J415" s="109"/>
    </row>
    <row r="416" spans="1:10">
      <c r="A416" s="108"/>
      <c r="B416" s="109"/>
      <c r="C416" s="109"/>
      <c r="D416" s="109"/>
      <c r="E416" s="109"/>
      <c r="F416" s="109"/>
      <c r="G416" s="109"/>
      <c r="H416" s="109"/>
      <c r="I416" s="109"/>
      <c r="J416" s="109"/>
    </row>
    <row r="417" spans="1:10">
      <c r="A417" s="108"/>
      <c r="B417" s="109"/>
      <c r="C417" s="109"/>
      <c r="D417" s="109"/>
      <c r="E417" s="109"/>
      <c r="F417" s="109"/>
      <c r="G417" s="109"/>
      <c r="H417" s="109"/>
      <c r="I417" s="109"/>
      <c r="J417" s="109"/>
    </row>
    <row r="418" spans="1:10">
      <c r="A418" s="108"/>
      <c r="B418" s="109"/>
      <c r="C418" s="109"/>
      <c r="D418" s="109"/>
      <c r="E418" s="109"/>
      <c r="F418" s="109"/>
      <c r="G418" s="109"/>
      <c r="H418" s="109"/>
      <c r="I418" s="109"/>
      <c r="J418" s="109"/>
    </row>
    <row r="419" spans="1:10">
      <c r="A419" s="108"/>
      <c r="B419" s="109"/>
      <c r="C419" s="109"/>
      <c r="D419" s="109"/>
      <c r="E419" s="109"/>
      <c r="F419" s="109"/>
      <c r="G419" s="109"/>
      <c r="H419" s="109"/>
      <c r="I419" s="109"/>
      <c r="J419" s="109"/>
    </row>
    <row r="420" spans="1:10">
      <c r="A420" s="108"/>
      <c r="B420" s="109"/>
      <c r="C420" s="109"/>
      <c r="D420" s="109"/>
      <c r="E420" s="109"/>
      <c r="F420" s="109"/>
      <c r="G420" s="109"/>
      <c r="H420" s="109"/>
      <c r="I420" s="109"/>
      <c r="J420" s="109"/>
    </row>
    <row r="421" spans="1:10">
      <c r="A421" s="108"/>
      <c r="B421" s="109"/>
      <c r="C421" s="109"/>
      <c r="D421" s="109"/>
      <c r="E421" s="109"/>
      <c r="F421" s="109"/>
      <c r="G421" s="109"/>
      <c r="H421" s="109"/>
      <c r="I421" s="109"/>
      <c r="J421" s="109"/>
    </row>
    <row r="422" spans="1:10">
      <c r="A422" s="108"/>
      <c r="B422" s="109"/>
      <c r="C422" s="109"/>
      <c r="D422" s="109"/>
      <c r="E422" s="109"/>
      <c r="F422" s="109"/>
      <c r="G422" s="109"/>
      <c r="H422" s="109"/>
      <c r="I422" s="109"/>
      <c r="J422" s="109"/>
    </row>
    <row r="423" spans="1:10">
      <c r="A423" s="108"/>
      <c r="B423" s="109"/>
      <c r="C423" s="109"/>
      <c r="D423" s="109"/>
      <c r="E423" s="109"/>
      <c r="F423" s="109"/>
      <c r="G423" s="109"/>
      <c r="H423" s="109"/>
      <c r="I423" s="109"/>
      <c r="J423" s="109"/>
    </row>
    <row r="424" spans="1:10">
      <c r="A424" s="108"/>
      <c r="B424" s="109"/>
      <c r="C424" s="109"/>
      <c r="D424" s="109"/>
      <c r="E424" s="109"/>
      <c r="F424" s="109"/>
      <c r="G424" s="109"/>
      <c r="H424" s="109"/>
      <c r="I424" s="109"/>
      <c r="J424" s="109"/>
    </row>
    <row r="425" spans="1:10">
      <c r="A425" s="108"/>
      <c r="B425" s="109"/>
      <c r="C425" s="109"/>
      <c r="D425" s="109"/>
      <c r="E425" s="109"/>
      <c r="F425" s="109"/>
      <c r="G425" s="109"/>
      <c r="H425" s="109"/>
      <c r="I425" s="109"/>
      <c r="J425" s="109"/>
    </row>
    <row r="426" spans="1:10">
      <c r="A426" s="108"/>
      <c r="B426" s="109"/>
      <c r="C426" s="109"/>
      <c r="D426" s="109"/>
      <c r="E426" s="109"/>
      <c r="F426" s="109"/>
      <c r="G426" s="109"/>
      <c r="H426" s="109"/>
      <c r="I426" s="109"/>
      <c r="J426" s="109"/>
    </row>
    <row r="427" spans="1:10">
      <c r="A427" s="108"/>
      <c r="B427" s="109"/>
      <c r="C427" s="109"/>
      <c r="D427" s="109"/>
      <c r="E427" s="109"/>
      <c r="F427" s="109"/>
      <c r="G427" s="109"/>
      <c r="H427" s="109"/>
      <c r="I427" s="109"/>
      <c r="J427" s="109"/>
    </row>
    <row r="428" spans="1:10">
      <c r="A428" s="108"/>
      <c r="B428" s="109"/>
      <c r="C428" s="109"/>
      <c r="D428" s="109"/>
      <c r="E428" s="109"/>
      <c r="F428" s="109"/>
      <c r="G428" s="109"/>
      <c r="H428" s="109"/>
      <c r="I428" s="109"/>
      <c r="J428" s="109"/>
    </row>
    <row r="429" spans="1:10">
      <c r="A429" s="108"/>
      <c r="B429" s="109"/>
      <c r="C429" s="109"/>
      <c r="D429" s="109"/>
      <c r="E429" s="109"/>
      <c r="F429" s="109"/>
      <c r="G429" s="109"/>
      <c r="H429" s="109"/>
      <c r="I429" s="109"/>
      <c r="J429" s="109"/>
    </row>
    <row r="430" spans="1:10">
      <c r="A430" s="108"/>
      <c r="B430" s="109"/>
      <c r="C430" s="109"/>
      <c r="D430" s="109"/>
      <c r="E430" s="109"/>
      <c r="F430" s="109"/>
      <c r="G430" s="109"/>
      <c r="H430" s="109"/>
      <c r="I430" s="109"/>
      <c r="J430" s="109"/>
    </row>
    <row r="431" spans="1:10">
      <c r="A431" s="108"/>
      <c r="B431" s="109"/>
      <c r="C431" s="109"/>
      <c r="D431" s="109"/>
      <c r="E431" s="109"/>
      <c r="F431" s="109"/>
      <c r="G431" s="109"/>
      <c r="H431" s="109"/>
      <c r="I431" s="109"/>
      <c r="J431" s="109"/>
    </row>
    <row r="432" spans="1:10">
      <c r="A432" s="108"/>
      <c r="B432" s="109"/>
      <c r="C432" s="109"/>
      <c r="D432" s="109"/>
      <c r="E432" s="109"/>
      <c r="F432" s="109"/>
      <c r="G432" s="109"/>
      <c r="H432" s="109"/>
      <c r="I432" s="109"/>
      <c r="J432" s="109"/>
    </row>
    <row r="433" spans="1:10">
      <c r="A433" s="108"/>
      <c r="B433" s="109"/>
      <c r="C433" s="109"/>
      <c r="D433" s="109"/>
      <c r="E433" s="109"/>
      <c r="F433" s="109"/>
      <c r="G433" s="109"/>
      <c r="H433" s="109"/>
      <c r="I433" s="109"/>
      <c r="J433" s="109"/>
    </row>
    <row r="434" spans="1:10">
      <c r="A434" s="108"/>
      <c r="B434" s="109"/>
      <c r="C434" s="109"/>
      <c r="D434" s="109"/>
      <c r="E434" s="109"/>
      <c r="F434" s="109"/>
      <c r="G434" s="109"/>
      <c r="H434" s="109"/>
      <c r="I434" s="109"/>
      <c r="J434" s="109"/>
    </row>
    <row r="435" spans="1:10">
      <c r="A435" s="108"/>
      <c r="B435" s="109"/>
      <c r="C435" s="109"/>
      <c r="D435" s="109"/>
      <c r="E435" s="109"/>
      <c r="F435" s="109"/>
      <c r="G435" s="109"/>
      <c r="H435" s="109"/>
      <c r="I435" s="109"/>
      <c r="J435" s="109"/>
    </row>
    <row r="436" spans="1:10">
      <c r="A436" s="108"/>
      <c r="B436" s="109"/>
      <c r="C436" s="109"/>
      <c r="D436" s="109"/>
      <c r="E436" s="109"/>
      <c r="F436" s="109"/>
      <c r="G436" s="109"/>
      <c r="H436" s="109"/>
      <c r="I436" s="109"/>
      <c r="J436" s="109"/>
    </row>
    <row r="437" spans="1:10">
      <c r="A437" s="108"/>
      <c r="B437" s="109"/>
      <c r="C437" s="109"/>
      <c r="D437" s="109"/>
      <c r="E437" s="109"/>
      <c r="F437" s="109"/>
      <c r="G437" s="109"/>
      <c r="H437" s="109"/>
      <c r="I437" s="109"/>
      <c r="J437" s="109"/>
    </row>
    <row r="438" spans="1:10">
      <c r="A438" s="108"/>
      <c r="B438" s="109"/>
      <c r="C438" s="109"/>
      <c r="D438" s="109"/>
      <c r="E438" s="109"/>
      <c r="F438" s="109"/>
      <c r="G438" s="109"/>
      <c r="H438" s="109"/>
      <c r="I438" s="109"/>
      <c r="J438" s="109"/>
    </row>
    <row r="439" spans="1:10">
      <c r="A439" s="108"/>
      <c r="B439" s="109"/>
      <c r="C439" s="109"/>
      <c r="D439" s="109"/>
      <c r="E439" s="109"/>
      <c r="F439" s="109"/>
      <c r="G439" s="109"/>
      <c r="H439" s="109"/>
      <c r="I439" s="109"/>
      <c r="J439" s="109"/>
    </row>
    <row r="440" spans="1:10">
      <c r="A440" s="108"/>
      <c r="B440" s="109"/>
      <c r="C440" s="109"/>
      <c r="D440" s="109"/>
      <c r="E440" s="109"/>
      <c r="F440" s="109"/>
      <c r="G440" s="109"/>
      <c r="H440" s="109"/>
      <c r="I440" s="109"/>
      <c r="J440" s="109"/>
    </row>
    <row r="441" spans="1:10">
      <c r="A441" s="108"/>
      <c r="B441" s="109"/>
      <c r="C441" s="109"/>
      <c r="D441" s="109"/>
      <c r="E441" s="109"/>
      <c r="F441" s="109"/>
      <c r="G441" s="109"/>
      <c r="H441" s="109"/>
      <c r="I441" s="109"/>
      <c r="J441" s="109"/>
    </row>
    <row r="442" spans="1:10">
      <c r="A442" s="108"/>
      <c r="B442" s="109"/>
      <c r="C442" s="109"/>
      <c r="D442" s="109"/>
      <c r="E442" s="109"/>
      <c r="F442" s="109"/>
      <c r="G442" s="109"/>
      <c r="H442" s="109"/>
      <c r="I442" s="109"/>
      <c r="J442" s="109"/>
    </row>
    <row r="443" spans="1:10">
      <c r="A443" s="108"/>
      <c r="B443" s="109"/>
      <c r="C443" s="109"/>
      <c r="D443" s="109"/>
      <c r="E443" s="109"/>
      <c r="F443" s="109"/>
      <c r="G443" s="109"/>
      <c r="H443" s="109"/>
      <c r="I443" s="109"/>
      <c r="J443" s="109"/>
    </row>
    <row r="444" spans="1:10">
      <c r="A444" s="108"/>
      <c r="B444" s="109"/>
      <c r="C444" s="109"/>
      <c r="D444" s="109"/>
      <c r="E444" s="109"/>
      <c r="F444" s="109"/>
      <c r="G444" s="109"/>
      <c r="H444" s="109"/>
      <c r="I444" s="109"/>
      <c r="J444" s="109"/>
    </row>
    <row r="445" spans="1:10">
      <c r="A445" s="108"/>
      <c r="B445" s="109"/>
      <c r="C445" s="109"/>
      <c r="D445" s="109"/>
      <c r="E445" s="109"/>
      <c r="F445" s="109"/>
      <c r="G445" s="109"/>
      <c r="H445" s="109"/>
      <c r="I445" s="109"/>
      <c r="J445" s="109"/>
    </row>
    <row r="446" spans="1:10">
      <c r="A446" s="108"/>
      <c r="B446" s="109"/>
      <c r="C446" s="109"/>
      <c r="D446" s="109"/>
      <c r="E446" s="109"/>
      <c r="F446" s="109"/>
      <c r="G446" s="109"/>
      <c r="H446" s="109"/>
      <c r="I446" s="109"/>
      <c r="J446" s="109"/>
    </row>
    <row r="447" spans="1:10">
      <c r="A447" s="108"/>
      <c r="B447" s="109"/>
      <c r="C447" s="109"/>
      <c r="D447" s="109"/>
      <c r="E447" s="109"/>
      <c r="F447" s="109"/>
      <c r="G447" s="109"/>
      <c r="H447" s="109"/>
      <c r="I447" s="109"/>
      <c r="J447" s="109"/>
    </row>
    <row r="448" spans="1:10">
      <c r="A448" s="108"/>
      <c r="B448" s="109"/>
      <c r="C448" s="109"/>
      <c r="D448" s="109"/>
      <c r="E448" s="109"/>
      <c r="F448" s="109"/>
      <c r="G448" s="109"/>
      <c r="H448" s="109"/>
      <c r="I448" s="109"/>
      <c r="J448" s="109"/>
    </row>
    <row r="449" spans="1:10">
      <c r="A449" s="108"/>
      <c r="B449" s="109"/>
      <c r="C449" s="109"/>
      <c r="D449" s="109"/>
      <c r="E449" s="109"/>
      <c r="F449" s="109"/>
      <c r="G449" s="109"/>
      <c r="H449" s="109"/>
      <c r="I449" s="109"/>
      <c r="J449" s="109"/>
    </row>
    <row r="450" spans="1:10">
      <c r="A450" s="108"/>
      <c r="B450" s="109"/>
      <c r="C450" s="109"/>
      <c r="D450" s="109"/>
      <c r="E450" s="109"/>
      <c r="F450" s="109"/>
      <c r="G450" s="109"/>
      <c r="H450" s="109"/>
      <c r="I450" s="109"/>
      <c r="J450" s="109"/>
    </row>
    <row r="451" spans="1:10">
      <c r="A451" s="108"/>
      <c r="B451" s="109"/>
      <c r="C451" s="109"/>
      <c r="D451" s="109"/>
      <c r="E451" s="109"/>
      <c r="F451" s="109"/>
      <c r="G451" s="109"/>
      <c r="H451" s="109"/>
      <c r="I451" s="109"/>
      <c r="J451" s="109"/>
    </row>
    <row r="452" spans="1:10">
      <c r="A452" s="108"/>
      <c r="B452" s="109"/>
      <c r="C452" s="109"/>
      <c r="D452" s="109"/>
      <c r="E452" s="109"/>
      <c r="F452" s="109"/>
      <c r="G452" s="109"/>
      <c r="H452" s="109"/>
      <c r="I452" s="109"/>
      <c r="J452" s="109"/>
    </row>
    <row r="453" spans="1:10">
      <c r="A453" s="108"/>
      <c r="B453" s="109"/>
      <c r="C453" s="109"/>
      <c r="D453" s="109"/>
      <c r="E453" s="109"/>
      <c r="F453" s="109"/>
      <c r="G453" s="109"/>
      <c r="H453" s="109"/>
      <c r="I453" s="109"/>
      <c r="J453" s="109"/>
    </row>
    <row r="454" spans="1:10">
      <c r="A454" s="108"/>
      <c r="B454" s="109"/>
      <c r="C454" s="109"/>
      <c r="D454" s="109"/>
      <c r="E454" s="109"/>
      <c r="F454" s="109"/>
      <c r="G454" s="109"/>
      <c r="H454" s="109"/>
      <c r="I454" s="109"/>
      <c r="J454" s="109"/>
    </row>
    <row r="455" spans="1:10">
      <c r="A455" s="108"/>
      <c r="B455" s="109"/>
      <c r="C455" s="109"/>
      <c r="D455" s="109"/>
      <c r="E455" s="109"/>
      <c r="F455" s="109"/>
      <c r="G455" s="109"/>
      <c r="H455" s="109"/>
      <c r="I455" s="109"/>
      <c r="J455" s="109"/>
    </row>
    <row r="456" spans="1:10">
      <c r="A456" s="108"/>
      <c r="B456" s="109"/>
      <c r="C456" s="109"/>
      <c r="D456" s="109"/>
      <c r="E456" s="109"/>
      <c r="F456" s="109"/>
      <c r="G456" s="109"/>
      <c r="H456" s="109"/>
      <c r="I456" s="109"/>
      <c r="J456" s="109"/>
    </row>
    <row r="457" spans="1:10">
      <c r="A457" s="108"/>
      <c r="B457" s="109"/>
      <c r="C457" s="109"/>
      <c r="D457" s="109"/>
      <c r="E457" s="109"/>
      <c r="F457" s="109"/>
      <c r="G457" s="109"/>
      <c r="H457" s="109"/>
      <c r="I457" s="109"/>
      <c r="J457" s="109"/>
    </row>
    <row r="458" spans="1:10">
      <c r="A458" s="108"/>
      <c r="B458" s="109"/>
      <c r="C458" s="109"/>
      <c r="D458" s="109"/>
      <c r="E458" s="109"/>
      <c r="F458" s="109"/>
      <c r="G458" s="109"/>
      <c r="H458" s="109"/>
      <c r="I458" s="109"/>
      <c r="J458" s="109"/>
    </row>
    <row r="459" spans="1:10">
      <c r="A459" s="108"/>
      <c r="B459" s="109"/>
      <c r="C459" s="109"/>
      <c r="D459" s="109"/>
      <c r="E459" s="109"/>
      <c r="F459" s="109"/>
      <c r="G459" s="109"/>
      <c r="H459" s="109"/>
      <c r="I459" s="109"/>
      <c r="J459" s="109"/>
    </row>
    <row r="460" spans="1:10">
      <c r="A460" s="108"/>
      <c r="B460" s="109"/>
      <c r="C460" s="109"/>
      <c r="D460" s="109"/>
      <c r="E460" s="109"/>
      <c r="F460" s="109"/>
      <c r="G460" s="109"/>
      <c r="H460" s="109"/>
      <c r="I460" s="109"/>
      <c r="J460" s="109"/>
    </row>
    <row r="461" spans="1:10">
      <c r="A461" s="108"/>
      <c r="B461" s="109"/>
      <c r="C461" s="109"/>
      <c r="D461" s="109"/>
      <c r="E461" s="109"/>
      <c r="F461" s="109"/>
      <c r="G461" s="109"/>
      <c r="H461" s="109"/>
      <c r="I461" s="109"/>
      <c r="J461" s="109"/>
    </row>
    <row r="462" spans="1:10">
      <c r="A462" s="108"/>
      <c r="B462" s="109"/>
      <c r="C462" s="109"/>
      <c r="D462" s="109"/>
      <c r="E462" s="109"/>
      <c r="F462" s="109"/>
      <c r="G462" s="109"/>
      <c r="H462" s="109"/>
      <c r="I462" s="109"/>
      <c r="J462" s="109"/>
    </row>
    <row r="463" spans="1:10">
      <c r="A463" s="108"/>
      <c r="B463" s="109"/>
      <c r="C463" s="109"/>
      <c r="D463" s="109"/>
      <c r="E463" s="109"/>
      <c r="F463" s="109"/>
      <c r="G463" s="109"/>
      <c r="H463" s="109"/>
      <c r="I463" s="109"/>
      <c r="J463" s="109"/>
    </row>
    <row r="464" spans="1:10">
      <c r="A464" s="108"/>
      <c r="B464" s="109"/>
      <c r="C464" s="109"/>
      <c r="D464" s="109"/>
      <c r="E464" s="109"/>
      <c r="F464" s="109"/>
      <c r="G464" s="109"/>
      <c r="H464" s="109"/>
      <c r="I464" s="109"/>
      <c r="J464" s="109"/>
    </row>
    <row r="465" spans="1:10">
      <c r="A465" s="108"/>
      <c r="B465" s="109"/>
      <c r="C465" s="109"/>
      <c r="D465" s="109"/>
      <c r="E465" s="109"/>
      <c r="F465" s="109"/>
      <c r="G465" s="109"/>
      <c r="H465" s="109"/>
      <c r="I465" s="109"/>
      <c r="J465" s="109"/>
    </row>
    <row r="466" spans="1:10">
      <c r="A466" s="108"/>
      <c r="B466" s="109"/>
      <c r="C466" s="109"/>
      <c r="D466" s="109"/>
      <c r="E466" s="109"/>
      <c r="F466" s="109"/>
      <c r="G466" s="109"/>
      <c r="H466" s="109"/>
      <c r="I466" s="109"/>
      <c r="J466" s="109"/>
    </row>
    <row r="467" spans="1:10">
      <c r="A467" s="108"/>
      <c r="B467" s="109"/>
      <c r="C467" s="109"/>
      <c r="D467" s="109"/>
      <c r="E467" s="109"/>
      <c r="F467" s="109"/>
      <c r="G467" s="109"/>
      <c r="H467" s="109"/>
      <c r="I467" s="109"/>
      <c r="J467" s="109"/>
    </row>
    <row r="468" spans="1:10">
      <c r="A468" s="108"/>
      <c r="B468" s="109"/>
      <c r="C468" s="109"/>
      <c r="D468" s="109"/>
      <c r="E468" s="109"/>
      <c r="F468" s="109"/>
      <c r="G468" s="109"/>
      <c r="H468" s="109"/>
      <c r="I468" s="109"/>
      <c r="J468" s="109"/>
    </row>
    <row r="469" spans="1:10">
      <c r="A469" s="108"/>
      <c r="B469" s="109"/>
      <c r="C469" s="109"/>
      <c r="D469" s="109"/>
      <c r="E469" s="109"/>
      <c r="F469" s="109"/>
      <c r="G469" s="109"/>
      <c r="H469" s="109"/>
      <c r="I469" s="109"/>
      <c r="J469" s="109"/>
    </row>
    <row r="470" spans="1:10">
      <c r="A470" s="108"/>
      <c r="B470" s="109"/>
      <c r="C470" s="109"/>
      <c r="D470" s="109"/>
      <c r="E470" s="109"/>
      <c r="F470" s="109"/>
      <c r="G470" s="109"/>
      <c r="H470" s="109"/>
      <c r="I470" s="109"/>
      <c r="J470" s="109"/>
    </row>
    <row r="471" spans="1:10">
      <c r="A471" s="108"/>
      <c r="B471" s="109"/>
      <c r="C471" s="109"/>
      <c r="D471" s="109"/>
      <c r="E471" s="109"/>
      <c r="F471" s="109"/>
      <c r="G471" s="109"/>
      <c r="H471" s="109"/>
      <c r="I471" s="109"/>
      <c r="J471" s="109"/>
    </row>
    <row r="472" spans="1:10">
      <c r="A472" s="108"/>
      <c r="B472" s="109"/>
      <c r="C472" s="109"/>
      <c r="D472" s="109"/>
      <c r="E472" s="109"/>
      <c r="F472" s="109"/>
      <c r="G472" s="109"/>
      <c r="H472" s="109"/>
      <c r="I472" s="109"/>
      <c r="J472" s="109"/>
    </row>
    <row r="473" spans="1:10">
      <c r="A473" s="108"/>
      <c r="B473" s="109"/>
      <c r="C473" s="109"/>
      <c r="D473" s="109"/>
      <c r="E473" s="109"/>
      <c r="F473" s="109"/>
      <c r="G473" s="109"/>
      <c r="H473" s="109"/>
      <c r="I473" s="109"/>
      <c r="J473" s="109"/>
    </row>
    <row r="474" spans="1:10">
      <c r="A474" s="108"/>
      <c r="B474" s="109"/>
      <c r="C474" s="109"/>
      <c r="D474" s="109"/>
      <c r="E474" s="109"/>
      <c r="F474" s="109"/>
      <c r="G474" s="109"/>
      <c r="H474" s="109"/>
      <c r="I474" s="109"/>
      <c r="J474" s="109"/>
    </row>
    <row r="475" spans="1:10">
      <c r="A475" s="108"/>
      <c r="B475" s="109"/>
      <c r="C475" s="109"/>
      <c r="D475" s="109"/>
      <c r="E475" s="109"/>
      <c r="F475" s="109"/>
      <c r="G475" s="109"/>
      <c r="H475" s="109"/>
      <c r="I475" s="109"/>
      <c r="J475" s="109"/>
    </row>
    <row r="476" spans="1:10">
      <c r="A476" s="108"/>
      <c r="B476" s="109"/>
      <c r="C476" s="109"/>
      <c r="D476" s="109"/>
      <c r="E476" s="109"/>
      <c r="F476" s="109"/>
      <c r="G476" s="109"/>
      <c r="H476" s="109"/>
      <c r="I476" s="109"/>
      <c r="J476" s="109"/>
    </row>
    <row r="477" spans="1:10">
      <c r="A477" s="108"/>
      <c r="B477" s="109"/>
      <c r="C477" s="109"/>
      <c r="D477" s="109"/>
      <c r="E477" s="109"/>
      <c r="F477" s="109"/>
      <c r="G477" s="109"/>
      <c r="H477" s="109"/>
      <c r="I477" s="109"/>
      <c r="J477" s="109"/>
    </row>
    <row r="478" spans="1:10">
      <c r="A478" s="108"/>
      <c r="B478" s="109"/>
      <c r="C478" s="109"/>
      <c r="D478" s="109"/>
      <c r="E478" s="109"/>
      <c r="F478" s="109"/>
      <c r="G478" s="109"/>
      <c r="H478" s="109"/>
      <c r="I478" s="109"/>
      <c r="J478" s="109"/>
    </row>
    <row r="479" spans="1:10">
      <c r="A479" s="108"/>
      <c r="B479" s="109"/>
      <c r="C479" s="109"/>
      <c r="D479" s="109"/>
      <c r="E479" s="109"/>
      <c r="F479" s="109"/>
      <c r="G479" s="109"/>
      <c r="H479" s="109"/>
      <c r="I479" s="109"/>
      <c r="J479" s="109"/>
    </row>
    <row r="480" spans="1:10">
      <c r="A480" s="108"/>
      <c r="B480" s="109"/>
      <c r="C480" s="109"/>
      <c r="D480" s="109"/>
      <c r="E480" s="109"/>
      <c r="F480" s="109"/>
      <c r="G480" s="109"/>
      <c r="H480" s="109"/>
      <c r="I480" s="109"/>
      <c r="J480" s="109"/>
    </row>
    <row r="481" spans="1:10">
      <c r="A481" s="108"/>
      <c r="B481" s="109"/>
      <c r="C481" s="109"/>
      <c r="D481" s="109"/>
      <c r="E481" s="109"/>
      <c r="F481" s="109"/>
      <c r="G481" s="109"/>
      <c r="H481" s="109"/>
      <c r="I481" s="109"/>
      <c r="J481" s="109"/>
    </row>
    <row r="482" spans="1:10">
      <c r="A482" s="108"/>
      <c r="B482" s="109"/>
      <c r="C482" s="109"/>
      <c r="D482" s="109"/>
      <c r="E482" s="109"/>
      <c r="F482" s="109"/>
      <c r="G482" s="109"/>
      <c r="H482" s="109"/>
      <c r="I482" s="109"/>
      <c r="J482" s="109"/>
    </row>
    <row r="483" spans="1:10">
      <c r="A483" s="108"/>
      <c r="B483" s="109"/>
      <c r="C483" s="109"/>
      <c r="D483" s="109"/>
      <c r="E483" s="109"/>
      <c r="F483" s="109"/>
      <c r="G483" s="109"/>
      <c r="H483" s="109"/>
      <c r="I483" s="109"/>
      <c r="J483" s="109"/>
    </row>
    <row r="484" spans="1:10">
      <c r="A484" s="108"/>
      <c r="B484" s="109"/>
      <c r="C484" s="109"/>
      <c r="D484" s="109"/>
      <c r="E484" s="109"/>
      <c r="F484" s="109"/>
      <c r="G484" s="109"/>
      <c r="H484" s="109"/>
      <c r="I484" s="109"/>
      <c r="J484" s="109"/>
    </row>
    <row r="485" spans="1:10">
      <c r="A485" s="108"/>
      <c r="B485" s="109"/>
      <c r="C485" s="109"/>
      <c r="D485" s="109"/>
      <c r="E485" s="109"/>
      <c r="F485" s="109"/>
      <c r="G485" s="109"/>
      <c r="H485" s="109"/>
      <c r="I485" s="109"/>
      <c r="J485" s="109"/>
    </row>
    <row r="486" spans="1:10">
      <c r="A486" s="108"/>
      <c r="B486" s="109"/>
      <c r="C486" s="109"/>
      <c r="D486" s="109"/>
      <c r="E486" s="109"/>
      <c r="F486" s="109"/>
      <c r="G486" s="109"/>
      <c r="H486" s="109"/>
      <c r="I486" s="109"/>
      <c r="J486" s="109"/>
    </row>
    <row r="487" spans="1:10">
      <c r="A487" s="108"/>
      <c r="B487" s="109"/>
      <c r="C487" s="109"/>
      <c r="D487" s="109"/>
      <c r="E487" s="109"/>
      <c r="F487" s="109"/>
      <c r="G487" s="109"/>
      <c r="H487" s="109"/>
      <c r="I487" s="109"/>
      <c r="J487" s="109"/>
    </row>
    <row r="488" spans="1:10">
      <c r="A488" s="108"/>
      <c r="B488" s="109"/>
      <c r="C488" s="109"/>
      <c r="D488" s="109"/>
      <c r="E488" s="109"/>
      <c r="F488" s="109"/>
      <c r="G488" s="109"/>
      <c r="H488" s="109"/>
      <c r="I488" s="109"/>
      <c r="J488" s="109"/>
    </row>
    <row r="489" spans="1:10">
      <c r="A489" s="108"/>
      <c r="B489" s="109"/>
      <c r="C489" s="109"/>
      <c r="D489" s="109"/>
      <c r="E489" s="109"/>
      <c r="F489" s="109"/>
      <c r="G489" s="109"/>
      <c r="H489" s="109"/>
      <c r="I489" s="109"/>
      <c r="J489" s="109"/>
    </row>
    <row r="490" spans="1:10">
      <c r="A490" s="108"/>
      <c r="B490" s="109"/>
      <c r="C490" s="109"/>
      <c r="D490" s="109"/>
      <c r="E490" s="109"/>
      <c r="F490" s="109"/>
      <c r="G490" s="109"/>
      <c r="H490" s="109"/>
      <c r="I490" s="109"/>
      <c r="J490" s="109"/>
    </row>
    <row r="491" spans="1:10">
      <c r="A491" s="108"/>
      <c r="B491" s="109"/>
      <c r="C491" s="109"/>
      <c r="D491" s="109"/>
      <c r="E491" s="109"/>
      <c r="F491" s="109"/>
      <c r="G491" s="109"/>
      <c r="H491" s="109"/>
      <c r="I491" s="109"/>
      <c r="J491" s="109"/>
    </row>
    <row r="492" spans="1:10">
      <c r="A492" s="108"/>
      <c r="B492" s="109"/>
      <c r="C492" s="109"/>
      <c r="D492" s="109"/>
      <c r="E492" s="109"/>
      <c r="F492" s="109"/>
      <c r="G492" s="109"/>
      <c r="H492" s="109"/>
      <c r="I492" s="109"/>
      <c r="J492" s="109"/>
    </row>
    <row r="493" spans="1:10">
      <c r="A493" s="108"/>
      <c r="B493" s="109"/>
      <c r="C493" s="109"/>
      <c r="D493" s="109"/>
      <c r="E493" s="109"/>
      <c r="F493" s="109"/>
      <c r="G493" s="109"/>
      <c r="H493" s="109"/>
      <c r="I493" s="109"/>
      <c r="J493" s="109"/>
    </row>
    <row r="494" spans="1:10">
      <c r="A494" s="108"/>
      <c r="B494" s="109"/>
      <c r="C494" s="109"/>
      <c r="D494" s="109"/>
      <c r="E494" s="109"/>
      <c r="F494" s="109"/>
      <c r="G494" s="109"/>
      <c r="H494" s="109"/>
      <c r="I494" s="109"/>
      <c r="J494" s="109"/>
    </row>
    <row r="495" spans="1:10">
      <c r="A495" s="108"/>
      <c r="B495" s="109"/>
      <c r="C495" s="109"/>
      <c r="D495" s="109"/>
      <c r="E495" s="109"/>
      <c r="F495" s="109"/>
      <c r="G495" s="109"/>
      <c r="H495" s="109"/>
      <c r="I495" s="109"/>
      <c r="J495" s="109"/>
    </row>
    <row r="496" spans="1:10">
      <c r="A496" s="108"/>
      <c r="B496" s="109"/>
      <c r="C496" s="109"/>
      <c r="D496" s="109"/>
      <c r="E496" s="109"/>
      <c r="F496" s="109"/>
      <c r="G496" s="109"/>
      <c r="H496" s="109"/>
      <c r="I496" s="109"/>
      <c r="J496" s="109"/>
    </row>
    <row r="497" spans="1:10">
      <c r="A497" s="108"/>
      <c r="B497" s="109"/>
      <c r="C497" s="109"/>
      <c r="D497" s="109"/>
      <c r="E497" s="109"/>
      <c r="F497" s="109"/>
      <c r="G497" s="109"/>
      <c r="H497" s="109"/>
      <c r="I497" s="109"/>
      <c r="J497" s="109"/>
    </row>
    <row r="498" spans="1:10">
      <c r="A498" s="108"/>
      <c r="B498" s="109"/>
      <c r="C498" s="109"/>
      <c r="D498" s="109"/>
      <c r="E498" s="109"/>
      <c r="F498" s="109"/>
      <c r="G498" s="109"/>
      <c r="H498" s="109"/>
      <c r="I498" s="109"/>
      <c r="J498" s="109"/>
    </row>
    <row r="499" spans="1:10">
      <c r="A499" s="108"/>
      <c r="B499" s="109"/>
      <c r="C499" s="109"/>
      <c r="D499" s="109"/>
      <c r="E499" s="109"/>
      <c r="F499" s="109"/>
      <c r="G499" s="109"/>
      <c r="H499" s="109"/>
      <c r="I499" s="109"/>
      <c r="J499" s="109"/>
    </row>
    <row r="500" spans="1:10">
      <c r="A500" s="108"/>
      <c r="B500" s="109"/>
      <c r="C500" s="109"/>
      <c r="D500" s="109"/>
      <c r="E500" s="109"/>
      <c r="F500" s="109"/>
      <c r="G500" s="109"/>
      <c r="H500" s="109"/>
      <c r="I500" s="109"/>
      <c r="J500" s="109"/>
    </row>
    <row r="501" spans="1:10">
      <c r="A501" s="108"/>
      <c r="B501" s="109"/>
      <c r="C501" s="109"/>
      <c r="D501" s="109"/>
      <c r="E501" s="109"/>
      <c r="F501" s="109"/>
      <c r="G501" s="109"/>
      <c r="H501" s="109"/>
      <c r="I501" s="109"/>
      <c r="J501" s="109"/>
    </row>
    <row r="502" spans="1:10">
      <c r="A502" s="108"/>
      <c r="B502" s="109"/>
      <c r="C502" s="109"/>
      <c r="D502" s="109"/>
      <c r="E502" s="109"/>
      <c r="F502" s="109"/>
      <c r="G502" s="109"/>
      <c r="H502" s="109"/>
      <c r="I502" s="109"/>
      <c r="J502" s="109"/>
    </row>
    <row r="503" spans="1:10">
      <c r="A503" s="108"/>
      <c r="B503" s="109"/>
      <c r="C503" s="109"/>
      <c r="D503" s="109"/>
      <c r="E503" s="109"/>
      <c r="F503" s="109"/>
      <c r="G503" s="109"/>
      <c r="H503" s="109"/>
      <c r="I503" s="109"/>
      <c r="J503" s="109"/>
    </row>
    <row r="504" spans="1:10">
      <c r="A504" s="108"/>
      <c r="B504" s="109"/>
      <c r="C504" s="109"/>
      <c r="D504" s="109"/>
      <c r="E504" s="109"/>
      <c r="F504" s="109"/>
      <c r="G504" s="109"/>
      <c r="H504" s="109"/>
      <c r="I504" s="109"/>
      <c r="J504" s="109"/>
    </row>
    <row r="505" spans="1:10">
      <c r="A505" s="108"/>
      <c r="B505" s="109"/>
      <c r="C505" s="109"/>
      <c r="D505" s="109"/>
      <c r="E505" s="109"/>
      <c r="F505" s="109"/>
      <c r="G505" s="109"/>
      <c r="H505" s="109"/>
      <c r="I505" s="109"/>
      <c r="J505" s="109"/>
    </row>
    <row r="506" spans="1:10">
      <c r="A506" s="108"/>
      <c r="B506" s="109"/>
      <c r="C506" s="109"/>
      <c r="D506" s="109"/>
      <c r="E506" s="109"/>
      <c r="F506" s="109"/>
      <c r="G506" s="109"/>
      <c r="H506" s="109"/>
      <c r="I506" s="109"/>
      <c r="J506" s="109"/>
    </row>
    <row r="507" spans="1:10">
      <c r="A507" s="108"/>
      <c r="B507" s="109"/>
      <c r="C507" s="109"/>
      <c r="D507" s="109"/>
      <c r="E507" s="109"/>
      <c r="F507" s="109"/>
      <c r="G507" s="109"/>
      <c r="H507" s="109"/>
      <c r="I507" s="109"/>
      <c r="J507" s="109"/>
    </row>
    <row r="508" spans="1:10">
      <c r="A508" s="108"/>
      <c r="B508" s="109"/>
      <c r="C508" s="109"/>
      <c r="D508" s="109"/>
      <c r="E508" s="109"/>
      <c r="F508" s="109"/>
      <c r="G508" s="109"/>
      <c r="H508" s="109"/>
      <c r="I508" s="109"/>
      <c r="J508" s="109"/>
    </row>
    <row r="509" spans="1:10">
      <c r="A509" s="108"/>
      <c r="B509" s="109"/>
      <c r="C509" s="109"/>
      <c r="D509" s="109"/>
      <c r="E509" s="109"/>
      <c r="F509" s="109"/>
      <c r="G509" s="109"/>
      <c r="H509" s="109"/>
      <c r="I509" s="109"/>
      <c r="J509" s="109"/>
    </row>
    <row r="510" spans="1:10">
      <c r="A510" s="108"/>
      <c r="B510" s="109"/>
      <c r="C510" s="109"/>
      <c r="D510" s="109"/>
      <c r="E510" s="109"/>
      <c r="F510" s="109"/>
      <c r="G510" s="109"/>
      <c r="H510" s="109"/>
      <c r="I510" s="109"/>
      <c r="J510" s="109"/>
    </row>
    <row r="511" spans="1:10">
      <c r="A511" s="108"/>
      <c r="B511" s="109"/>
      <c r="C511" s="109"/>
      <c r="D511" s="109"/>
      <c r="E511" s="109"/>
      <c r="F511" s="109"/>
      <c r="G511" s="109"/>
      <c r="H511" s="109"/>
      <c r="I511" s="109"/>
      <c r="J511" s="109"/>
    </row>
    <row r="512" spans="1:10">
      <c r="A512" s="108"/>
      <c r="B512" s="109"/>
      <c r="C512" s="109"/>
      <c r="D512" s="109"/>
      <c r="E512" s="109"/>
      <c r="F512" s="109"/>
      <c r="G512" s="109"/>
      <c r="H512" s="109"/>
      <c r="I512" s="109"/>
      <c r="J512" s="109"/>
    </row>
    <row r="513" spans="1:10">
      <c r="A513" s="108"/>
      <c r="B513" s="109"/>
      <c r="C513" s="109"/>
      <c r="D513" s="109"/>
      <c r="E513" s="109"/>
      <c r="F513" s="109"/>
      <c r="G513" s="109"/>
      <c r="H513" s="109"/>
      <c r="I513" s="109"/>
      <c r="J513" s="109"/>
    </row>
    <row r="514" spans="1:10">
      <c r="A514" s="108"/>
      <c r="B514" s="109"/>
      <c r="C514" s="109"/>
      <c r="D514" s="109"/>
      <c r="E514" s="109"/>
      <c r="F514" s="109"/>
      <c r="G514" s="109"/>
      <c r="H514" s="109"/>
      <c r="I514" s="109"/>
      <c r="J514" s="109"/>
    </row>
    <row r="515" spans="1:10">
      <c r="A515" s="108"/>
      <c r="B515" s="109"/>
      <c r="C515" s="109"/>
      <c r="D515" s="109"/>
      <c r="E515" s="109"/>
      <c r="F515" s="109"/>
      <c r="G515" s="109"/>
      <c r="H515" s="109"/>
      <c r="I515" s="109"/>
      <c r="J515" s="109"/>
    </row>
    <row r="516" spans="1:10">
      <c r="A516" s="108"/>
      <c r="B516" s="109"/>
      <c r="C516" s="109"/>
      <c r="D516" s="109"/>
      <c r="E516" s="109"/>
      <c r="F516" s="109"/>
      <c r="G516" s="109"/>
      <c r="H516" s="109"/>
      <c r="I516" s="109"/>
      <c r="J516" s="109"/>
    </row>
    <row r="517" spans="1:10">
      <c r="A517" s="108"/>
      <c r="B517" s="109"/>
      <c r="C517" s="109"/>
      <c r="D517" s="109"/>
      <c r="E517" s="109"/>
      <c r="F517" s="109"/>
      <c r="G517" s="109"/>
      <c r="H517" s="109"/>
      <c r="I517" s="109"/>
      <c r="J517" s="109"/>
    </row>
    <row r="518" spans="1:10">
      <c r="A518" s="108"/>
      <c r="B518" s="109"/>
      <c r="C518" s="109"/>
      <c r="D518" s="109"/>
      <c r="E518" s="109"/>
      <c r="F518" s="109"/>
      <c r="G518" s="109"/>
      <c r="H518" s="109"/>
      <c r="I518" s="109"/>
      <c r="J518" s="109"/>
    </row>
    <row r="519" spans="1:10">
      <c r="A519" s="108"/>
      <c r="B519" s="109"/>
      <c r="C519" s="109"/>
      <c r="D519" s="109"/>
      <c r="E519" s="109"/>
      <c r="F519" s="109"/>
      <c r="G519" s="109"/>
      <c r="H519" s="109"/>
      <c r="I519" s="109"/>
      <c r="J519" s="109"/>
    </row>
    <row r="520" spans="1:10">
      <c r="A520" s="108"/>
      <c r="B520" s="109"/>
      <c r="C520" s="109"/>
      <c r="D520" s="109"/>
      <c r="E520" s="109"/>
      <c r="F520" s="109"/>
      <c r="G520" s="109"/>
      <c r="H520" s="109"/>
      <c r="I520" s="109"/>
      <c r="J520" s="109"/>
    </row>
    <row r="521" spans="1:10">
      <c r="A521" s="108"/>
      <c r="B521" s="109"/>
      <c r="C521" s="109"/>
      <c r="D521" s="109"/>
      <c r="E521" s="109"/>
      <c r="F521" s="109"/>
      <c r="G521" s="109"/>
      <c r="H521" s="109"/>
      <c r="I521" s="109"/>
      <c r="J521" s="109"/>
    </row>
    <row r="522" spans="1:10">
      <c r="A522" s="108"/>
      <c r="B522" s="109"/>
      <c r="C522" s="109"/>
      <c r="D522" s="109"/>
      <c r="E522" s="109"/>
      <c r="F522" s="109"/>
      <c r="G522" s="109"/>
      <c r="H522" s="109"/>
      <c r="I522" s="109"/>
      <c r="J522" s="109"/>
    </row>
    <row r="523" spans="1:10">
      <c r="A523" s="108"/>
      <c r="B523" s="109"/>
      <c r="C523" s="109"/>
      <c r="D523" s="109"/>
      <c r="E523" s="109"/>
      <c r="F523" s="109"/>
      <c r="G523" s="109"/>
      <c r="H523" s="109"/>
      <c r="I523" s="109"/>
      <c r="J523" s="109"/>
    </row>
    <row r="524" spans="1:10">
      <c r="A524" s="108"/>
      <c r="B524" s="109"/>
      <c r="C524" s="109"/>
      <c r="D524" s="109"/>
      <c r="E524" s="109"/>
      <c r="F524" s="109"/>
      <c r="G524" s="109"/>
      <c r="H524" s="109"/>
      <c r="I524" s="109"/>
      <c r="J524" s="109"/>
    </row>
    <row r="525" spans="1:10">
      <c r="A525" s="108"/>
      <c r="B525" s="109"/>
      <c r="C525" s="109"/>
      <c r="D525" s="109"/>
      <c r="E525" s="109"/>
      <c r="F525" s="109"/>
      <c r="G525" s="109"/>
      <c r="H525" s="109"/>
      <c r="I525" s="109"/>
      <c r="J525" s="109"/>
    </row>
    <row r="526" spans="1:10">
      <c r="A526" s="108"/>
      <c r="B526" s="109"/>
      <c r="C526" s="109"/>
      <c r="D526" s="109"/>
      <c r="E526" s="109"/>
      <c r="F526" s="109"/>
      <c r="G526" s="109"/>
      <c r="H526" s="109"/>
      <c r="I526" s="109"/>
      <c r="J526" s="109"/>
    </row>
    <row r="527" spans="1:10">
      <c r="A527" s="108"/>
      <c r="B527" s="109"/>
      <c r="C527" s="109"/>
      <c r="D527" s="109"/>
      <c r="E527" s="109"/>
      <c r="F527" s="109"/>
      <c r="G527" s="109"/>
      <c r="H527" s="109"/>
      <c r="I527" s="109"/>
      <c r="J527" s="109"/>
    </row>
    <row r="528" spans="1:10">
      <c r="A528" s="108"/>
      <c r="B528" s="109"/>
      <c r="C528" s="109"/>
      <c r="D528" s="109"/>
      <c r="E528" s="109"/>
      <c r="F528" s="109"/>
      <c r="G528" s="109"/>
      <c r="H528" s="109"/>
      <c r="I528" s="109"/>
      <c r="J528" s="109"/>
    </row>
    <row r="529" spans="1:10">
      <c r="A529" s="108"/>
      <c r="B529" s="109"/>
      <c r="C529" s="109"/>
      <c r="D529" s="109"/>
      <c r="E529" s="109"/>
      <c r="F529" s="109"/>
      <c r="G529" s="109"/>
      <c r="H529" s="109"/>
      <c r="I529" s="109"/>
      <c r="J529" s="109"/>
    </row>
    <row r="530" spans="1:10">
      <c r="A530" s="108"/>
      <c r="B530" s="109"/>
      <c r="C530" s="109"/>
      <c r="D530" s="109"/>
      <c r="E530" s="109"/>
      <c r="F530" s="109"/>
      <c r="G530" s="109"/>
      <c r="H530" s="109"/>
      <c r="I530" s="109"/>
      <c r="J530" s="109"/>
    </row>
    <row r="531" spans="1:10">
      <c r="A531" s="108"/>
      <c r="B531" s="109"/>
      <c r="C531" s="109"/>
      <c r="D531" s="109"/>
      <c r="E531" s="109"/>
      <c r="F531" s="109"/>
      <c r="G531" s="109"/>
      <c r="H531" s="109"/>
      <c r="I531" s="109"/>
      <c r="J531" s="109"/>
    </row>
    <row r="532" spans="1:10">
      <c r="A532" s="108"/>
      <c r="B532" s="109"/>
      <c r="C532" s="109"/>
      <c r="D532" s="109"/>
      <c r="E532" s="109"/>
      <c r="F532" s="109"/>
      <c r="G532" s="109"/>
      <c r="H532" s="109"/>
      <c r="I532" s="109"/>
      <c r="J532" s="109"/>
    </row>
    <row r="533" spans="1:10">
      <c r="A533" s="108"/>
      <c r="B533" s="109"/>
      <c r="C533" s="109"/>
      <c r="D533" s="109"/>
      <c r="E533" s="109"/>
      <c r="F533" s="109"/>
      <c r="G533" s="109"/>
      <c r="H533" s="109"/>
      <c r="I533" s="109"/>
      <c r="J533" s="109"/>
    </row>
    <row r="534" spans="1:10">
      <c r="A534" s="108"/>
      <c r="B534" s="109"/>
      <c r="C534" s="109"/>
      <c r="D534" s="109"/>
      <c r="E534" s="109"/>
      <c r="F534" s="109"/>
      <c r="G534" s="109"/>
      <c r="H534" s="109"/>
      <c r="I534" s="109"/>
      <c r="J534" s="109"/>
    </row>
    <row r="535" spans="1:10">
      <c r="A535" s="108"/>
      <c r="B535" s="109"/>
      <c r="C535" s="109"/>
      <c r="D535" s="109"/>
      <c r="E535" s="109"/>
      <c r="F535" s="109"/>
      <c r="G535" s="109"/>
      <c r="H535" s="109"/>
      <c r="I535" s="109"/>
      <c r="J535" s="109"/>
    </row>
    <row r="536" spans="1:10">
      <c r="A536" s="108"/>
      <c r="B536" s="109"/>
      <c r="C536" s="109"/>
      <c r="D536" s="109"/>
      <c r="E536" s="109"/>
      <c r="F536" s="109"/>
      <c r="G536" s="109"/>
      <c r="H536" s="109"/>
      <c r="I536" s="109"/>
      <c r="J536" s="109"/>
    </row>
    <row r="537" spans="1:10">
      <c r="A537" s="108"/>
      <c r="B537" s="109"/>
      <c r="C537" s="109"/>
      <c r="D537" s="109"/>
      <c r="E537" s="109"/>
      <c r="F537" s="109"/>
      <c r="G537" s="109"/>
      <c r="H537" s="109"/>
      <c r="I537" s="109"/>
      <c r="J537" s="109"/>
    </row>
    <row r="538" spans="1:10">
      <c r="A538" s="108"/>
      <c r="B538" s="109"/>
      <c r="C538" s="109"/>
      <c r="D538" s="109"/>
      <c r="E538" s="109"/>
      <c r="F538" s="109"/>
      <c r="G538" s="109"/>
      <c r="H538" s="109"/>
      <c r="I538" s="109"/>
      <c r="J538" s="109"/>
    </row>
    <row r="539" spans="1:10">
      <c r="A539" s="108"/>
      <c r="B539" s="109"/>
      <c r="C539" s="109"/>
      <c r="D539" s="109"/>
      <c r="E539" s="109"/>
      <c r="F539" s="109"/>
      <c r="G539" s="109"/>
      <c r="H539" s="109"/>
      <c r="I539" s="109"/>
      <c r="J539" s="109"/>
    </row>
    <row r="540" spans="1:10">
      <c r="A540" s="108"/>
      <c r="B540" s="109"/>
      <c r="C540" s="109"/>
      <c r="D540" s="109"/>
      <c r="E540" s="109"/>
      <c r="F540" s="109"/>
      <c r="G540" s="109"/>
      <c r="H540" s="109"/>
      <c r="I540" s="109"/>
      <c r="J540" s="109"/>
    </row>
    <row r="541" spans="1:10">
      <c r="A541" s="108"/>
      <c r="B541" s="109"/>
      <c r="C541" s="109"/>
      <c r="D541" s="109"/>
      <c r="E541" s="109"/>
      <c r="F541" s="109"/>
      <c r="G541" s="109"/>
      <c r="H541" s="109"/>
      <c r="I541" s="109"/>
      <c r="J541" s="109"/>
    </row>
    <row r="542" spans="1:10">
      <c r="A542" s="108"/>
      <c r="B542" s="109"/>
      <c r="C542" s="109"/>
      <c r="D542" s="109"/>
      <c r="E542" s="109"/>
      <c r="F542" s="109"/>
      <c r="G542" s="109"/>
      <c r="H542" s="109"/>
      <c r="I542" s="109"/>
      <c r="J542" s="109"/>
    </row>
    <row r="543" spans="1:10">
      <c r="A543" s="108"/>
      <c r="B543" s="109"/>
      <c r="C543" s="109"/>
      <c r="D543" s="109"/>
      <c r="E543" s="109"/>
      <c r="F543" s="109"/>
      <c r="G543" s="109"/>
      <c r="H543" s="109"/>
      <c r="I543" s="109"/>
      <c r="J543" s="109"/>
    </row>
    <row r="544" spans="1:10">
      <c r="A544" s="108"/>
      <c r="B544" s="109"/>
      <c r="C544" s="109"/>
      <c r="D544" s="109"/>
      <c r="E544" s="109"/>
      <c r="F544" s="109"/>
      <c r="G544" s="109"/>
      <c r="H544" s="109"/>
      <c r="I544" s="109"/>
      <c r="J544" s="109"/>
    </row>
    <row r="545" spans="1:10">
      <c r="A545" s="108"/>
      <c r="B545" s="109"/>
      <c r="C545" s="109"/>
      <c r="D545" s="109"/>
      <c r="E545" s="109"/>
      <c r="F545" s="109"/>
      <c r="G545" s="109"/>
      <c r="H545" s="109"/>
      <c r="I545" s="109"/>
      <c r="J545" s="109"/>
    </row>
    <row r="546" spans="1:10">
      <c r="A546" s="108"/>
      <c r="B546" s="109"/>
      <c r="C546" s="109"/>
      <c r="D546" s="109"/>
      <c r="E546" s="109"/>
      <c r="F546" s="109"/>
      <c r="G546" s="109"/>
      <c r="H546" s="109"/>
      <c r="I546" s="109"/>
      <c r="J546" s="109"/>
    </row>
    <row r="547" spans="1:10">
      <c r="A547" s="108"/>
      <c r="B547" s="109"/>
      <c r="C547" s="109"/>
      <c r="D547" s="109"/>
      <c r="E547" s="109"/>
      <c r="F547" s="109"/>
      <c r="G547" s="109"/>
      <c r="H547" s="109"/>
      <c r="I547" s="109"/>
      <c r="J547" s="109"/>
    </row>
    <row r="548" spans="1:10">
      <c r="A548" s="108"/>
      <c r="B548" s="109"/>
      <c r="C548" s="109"/>
      <c r="D548" s="109"/>
      <c r="E548" s="109"/>
      <c r="F548" s="109"/>
      <c r="G548" s="109"/>
      <c r="H548" s="109"/>
      <c r="I548" s="109"/>
      <c r="J548" s="109"/>
    </row>
    <row r="549" spans="1:10">
      <c r="A549" s="108"/>
      <c r="B549" s="109"/>
      <c r="C549" s="109"/>
      <c r="D549" s="109"/>
      <c r="E549" s="109"/>
      <c r="F549" s="109"/>
      <c r="G549" s="109"/>
      <c r="H549" s="109"/>
      <c r="I549" s="109"/>
      <c r="J549" s="109"/>
    </row>
    <row r="550" spans="1:10">
      <c r="A550" s="108"/>
      <c r="B550" s="109"/>
      <c r="C550" s="109"/>
      <c r="D550" s="109"/>
      <c r="E550" s="109"/>
      <c r="F550" s="109"/>
      <c r="G550" s="109"/>
      <c r="H550" s="109"/>
      <c r="I550" s="109"/>
      <c r="J550" s="109"/>
    </row>
    <row r="551" spans="1:10">
      <c r="A551" s="108"/>
      <c r="B551" s="109"/>
      <c r="C551" s="109"/>
      <c r="D551" s="109"/>
      <c r="E551" s="109"/>
      <c r="F551" s="109"/>
      <c r="G551" s="109"/>
      <c r="H551" s="109"/>
      <c r="I551" s="109"/>
      <c r="J551" s="109"/>
    </row>
    <row r="552" spans="1:10">
      <c r="A552" s="108"/>
      <c r="B552" s="109"/>
      <c r="C552" s="109"/>
      <c r="D552" s="109"/>
      <c r="E552" s="109"/>
      <c r="F552" s="109"/>
      <c r="G552" s="109"/>
      <c r="H552" s="109"/>
      <c r="I552" s="109"/>
      <c r="J552" s="109"/>
    </row>
    <row r="553" spans="1:10">
      <c r="A553" s="108"/>
      <c r="B553" s="109"/>
      <c r="C553" s="109"/>
      <c r="D553" s="109"/>
      <c r="E553" s="109"/>
      <c r="F553" s="109"/>
      <c r="G553" s="109"/>
      <c r="H553" s="109"/>
      <c r="I553" s="109"/>
      <c r="J553" s="109"/>
    </row>
    <row r="554" spans="1:10">
      <c r="A554" s="108"/>
      <c r="B554" s="109"/>
      <c r="C554" s="109"/>
      <c r="D554" s="109"/>
      <c r="E554" s="109"/>
      <c r="F554" s="109"/>
      <c r="G554" s="109"/>
      <c r="H554" s="109"/>
      <c r="I554" s="109"/>
      <c r="J554" s="109"/>
    </row>
    <row r="555" spans="1:10">
      <c r="A555" s="108"/>
      <c r="B555" s="109"/>
      <c r="C555" s="109"/>
      <c r="D555" s="109"/>
      <c r="E555" s="109"/>
      <c r="F555" s="109"/>
      <c r="G555" s="109"/>
      <c r="H555" s="109"/>
      <c r="I555" s="109"/>
      <c r="J555" s="109"/>
    </row>
    <row r="556" spans="1:10">
      <c r="A556" s="108"/>
      <c r="B556" s="109"/>
      <c r="C556" s="109"/>
      <c r="D556" s="109"/>
      <c r="E556" s="109"/>
      <c r="F556" s="109"/>
      <c r="G556" s="109"/>
      <c r="H556" s="109"/>
      <c r="I556" s="109"/>
      <c r="J556" s="109"/>
    </row>
    <row r="557" spans="1:10">
      <c r="A557" s="108"/>
      <c r="B557" s="109"/>
      <c r="C557" s="109"/>
      <c r="D557" s="109"/>
      <c r="E557" s="109"/>
      <c r="F557" s="109"/>
      <c r="G557" s="109"/>
      <c r="H557" s="109"/>
      <c r="I557" s="109"/>
      <c r="J557" s="109"/>
    </row>
    <row r="558" spans="1:10">
      <c r="A558" s="108"/>
      <c r="B558" s="109"/>
      <c r="C558" s="109"/>
      <c r="D558" s="109"/>
      <c r="E558" s="109"/>
      <c r="F558" s="109"/>
      <c r="G558" s="109"/>
      <c r="H558" s="109"/>
      <c r="I558" s="109"/>
      <c r="J558" s="109"/>
    </row>
    <row r="559" spans="1:10">
      <c r="A559" s="108"/>
      <c r="B559" s="109"/>
      <c r="C559" s="109"/>
      <c r="D559" s="109"/>
      <c r="E559" s="109"/>
      <c r="F559" s="109"/>
      <c r="G559" s="109"/>
      <c r="H559" s="109"/>
      <c r="I559" s="109"/>
      <c r="J559" s="109"/>
    </row>
    <row r="560" spans="1:10">
      <c r="A560" s="108"/>
      <c r="B560" s="109"/>
      <c r="C560" s="109"/>
      <c r="D560" s="109"/>
      <c r="E560" s="109"/>
      <c r="F560" s="109"/>
      <c r="G560" s="109"/>
      <c r="H560" s="109"/>
      <c r="I560" s="109"/>
      <c r="J560" s="109"/>
    </row>
    <row r="561" spans="1:10">
      <c r="A561" s="108"/>
      <c r="B561" s="109"/>
      <c r="C561" s="109"/>
      <c r="D561" s="109"/>
      <c r="E561" s="109"/>
      <c r="F561" s="109"/>
      <c r="G561" s="109"/>
      <c r="H561" s="109"/>
      <c r="I561" s="109"/>
      <c r="J561" s="109"/>
    </row>
    <row r="562" spans="1:10">
      <c r="A562" s="108"/>
      <c r="B562" s="109"/>
      <c r="C562" s="109"/>
      <c r="D562" s="109"/>
      <c r="E562" s="109"/>
      <c r="F562" s="109"/>
      <c r="G562" s="109"/>
      <c r="H562" s="109"/>
      <c r="I562" s="109"/>
      <c r="J562" s="109"/>
    </row>
    <row r="563" spans="1:10">
      <c r="A563" s="108"/>
      <c r="B563" s="109"/>
      <c r="C563" s="109"/>
      <c r="D563" s="109"/>
      <c r="E563" s="109"/>
      <c r="F563" s="109"/>
      <c r="G563" s="109"/>
      <c r="H563" s="109"/>
      <c r="I563" s="109"/>
      <c r="J563" s="109"/>
    </row>
    <row r="564" spans="1:10">
      <c r="A564" s="108"/>
      <c r="B564" s="109"/>
      <c r="C564" s="109"/>
      <c r="D564" s="109"/>
      <c r="E564" s="109"/>
      <c r="F564" s="109"/>
      <c r="G564" s="109"/>
      <c r="H564" s="109"/>
      <c r="I564" s="109"/>
      <c r="J564" s="109"/>
    </row>
    <row r="565" spans="1:10">
      <c r="A565" s="108"/>
      <c r="B565" s="109"/>
      <c r="C565" s="109"/>
      <c r="D565" s="109"/>
      <c r="E565" s="109"/>
      <c r="F565" s="109"/>
      <c r="G565" s="109"/>
      <c r="H565" s="109"/>
      <c r="I565" s="109"/>
      <c r="J565" s="109"/>
    </row>
    <row r="566" spans="1:10">
      <c r="A566" s="108"/>
      <c r="B566" s="109"/>
      <c r="C566" s="109"/>
      <c r="D566" s="109"/>
      <c r="E566" s="109"/>
      <c r="F566" s="109"/>
      <c r="G566" s="109"/>
      <c r="H566" s="109"/>
      <c r="I566" s="109"/>
      <c r="J566" s="109"/>
    </row>
    <row r="567" spans="1:10">
      <c r="A567" s="108"/>
      <c r="B567" s="109"/>
      <c r="C567" s="109"/>
      <c r="D567" s="109"/>
      <c r="E567" s="109"/>
      <c r="F567" s="109"/>
      <c r="G567" s="109"/>
      <c r="H567" s="109"/>
      <c r="I567" s="109"/>
      <c r="J567" s="109"/>
    </row>
    <row r="568" spans="1:10">
      <c r="A568" s="108"/>
      <c r="B568" s="109"/>
      <c r="C568" s="109"/>
      <c r="D568" s="109"/>
      <c r="E568" s="109"/>
      <c r="F568" s="109"/>
      <c r="G568" s="109"/>
      <c r="H568" s="109"/>
      <c r="I568" s="109"/>
      <c r="J568" s="109"/>
    </row>
    <row r="569" spans="1:10">
      <c r="A569" s="108"/>
      <c r="B569" s="109"/>
      <c r="C569" s="109"/>
      <c r="D569" s="109"/>
      <c r="E569" s="109"/>
      <c r="F569" s="109"/>
      <c r="G569" s="109"/>
      <c r="H569" s="109"/>
      <c r="I569" s="109"/>
      <c r="J569" s="109"/>
    </row>
    <row r="570" spans="1:10">
      <c r="A570" s="108"/>
      <c r="B570" s="109"/>
      <c r="C570" s="109"/>
      <c r="D570" s="109"/>
      <c r="E570" s="109"/>
      <c r="F570" s="109"/>
      <c r="G570" s="109"/>
      <c r="H570" s="109"/>
      <c r="I570" s="109"/>
      <c r="J570" s="109"/>
    </row>
    <row r="571" spans="1:10">
      <c r="A571" s="108"/>
      <c r="B571" s="109"/>
      <c r="C571" s="109"/>
      <c r="D571" s="109"/>
      <c r="E571" s="109"/>
      <c r="F571" s="109"/>
      <c r="G571" s="109"/>
      <c r="H571" s="109"/>
      <c r="I571" s="109"/>
      <c r="J571" s="109"/>
    </row>
    <row r="572" spans="1:10">
      <c r="A572" s="108"/>
      <c r="B572" s="109"/>
      <c r="C572" s="109"/>
      <c r="D572" s="109"/>
      <c r="E572" s="109"/>
      <c r="F572" s="109"/>
      <c r="G572" s="109"/>
      <c r="H572" s="109"/>
      <c r="I572" s="109"/>
      <c r="J572" s="109"/>
    </row>
    <row r="573" spans="1:10">
      <c r="A573" s="108"/>
      <c r="B573" s="109"/>
      <c r="C573" s="109"/>
      <c r="D573" s="109"/>
      <c r="E573" s="109"/>
      <c r="F573" s="109"/>
      <c r="G573" s="109"/>
      <c r="H573" s="109"/>
      <c r="I573" s="109"/>
      <c r="J573" s="109"/>
    </row>
    <row r="574" spans="1:10">
      <c r="A574" s="108"/>
      <c r="B574" s="109"/>
      <c r="C574" s="109"/>
      <c r="D574" s="109"/>
      <c r="E574" s="109"/>
      <c r="F574" s="109"/>
      <c r="G574" s="109"/>
      <c r="H574" s="109"/>
      <c r="I574" s="109"/>
      <c r="J574" s="109"/>
    </row>
    <row r="575" spans="1:10">
      <c r="A575" s="108"/>
      <c r="B575" s="109"/>
      <c r="C575" s="109"/>
      <c r="D575" s="109"/>
      <c r="E575" s="109"/>
      <c r="F575" s="109"/>
      <c r="G575" s="109"/>
      <c r="H575" s="109"/>
      <c r="I575" s="109"/>
      <c r="J575" s="109"/>
    </row>
    <row r="576" spans="1:10">
      <c r="A576" s="108"/>
      <c r="B576" s="109"/>
      <c r="C576" s="109"/>
      <c r="D576" s="109"/>
      <c r="E576" s="109"/>
      <c r="F576" s="109"/>
      <c r="G576" s="109"/>
      <c r="H576" s="109"/>
      <c r="I576" s="109"/>
      <c r="J576" s="109"/>
    </row>
    <row r="577" spans="1:10">
      <c r="A577" s="108"/>
      <c r="B577" s="109"/>
      <c r="C577" s="109"/>
      <c r="D577" s="109"/>
      <c r="E577" s="109"/>
      <c r="F577" s="109"/>
      <c r="G577" s="109"/>
      <c r="H577" s="109"/>
      <c r="I577" s="109"/>
      <c r="J577" s="109"/>
    </row>
    <row r="578" spans="1:10">
      <c r="A578" s="108"/>
      <c r="B578" s="109"/>
      <c r="C578" s="109"/>
      <c r="D578" s="109"/>
      <c r="E578" s="109"/>
      <c r="F578" s="109"/>
      <c r="G578" s="109"/>
      <c r="H578" s="109"/>
      <c r="I578" s="109"/>
      <c r="J578" s="109"/>
    </row>
    <row r="579" spans="1:10">
      <c r="A579" s="108"/>
      <c r="B579" s="109"/>
      <c r="C579" s="109"/>
      <c r="D579" s="109"/>
      <c r="E579" s="109"/>
      <c r="F579" s="109"/>
      <c r="G579" s="109"/>
      <c r="H579" s="109"/>
      <c r="I579" s="109"/>
      <c r="J579" s="109"/>
    </row>
    <row r="580" spans="1:10">
      <c r="A580" s="108"/>
      <c r="B580" s="109"/>
      <c r="C580" s="109"/>
      <c r="D580" s="109"/>
      <c r="E580" s="109"/>
      <c r="F580" s="109"/>
      <c r="G580" s="109"/>
      <c r="H580" s="109"/>
      <c r="I580" s="109"/>
      <c r="J580" s="109"/>
    </row>
    <row r="581" spans="1:10">
      <c r="A581" s="108"/>
      <c r="B581" s="109"/>
      <c r="C581" s="109"/>
      <c r="D581" s="109"/>
      <c r="E581" s="109"/>
      <c r="F581" s="109"/>
      <c r="G581" s="109"/>
      <c r="H581" s="109"/>
      <c r="I581" s="109"/>
      <c r="J581" s="109"/>
    </row>
    <row r="582" spans="1:10">
      <c r="A582" s="108"/>
      <c r="B582" s="109"/>
      <c r="C582" s="109"/>
      <c r="D582" s="109"/>
      <c r="E582" s="109"/>
      <c r="F582" s="109"/>
      <c r="G582" s="109"/>
      <c r="H582" s="109"/>
      <c r="I582" s="109"/>
      <c r="J582" s="109"/>
    </row>
    <row r="583" spans="1:10">
      <c r="A583" s="108"/>
      <c r="B583" s="109"/>
      <c r="C583" s="109"/>
      <c r="D583" s="109"/>
      <c r="E583" s="109"/>
      <c r="F583" s="109"/>
      <c r="G583" s="109"/>
      <c r="H583" s="109"/>
      <c r="I583" s="109"/>
      <c r="J583" s="109"/>
    </row>
    <row r="584" spans="1:10">
      <c r="A584" s="108"/>
      <c r="B584" s="109"/>
      <c r="C584" s="109"/>
      <c r="D584" s="109"/>
      <c r="E584" s="109"/>
      <c r="F584" s="109"/>
      <c r="G584" s="109"/>
      <c r="H584" s="109"/>
      <c r="I584" s="109"/>
      <c r="J584" s="109"/>
    </row>
    <row r="585" spans="1:10">
      <c r="A585" s="108"/>
      <c r="B585" s="109"/>
      <c r="C585" s="109"/>
      <c r="D585" s="109"/>
      <c r="E585" s="109"/>
      <c r="F585" s="109"/>
      <c r="G585" s="109"/>
      <c r="H585" s="109"/>
      <c r="I585" s="109"/>
      <c r="J585" s="109"/>
    </row>
    <row r="586" spans="1:10">
      <c r="A586" s="108"/>
      <c r="B586" s="109"/>
      <c r="C586" s="109"/>
      <c r="D586" s="109"/>
      <c r="E586" s="109"/>
      <c r="F586" s="109"/>
      <c r="G586" s="109"/>
      <c r="H586" s="109"/>
      <c r="I586" s="109"/>
      <c r="J586" s="109"/>
    </row>
    <row r="587" spans="1:10">
      <c r="A587" s="108"/>
      <c r="B587" s="109"/>
      <c r="C587" s="109"/>
      <c r="D587" s="109"/>
      <c r="E587" s="109"/>
      <c r="F587" s="109"/>
      <c r="G587" s="109"/>
      <c r="H587" s="109"/>
      <c r="I587" s="109"/>
      <c r="J587" s="109"/>
    </row>
    <row r="588" spans="1:10">
      <c r="A588" s="108"/>
      <c r="B588" s="109"/>
      <c r="C588" s="109"/>
      <c r="D588" s="109"/>
      <c r="E588" s="109"/>
      <c r="F588" s="109"/>
      <c r="G588" s="109"/>
      <c r="H588" s="109"/>
      <c r="I588" s="109"/>
      <c r="J588" s="109"/>
    </row>
    <row r="589" spans="1:10">
      <c r="A589" s="108"/>
      <c r="B589" s="109"/>
      <c r="C589" s="109"/>
      <c r="D589" s="109"/>
      <c r="E589" s="109"/>
      <c r="F589" s="109"/>
      <c r="G589" s="109"/>
      <c r="H589" s="109"/>
      <c r="I589" s="109"/>
      <c r="J589" s="109"/>
    </row>
    <row r="590" spans="1:10">
      <c r="A590" s="108"/>
      <c r="B590" s="109"/>
      <c r="C590" s="109"/>
      <c r="D590" s="109"/>
      <c r="E590" s="109"/>
      <c r="F590" s="109"/>
      <c r="G590" s="109"/>
      <c r="H590" s="109"/>
      <c r="I590" s="109"/>
      <c r="J590" s="109"/>
    </row>
    <row r="591" spans="1:10">
      <c r="A591" s="108"/>
      <c r="B591" s="109"/>
      <c r="C591" s="109"/>
      <c r="D591" s="109"/>
      <c r="E591" s="109"/>
      <c r="F591" s="109"/>
      <c r="G591" s="109"/>
      <c r="H591" s="109"/>
      <c r="I591" s="109"/>
      <c r="J591" s="109"/>
    </row>
    <row r="592" spans="1:10">
      <c r="A592" s="108"/>
      <c r="B592" s="109"/>
      <c r="C592" s="109"/>
      <c r="D592" s="109"/>
      <c r="E592" s="109"/>
      <c r="F592" s="109"/>
      <c r="G592" s="109"/>
      <c r="H592" s="109"/>
      <c r="I592" s="109"/>
      <c r="J592" s="109"/>
    </row>
    <row r="593" spans="1:10">
      <c r="A593" s="108"/>
      <c r="B593" s="109"/>
      <c r="C593" s="109"/>
      <c r="D593" s="109"/>
      <c r="E593" s="109"/>
      <c r="F593" s="109"/>
      <c r="G593" s="109"/>
      <c r="H593" s="109"/>
      <c r="I593" s="109"/>
      <c r="J593" s="109"/>
    </row>
    <row r="594" spans="1:10">
      <c r="A594" s="108"/>
      <c r="B594" s="109"/>
      <c r="C594" s="109"/>
      <c r="D594" s="109"/>
      <c r="E594" s="109"/>
      <c r="F594" s="109"/>
      <c r="G594" s="109"/>
      <c r="H594" s="109"/>
      <c r="I594" s="109"/>
      <c r="J594" s="109"/>
    </row>
    <row r="595" spans="1:10">
      <c r="A595" s="108"/>
      <c r="B595" s="109"/>
      <c r="C595" s="109"/>
      <c r="D595" s="109"/>
      <c r="E595" s="109"/>
      <c r="F595" s="109"/>
      <c r="G595" s="109"/>
      <c r="H595" s="109"/>
      <c r="I595" s="109"/>
      <c r="J595" s="109"/>
    </row>
    <row r="596" spans="1:10">
      <c r="A596" s="108"/>
      <c r="B596" s="109"/>
      <c r="C596" s="109"/>
      <c r="D596" s="109"/>
      <c r="E596" s="109"/>
      <c r="F596" s="109"/>
      <c r="G596" s="109"/>
      <c r="H596" s="109"/>
      <c r="I596" s="109"/>
      <c r="J596" s="109"/>
    </row>
    <row r="597" spans="1:10">
      <c r="A597" s="108"/>
      <c r="B597" s="109"/>
      <c r="C597" s="109"/>
      <c r="D597" s="109"/>
      <c r="E597" s="109"/>
      <c r="F597" s="109"/>
      <c r="G597" s="109"/>
      <c r="H597" s="109"/>
      <c r="I597" s="109"/>
      <c r="J597" s="109"/>
    </row>
    <row r="598" spans="1:10">
      <c r="A598" s="108"/>
      <c r="B598" s="109"/>
      <c r="C598" s="109"/>
      <c r="D598" s="109"/>
      <c r="E598" s="109"/>
      <c r="F598" s="109"/>
      <c r="G598" s="109"/>
      <c r="H598" s="109"/>
      <c r="I598" s="109"/>
      <c r="J598" s="109"/>
    </row>
    <row r="599" spans="1:10">
      <c r="A599" s="108"/>
      <c r="B599" s="109"/>
      <c r="C599" s="109"/>
      <c r="D599" s="109"/>
      <c r="E599" s="109"/>
      <c r="F599" s="109"/>
      <c r="G599" s="109"/>
      <c r="H599" s="109"/>
      <c r="I599" s="109"/>
      <c r="J599" s="109"/>
    </row>
    <row r="600" spans="1:10">
      <c r="A600" s="108"/>
      <c r="B600" s="109"/>
      <c r="C600" s="109"/>
      <c r="D600" s="109"/>
      <c r="E600" s="109"/>
      <c r="F600" s="109"/>
      <c r="G600" s="109"/>
      <c r="H600" s="109"/>
      <c r="I600" s="109"/>
      <c r="J600" s="109"/>
    </row>
    <row r="601" spans="1:10">
      <c r="A601" s="108"/>
      <c r="B601" s="109"/>
      <c r="C601" s="109"/>
      <c r="D601" s="109"/>
      <c r="E601" s="109"/>
      <c r="F601" s="109"/>
      <c r="G601" s="109"/>
      <c r="H601" s="109"/>
      <c r="I601" s="109"/>
      <c r="J601" s="109"/>
    </row>
    <row r="602" spans="1:10">
      <c r="A602" s="108"/>
      <c r="B602" s="109"/>
      <c r="C602" s="109"/>
      <c r="D602" s="109"/>
      <c r="E602" s="109"/>
      <c r="F602" s="109"/>
      <c r="G602" s="109"/>
      <c r="H602" s="109"/>
      <c r="I602" s="109"/>
      <c r="J602" s="109"/>
    </row>
    <row r="603" spans="1:10">
      <c r="A603" s="108"/>
      <c r="B603" s="109"/>
      <c r="C603" s="109"/>
      <c r="D603" s="109"/>
      <c r="E603" s="109"/>
      <c r="F603" s="109"/>
      <c r="G603" s="109"/>
      <c r="H603" s="109"/>
      <c r="I603" s="109"/>
      <c r="J603" s="109"/>
    </row>
    <row r="604" spans="1:10">
      <c r="A604" s="108"/>
      <c r="B604" s="109"/>
      <c r="C604" s="109"/>
      <c r="D604" s="109"/>
      <c r="E604" s="109"/>
      <c r="F604" s="109"/>
      <c r="G604" s="109"/>
      <c r="H604" s="109"/>
      <c r="I604" s="109"/>
      <c r="J604" s="109"/>
    </row>
    <row r="605" spans="1:10">
      <c r="A605" s="108"/>
      <c r="B605" s="109"/>
      <c r="C605" s="109"/>
      <c r="D605" s="109"/>
      <c r="E605" s="109"/>
      <c r="F605" s="109"/>
      <c r="G605" s="109"/>
      <c r="H605" s="109"/>
      <c r="I605" s="109"/>
      <c r="J605" s="109"/>
    </row>
    <row r="606" spans="1:10">
      <c r="A606" s="108"/>
      <c r="B606" s="109"/>
      <c r="C606" s="109"/>
      <c r="D606" s="109"/>
      <c r="E606" s="109"/>
      <c r="F606" s="109"/>
      <c r="G606" s="109"/>
      <c r="H606" s="109"/>
      <c r="I606" s="109"/>
      <c r="J606" s="109"/>
    </row>
    <row r="607" spans="1:10">
      <c r="A607" s="108"/>
      <c r="B607" s="109"/>
      <c r="C607" s="109"/>
      <c r="D607" s="109"/>
      <c r="E607" s="109"/>
      <c r="F607" s="109"/>
      <c r="G607" s="109"/>
      <c r="H607" s="109"/>
      <c r="I607" s="109"/>
      <c r="J607" s="109"/>
    </row>
    <row r="608" spans="1:10">
      <c r="A608" s="108"/>
      <c r="B608" s="109"/>
      <c r="C608" s="109"/>
      <c r="D608" s="109"/>
      <c r="E608" s="109"/>
      <c r="F608" s="109"/>
      <c r="G608" s="109"/>
      <c r="H608" s="109"/>
      <c r="I608" s="109"/>
      <c r="J608" s="109"/>
    </row>
    <row r="609" spans="1:10">
      <c r="A609" s="108"/>
      <c r="B609" s="109"/>
      <c r="C609" s="109"/>
      <c r="D609" s="109"/>
      <c r="E609" s="109"/>
      <c r="F609" s="109"/>
      <c r="G609" s="109"/>
      <c r="H609" s="109"/>
      <c r="I609" s="109"/>
      <c r="J609" s="109"/>
    </row>
    <row r="610" spans="1:10">
      <c r="A610" s="108"/>
      <c r="B610" s="109"/>
      <c r="C610" s="109"/>
      <c r="D610" s="109"/>
      <c r="E610" s="109"/>
      <c r="F610" s="109"/>
      <c r="G610" s="109"/>
      <c r="H610" s="109"/>
      <c r="I610" s="109"/>
      <c r="J610" s="109"/>
    </row>
    <row r="611" spans="1:10">
      <c r="A611" s="108"/>
      <c r="B611" s="109"/>
      <c r="C611" s="109"/>
      <c r="D611" s="109"/>
      <c r="E611" s="109"/>
      <c r="F611" s="109"/>
      <c r="G611" s="109"/>
      <c r="H611" s="109"/>
      <c r="I611" s="109"/>
      <c r="J611" s="109"/>
    </row>
    <row r="612" spans="1:10">
      <c r="A612" s="108"/>
      <c r="B612" s="109"/>
      <c r="C612" s="109"/>
      <c r="D612" s="109"/>
      <c r="E612" s="109"/>
      <c r="F612" s="109"/>
      <c r="G612" s="109"/>
      <c r="H612" s="109"/>
      <c r="I612" s="109"/>
      <c r="J612" s="109"/>
    </row>
    <row r="613" spans="1:10">
      <c r="A613" s="108"/>
      <c r="B613" s="109"/>
      <c r="C613" s="109"/>
      <c r="D613" s="109"/>
      <c r="E613" s="109"/>
      <c r="F613" s="109"/>
      <c r="G613" s="109"/>
      <c r="H613" s="109"/>
      <c r="I613" s="109"/>
      <c r="J613" s="109"/>
    </row>
    <row r="614" spans="1:10">
      <c r="A614" s="108"/>
      <c r="B614" s="109"/>
      <c r="C614" s="109"/>
      <c r="D614" s="109"/>
      <c r="E614" s="109"/>
      <c r="F614" s="109"/>
      <c r="G614" s="109"/>
      <c r="H614" s="109"/>
      <c r="I614" s="109"/>
      <c r="J614" s="109"/>
    </row>
    <row r="615" spans="1:10">
      <c r="A615" s="108"/>
      <c r="B615" s="109"/>
      <c r="C615" s="109"/>
      <c r="D615" s="109"/>
      <c r="E615" s="109"/>
      <c r="F615" s="109"/>
      <c r="G615" s="109"/>
      <c r="H615" s="109"/>
      <c r="I615" s="109"/>
      <c r="J615" s="109"/>
    </row>
    <row r="616" spans="1:10">
      <c r="A616" s="108"/>
      <c r="B616" s="109"/>
      <c r="C616" s="109"/>
      <c r="D616" s="109"/>
      <c r="E616" s="109"/>
      <c r="F616" s="109"/>
      <c r="G616" s="109"/>
      <c r="H616" s="109"/>
      <c r="I616" s="109"/>
      <c r="J616" s="109"/>
    </row>
    <row r="617" spans="1:10">
      <c r="A617" s="108"/>
      <c r="B617" s="109"/>
      <c r="C617" s="109"/>
      <c r="D617" s="109"/>
      <c r="E617" s="109"/>
      <c r="F617" s="109"/>
      <c r="G617" s="109"/>
      <c r="H617" s="109"/>
      <c r="I617" s="109"/>
      <c r="J617" s="109"/>
    </row>
    <row r="618" spans="1:10">
      <c r="A618" s="108"/>
      <c r="B618" s="109"/>
      <c r="C618" s="109"/>
      <c r="D618" s="109"/>
      <c r="E618" s="109"/>
      <c r="F618" s="109"/>
      <c r="G618" s="109"/>
      <c r="H618" s="109"/>
      <c r="I618" s="109"/>
      <c r="J618" s="109"/>
    </row>
    <row r="619" spans="1:10">
      <c r="A619" s="108"/>
      <c r="B619" s="109"/>
      <c r="C619" s="109"/>
      <c r="D619" s="109"/>
      <c r="E619" s="109"/>
      <c r="F619" s="109"/>
      <c r="G619" s="109"/>
      <c r="H619" s="109"/>
      <c r="I619" s="109"/>
      <c r="J619" s="109"/>
    </row>
    <row r="620" spans="1:10">
      <c r="A620" s="108"/>
      <c r="B620" s="109"/>
      <c r="C620" s="109"/>
      <c r="D620" s="109"/>
      <c r="E620" s="109"/>
      <c r="F620" s="109"/>
      <c r="G620" s="109"/>
      <c r="H620" s="109"/>
      <c r="I620" s="109"/>
      <c r="J620" s="109"/>
    </row>
    <row r="621" spans="1:10">
      <c r="A621" s="108"/>
      <c r="B621" s="109"/>
      <c r="C621" s="109"/>
      <c r="D621" s="109"/>
      <c r="E621" s="109"/>
      <c r="F621" s="109"/>
      <c r="G621" s="109"/>
      <c r="H621" s="109"/>
      <c r="I621" s="109"/>
      <c r="J621" s="109"/>
    </row>
    <row r="622" spans="1:10">
      <c r="A622" s="108"/>
      <c r="B622" s="109"/>
      <c r="C622" s="109"/>
      <c r="D622" s="109"/>
      <c r="E622" s="109"/>
      <c r="F622" s="109"/>
      <c r="G622" s="109"/>
      <c r="H622" s="109"/>
      <c r="I622" s="109"/>
      <c r="J622" s="109"/>
    </row>
    <row r="623" spans="1:10">
      <c r="A623" s="108"/>
      <c r="B623" s="109"/>
      <c r="C623" s="109"/>
      <c r="D623" s="109"/>
      <c r="E623" s="109"/>
      <c r="F623" s="109"/>
      <c r="G623" s="109"/>
      <c r="H623" s="109"/>
      <c r="I623" s="109"/>
      <c r="J623" s="109"/>
    </row>
    <row r="624" spans="1:10">
      <c r="A624" s="108"/>
      <c r="B624" s="109"/>
      <c r="C624" s="109"/>
      <c r="D624" s="109"/>
      <c r="E624" s="109"/>
      <c r="F624" s="109"/>
      <c r="G624" s="109"/>
      <c r="H624" s="109"/>
      <c r="I624" s="109"/>
      <c r="J624" s="109"/>
    </row>
    <row r="625" spans="1:10">
      <c r="A625" s="108"/>
      <c r="B625" s="109"/>
      <c r="C625" s="109"/>
      <c r="D625" s="109"/>
      <c r="E625" s="109"/>
      <c r="F625" s="109"/>
      <c r="G625" s="109"/>
      <c r="H625" s="109"/>
      <c r="I625" s="109"/>
      <c r="J625" s="109"/>
    </row>
    <row r="626" spans="1:10">
      <c r="A626" s="108"/>
      <c r="B626" s="109"/>
      <c r="C626" s="109"/>
      <c r="D626" s="109"/>
      <c r="E626" s="109"/>
      <c r="F626" s="109"/>
      <c r="G626" s="109"/>
      <c r="H626" s="109"/>
      <c r="I626" s="109"/>
      <c r="J626" s="109"/>
    </row>
    <row r="627" spans="1:10">
      <c r="A627" s="108"/>
      <c r="B627" s="109"/>
      <c r="C627" s="109"/>
      <c r="D627" s="109"/>
      <c r="E627" s="109"/>
      <c r="F627" s="109"/>
      <c r="G627" s="109"/>
      <c r="H627" s="109"/>
      <c r="I627" s="109"/>
      <c r="J627" s="109"/>
    </row>
    <row r="628" spans="1:10">
      <c r="A628" s="108"/>
      <c r="B628" s="109"/>
      <c r="C628" s="109"/>
      <c r="D628" s="109"/>
      <c r="E628" s="109"/>
      <c r="F628" s="109"/>
      <c r="G628" s="109"/>
      <c r="H628" s="109"/>
      <c r="I628" s="109"/>
      <c r="J628" s="109"/>
    </row>
    <row r="629" spans="1:10">
      <c r="A629" s="108"/>
      <c r="B629" s="109"/>
      <c r="C629" s="109"/>
      <c r="D629" s="109"/>
      <c r="E629" s="109"/>
      <c r="F629" s="109"/>
      <c r="G629" s="109"/>
      <c r="H629" s="109"/>
      <c r="I629" s="109"/>
      <c r="J629" s="109"/>
    </row>
    <row r="630" spans="1:10">
      <c r="A630" s="108"/>
      <c r="B630" s="109"/>
      <c r="C630" s="109"/>
      <c r="D630" s="109"/>
      <c r="E630" s="109"/>
      <c r="F630" s="109"/>
      <c r="G630" s="109"/>
      <c r="H630" s="109"/>
      <c r="I630" s="109"/>
      <c r="J630" s="109"/>
    </row>
    <row r="631" spans="1:10">
      <c r="A631" s="108"/>
      <c r="B631" s="109"/>
      <c r="C631" s="109"/>
      <c r="D631" s="109"/>
      <c r="E631" s="109"/>
      <c r="F631" s="109"/>
      <c r="G631" s="109"/>
      <c r="H631" s="109"/>
      <c r="I631" s="109"/>
      <c r="J631" s="109"/>
    </row>
    <row r="632" spans="1:10">
      <c r="A632" s="108"/>
      <c r="B632" s="109"/>
      <c r="C632" s="109"/>
      <c r="D632" s="109"/>
      <c r="E632" s="109"/>
      <c r="F632" s="109"/>
      <c r="G632" s="109"/>
      <c r="H632" s="109"/>
      <c r="I632" s="109"/>
      <c r="J632" s="109"/>
    </row>
    <row r="633" spans="1:10">
      <c r="A633" s="108"/>
      <c r="B633" s="109"/>
      <c r="C633" s="109"/>
      <c r="D633" s="109"/>
      <c r="E633" s="109"/>
      <c r="F633" s="109"/>
      <c r="G633" s="109"/>
      <c r="H633" s="109"/>
      <c r="I633" s="109"/>
      <c r="J633" s="109"/>
    </row>
    <row r="634" spans="1:10">
      <c r="A634" s="108"/>
      <c r="B634" s="109"/>
      <c r="C634" s="109"/>
      <c r="D634" s="109"/>
      <c r="E634" s="109"/>
      <c r="F634" s="109"/>
      <c r="G634" s="109"/>
      <c r="H634" s="109"/>
      <c r="I634" s="109"/>
      <c r="J634" s="109"/>
    </row>
    <row r="635" spans="1:10">
      <c r="A635" s="108"/>
      <c r="B635" s="109"/>
      <c r="C635" s="109"/>
      <c r="D635" s="109"/>
      <c r="E635" s="109"/>
      <c r="F635" s="109"/>
      <c r="G635" s="109"/>
      <c r="H635" s="109"/>
      <c r="I635" s="109"/>
      <c r="J635" s="109"/>
    </row>
    <row r="636" spans="1:10">
      <c r="A636" s="108"/>
      <c r="B636" s="109"/>
      <c r="C636" s="109"/>
      <c r="D636" s="109"/>
      <c r="E636" s="109"/>
      <c r="F636" s="109"/>
      <c r="G636" s="109"/>
      <c r="H636" s="109"/>
      <c r="I636" s="109"/>
      <c r="J636" s="109"/>
    </row>
    <row r="637" spans="1:10">
      <c r="A637" s="108"/>
      <c r="B637" s="109"/>
      <c r="C637" s="109"/>
      <c r="D637" s="109"/>
      <c r="E637" s="109"/>
      <c r="F637" s="109"/>
      <c r="G637" s="109"/>
      <c r="H637" s="109"/>
      <c r="I637" s="109"/>
      <c r="J637" s="109"/>
    </row>
    <row r="638" spans="1:10">
      <c r="A638" s="108"/>
      <c r="B638" s="109"/>
      <c r="C638" s="109"/>
      <c r="D638" s="109"/>
      <c r="E638" s="109"/>
      <c r="F638" s="109"/>
      <c r="G638" s="109"/>
      <c r="H638" s="109"/>
      <c r="I638" s="109"/>
      <c r="J638" s="109"/>
    </row>
    <row r="639" spans="1:10">
      <c r="A639" s="108"/>
      <c r="B639" s="109"/>
      <c r="C639" s="109"/>
      <c r="D639" s="109"/>
      <c r="E639" s="109"/>
      <c r="F639" s="109"/>
      <c r="G639" s="109"/>
      <c r="H639" s="109"/>
      <c r="I639" s="109"/>
      <c r="J639" s="109"/>
    </row>
    <row r="640" spans="1:10">
      <c r="A640" s="108"/>
      <c r="B640" s="109"/>
      <c r="C640" s="109"/>
      <c r="D640" s="109"/>
      <c r="E640" s="109"/>
      <c r="F640" s="109"/>
      <c r="G640" s="109"/>
      <c r="H640" s="109"/>
      <c r="I640" s="109"/>
      <c r="J640" s="109"/>
    </row>
    <row r="641" spans="1:10">
      <c r="A641" s="108"/>
      <c r="B641" s="109"/>
      <c r="C641" s="109"/>
      <c r="D641" s="109"/>
      <c r="E641" s="109"/>
      <c r="F641" s="109"/>
      <c r="G641" s="109"/>
      <c r="H641" s="109"/>
      <c r="I641" s="109"/>
      <c r="J641" s="109"/>
    </row>
    <row r="642" spans="1:10">
      <c r="A642" s="108"/>
      <c r="B642" s="109"/>
      <c r="C642" s="109"/>
      <c r="D642" s="109"/>
      <c r="E642" s="109"/>
      <c r="F642" s="109"/>
      <c r="G642" s="109"/>
      <c r="H642" s="109"/>
      <c r="I642" s="109"/>
      <c r="J642" s="109"/>
    </row>
    <row r="643" spans="1:10">
      <c r="A643" s="108"/>
      <c r="B643" s="109"/>
      <c r="C643" s="109"/>
      <c r="D643" s="109"/>
      <c r="E643" s="109"/>
      <c r="F643" s="109"/>
      <c r="G643" s="109"/>
      <c r="H643" s="109"/>
      <c r="I643" s="109"/>
      <c r="J643" s="109"/>
    </row>
    <row r="644" spans="1:10">
      <c r="A644" s="108"/>
      <c r="B644" s="109"/>
      <c r="C644" s="109"/>
      <c r="D644" s="109"/>
      <c r="E644" s="109"/>
      <c r="F644" s="109"/>
      <c r="G644" s="109"/>
      <c r="H644" s="109"/>
      <c r="I644" s="109"/>
      <c r="J644" s="109"/>
    </row>
    <row r="645" spans="1:10">
      <c r="A645" s="108"/>
      <c r="B645" s="109"/>
      <c r="C645" s="109"/>
      <c r="D645" s="109"/>
      <c r="E645" s="109"/>
      <c r="F645" s="109"/>
      <c r="G645" s="109"/>
      <c r="H645" s="109"/>
      <c r="I645" s="109"/>
      <c r="J645" s="109"/>
    </row>
    <row r="646" spans="1:10">
      <c r="A646" s="108"/>
      <c r="B646" s="109"/>
      <c r="C646" s="109"/>
      <c r="D646" s="109"/>
      <c r="E646" s="109"/>
      <c r="F646" s="109"/>
      <c r="G646" s="109"/>
      <c r="H646" s="109"/>
      <c r="I646" s="109"/>
      <c r="J646" s="109"/>
    </row>
    <row r="647" spans="1:10">
      <c r="A647" s="108"/>
      <c r="B647" s="109"/>
      <c r="C647" s="109"/>
      <c r="D647" s="109"/>
      <c r="E647" s="109"/>
      <c r="F647" s="109"/>
      <c r="G647" s="109"/>
      <c r="H647" s="109"/>
      <c r="I647" s="109"/>
      <c r="J647" s="109"/>
    </row>
    <row r="648" spans="1:10">
      <c r="A648" s="108"/>
      <c r="B648" s="109"/>
      <c r="C648" s="109"/>
      <c r="D648" s="109"/>
      <c r="E648" s="109"/>
      <c r="F648" s="109"/>
      <c r="G648" s="109"/>
      <c r="H648" s="109"/>
      <c r="I648" s="109"/>
      <c r="J648" s="109"/>
    </row>
    <row r="649" spans="1:10">
      <c r="A649" s="108"/>
      <c r="B649" s="109"/>
      <c r="C649" s="109"/>
      <c r="D649" s="109"/>
      <c r="E649" s="109"/>
      <c r="F649" s="109"/>
      <c r="G649" s="109"/>
      <c r="H649" s="109"/>
      <c r="I649" s="109"/>
      <c r="J649" s="109"/>
    </row>
    <row r="650" spans="1:10">
      <c r="A650" s="108"/>
      <c r="B650" s="109"/>
      <c r="C650" s="109"/>
      <c r="D650" s="109"/>
      <c r="E650" s="109"/>
      <c r="F650" s="109"/>
      <c r="G650" s="109"/>
      <c r="H650" s="109"/>
      <c r="I650" s="109"/>
      <c r="J650" s="109"/>
    </row>
    <row r="651" spans="1:10">
      <c r="A651" s="108"/>
      <c r="B651" s="109"/>
      <c r="C651" s="109"/>
      <c r="D651" s="109"/>
      <c r="E651" s="109"/>
      <c r="F651" s="109"/>
      <c r="G651" s="109"/>
      <c r="H651" s="109"/>
      <c r="I651" s="109"/>
      <c r="J651" s="109"/>
    </row>
    <row r="652" spans="1:10">
      <c r="A652" s="108"/>
      <c r="B652" s="109"/>
      <c r="C652" s="109"/>
      <c r="D652" s="109"/>
      <c r="E652" s="109"/>
      <c r="F652" s="109"/>
      <c r="G652" s="109"/>
      <c r="H652" s="109"/>
      <c r="I652" s="109"/>
      <c r="J652" s="109"/>
    </row>
    <row r="653" spans="1:10">
      <c r="A653" s="108"/>
      <c r="B653" s="109"/>
      <c r="C653" s="109"/>
      <c r="D653" s="109"/>
      <c r="E653" s="109"/>
      <c r="F653" s="109"/>
      <c r="G653" s="109"/>
      <c r="H653" s="109"/>
      <c r="I653" s="109"/>
      <c r="J653" s="109"/>
    </row>
    <row r="654" spans="1:10">
      <c r="A654" s="108"/>
      <c r="B654" s="109"/>
      <c r="C654" s="109"/>
      <c r="D654" s="109"/>
      <c r="E654" s="109"/>
      <c r="F654" s="109"/>
      <c r="G654" s="109"/>
      <c r="H654" s="109"/>
      <c r="I654" s="109"/>
      <c r="J654" s="109"/>
    </row>
    <row r="655" spans="1:10">
      <c r="A655" s="108"/>
      <c r="B655" s="109"/>
      <c r="C655" s="109"/>
      <c r="D655" s="109"/>
      <c r="E655" s="109"/>
      <c r="F655" s="109"/>
      <c r="G655" s="109"/>
      <c r="H655" s="109"/>
      <c r="I655" s="109"/>
      <c r="J655" s="109"/>
    </row>
    <row r="656" spans="1:10">
      <c r="A656" s="108"/>
      <c r="B656" s="109"/>
      <c r="C656" s="109"/>
      <c r="D656" s="109"/>
      <c r="E656" s="109"/>
      <c r="F656" s="109"/>
      <c r="G656" s="109"/>
      <c r="H656" s="109"/>
      <c r="I656" s="109"/>
      <c r="J656" s="109"/>
    </row>
    <row r="657" spans="1:10">
      <c r="A657" s="108"/>
      <c r="B657" s="109"/>
      <c r="C657" s="109"/>
      <c r="D657" s="109"/>
      <c r="E657" s="109"/>
      <c r="F657" s="109"/>
      <c r="G657" s="109"/>
      <c r="H657" s="109"/>
      <c r="I657" s="109"/>
      <c r="J657" s="109"/>
    </row>
    <row r="658" spans="1:10">
      <c r="A658" s="108"/>
      <c r="B658" s="109"/>
      <c r="C658" s="109"/>
      <c r="D658" s="109"/>
      <c r="E658" s="109"/>
      <c r="F658" s="109"/>
      <c r="G658" s="109"/>
      <c r="H658" s="109"/>
      <c r="I658" s="109"/>
      <c r="J658" s="109"/>
    </row>
    <row r="659" spans="1:10">
      <c r="A659" s="108"/>
      <c r="B659" s="109"/>
      <c r="C659" s="109"/>
      <c r="D659" s="109"/>
      <c r="E659" s="109"/>
      <c r="F659" s="109"/>
      <c r="G659" s="109"/>
      <c r="H659" s="109"/>
      <c r="I659" s="109"/>
      <c r="J659" s="109"/>
    </row>
    <row r="660" spans="1:10">
      <c r="A660" s="108"/>
      <c r="B660" s="109"/>
      <c r="C660" s="109"/>
      <c r="D660" s="109"/>
      <c r="E660" s="109"/>
      <c r="F660" s="109"/>
      <c r="G660" s="109"/>
      <c r="H660" s="109"/>
      <c r="I660" s="109"/>
      <c r="J660" s="109"/>
    </row>
    <row r="661" spans="1:10">
      <c r="A661" s="108"/>
      <c r="B661" s="109"/>
      <c r="C661" s="109"/>
      <c r="D661" s="109"/>
      <c r="E661" s="109"/>
      <c r="F661" s="109"/>
      <c r="G661" s="109"/>
      <c r="H661" s="109"/>
      <c r="I661" s="109"/>
      <c r="J661" s="109"/>
    </row>
    <row r="662" spans="1:10">
      <c r="A662" s="108"/>
      <c r="B662" s="109"/>
      <c r="C662" s="109"/>
      <c r="D662" s="109"/>
      <c r="E662" s="109"/>
      <c r="F662" s="109"/>
      <c r="G662" s="109"/>
      <c r="H662" s="109"/>
      <c r="I662" s="109"/>
      <c r="J662" s="109"/>
    </row>
    <row r="663" spans="1:10">
      <c r="A663" s="108"/>
      <c r="B663" s="109"/>
      <c r="C663" s="109"/>
      <c r="D663" s="109"/>
      <c r="E663" s="109"/>
      <c r="F663" s="109"/>
      <c r="G663" s="109"/>
      <c r="H663" s="109"/>
      <c r="I663" s="109"/>
      <c r="J663" s="109"/>
    </row>
    <row r="664" spans="1:10">
      <c r="A664" s="108"/>
      <c r="B664" s="109"/>
      <c r="C664" s="109"/>
      <c r="D664" s="109"/>
      <c r="E664" s="109"/>
      <c r="F664" s="109"/>
      <c r="G664" s="109"/>
      <c r="H664" s="109"/>
      <c r="I664" s="109"/>
      <c r="J664" s="109"/>
    </row>
    <row r="665" spans="1:10">
      <c r="A665" s="108"/>
      <c r="B665" s="109"/>
      <c r="C665" s="109"/>
      <c r="D665" s="109"/>
      <c r="E665" s="109"/>
      <c r="F665" s="109"/>
      <c r="G665" s="109"/>
      <c r="H665" s="109"/>
      <c r="I665" s="109"/>
      <c r="J665" s="109"/>
    </row>
    <row r="666" spans="1:10">
      <c r="A666" s="108"/>
      <c r="B666" s="109"/>
      <c r="C666" s="109"/>
      <c r="D666" s="109"/>
      <c r="E666" s="109"/>
      <c r="F666" s="109"/>
      <c r="G666" s="109"/>
      <c r="H666" s="109"/>
      <c r="I666" s="109"/>
      <c r="J666" s="109"/>
    </row>
    <row r="667" spans="1:10">
      <c r="A667" s="108"/>
      <c r="B667" s="109"/>
      <c r="C667" s="109"/>
      <c r="D667" s="109"/>
      <c r="E667" s="109"/>
      <c r="F667" s="109"/>
      <c r="G667" s="109"/>
      <c r="H667" s="109"/>
      <c r="I667" s="109"/>
      <c r="J667" s="109"/>
    </row>
    <row r="668" spans="1:10">
      <c r="A668" s="108"/>
      <c r="B668" s="109"/>
      <c r="C668" s="109"/>
      <c r="D668" s="109"/>
      <c r="E668" s="109"/>
      <c r="F668" s="109"/>
      <c r="G668" s="109"/>
      <c r="H668" s="109"/>
      <c r="I668" s="109"/>
      <c r="J668" s="109"/>
    </row>
    <row r="669" spans="1:10">
      <c r="A669" s="108"/>
      <c r="B669" s="109"/>
      <c r="C669" s="109"/>
      <c r="D669" s="109"/>
      <c r="E669" s="109"/>
      <c r="F669" s="109"/>
      <c r="G669" s="109"/>
      <c r="H669" s="109"/>
      <c r="I669" s="109"/>
      <c r="J669" s="109"/>
    </row>
    <row r="670" spans="1:10">
      <c r="A670" s="108"/>
      <c r="B670" s="109"/>
      <c r="C670" s="109"/>
      <c r="D670" s="109"/>
      <c r="E670" s="109"/>
      <c r="F670" s="109"/>
      <c r="G670" s="109"/>
      <c r="H670" s="109"/>
      <c r="I670" s="109"/>
      <c r="J670" s="109"/>
    </row>
    <row r="671" spans="1:10">
      <c r="A671" s="108"/>
      <c r="B671" s="109"/>
      <c r="C671" s="109"/>
      <c r="D671" s="109"/>
      <c r="E671" s="109"/>
      <c r="F671" s="109"/>
      <c r="G671" s="109"/>
      <c r="H671" s="109"/>
      <c r="I671" s="109"/>
      <c r="J671" s="109"/>
    </row>
    <row r="672" spans="1:10">
      <c r="A672" s="108"/>
      <c r="B672" s="109"/>
      <c r="C672" s="109"/>
      <c r="D672" s="109"/>
      <c r="E672" s="109"/>
      <c r="F672" s="109"/>
      <c r="G672" s="109"/>
      <c r="H672" s="109"/>
      <c r="I672" s="109"/>
      <c r="J672" s="109"/>
    </row>
    <row r="673" spans="1:10">
      <c r="A673" s="108"/>
      <c r="B673" s="109"/>
      <c r="C673" s="109"/>
      <c r="D673" s="109"/>
      <c r="E673" s="109"/>
      <c r="F673" s="109"/>
      <c r="G673" s="109"/>
      <c r="H673" s="109"/>
      <c r="I673" s="109"/>
      <c r="J673" s="109"/>
    </row>
    <row r="674" spans="1:10">
      <c r="A674" s="108"/>
      <c r="B674" s="109"/>
      <c r="C674" s="109"/>
      <c r="D674" s="109"/>
      <c r="E674" s="109"/>
      <c r="F674" s="109"/>
      <c r="G674" s="109"/>
      <c r="H674" s="109"/>
      <c r="I674" s="109"/>
      <c r="J674" s="109"/>
    </row>
    <row r="675" spans="1:10">
      <c r="A675" s="108"/>
      <c r="B675" s="109"/>
      <c r="C675" s="109"/>
      <c r="D675" s="109"/>
      <c r="E675" s="109"/>
      <c r="F675" s="109"/>
      <c r="G675" s="109"/>
      <c r="H675" s="109"/>
      <c r="I675" s="109"/>
      <c r="J675" s="109"/>
    </row>
    <row r="676" spans="1:10">
      <c r="A676" s="108"/>
      <c r="B676" s="109"/>
      <c r="C676" s="109"/>
      <c r="D676" s="109"/>
      <c r="E676" s="109"/>
      <c r="F676" s="109"/>
      <c r="G676" s="109"/>
      <c r="H676" s="109"/>
      <c r="I676" s="109"/>
      <c r="J676" s="109"/>
    </row>
    <row r="677" spans="1:10">
      <c r="A677" s="108"/>
      <c r="B677" s="109"/>
      <c r="C677" s="109"/>
      <c r="D677" s="109"/>
      <c r="E677" s="109"/>
      <c r="F677" s="109"/>
      <c r="G677" s="109"/>
      <c r="H677" s="109"/>
      <c r="I677" s="109"/>
      <c r="J677" s="109"/>
    </row>
    <row r="678" spans="1:10">
      <c r="A678" s="108"/>
      <c r="B678" s="109"/>
      <c r="C678" s="109"/>
      <c r="D678" s="109"/>
      <c r="E678" s="109"/>
      <c r="F678" s="109"/>
      <c r="G678" s="109"/>
      <c r="H678" s="109"/>
      <c r="I678" s="109"/>
      <c r="J678" s="109"/>
    </row>
    <row r="679" spans="1:10">
      <c r="A679" s="108"/>
      <c r="B679" s="109"/>
      <c r="C679" s="109"/>
      <c r="D679" s="109"/>
      <c r="E679" s="109"/>
      <c r="F679" s="109"/>
      <c r="G679" s="109"/>
      <c r="H679" s="109"/>
      <c r="I679" s="109"/>
      <c r="J679" s="109"/>
    </row>
    <row r="680" spans="1:10">
      <c r="A680" s="108"/>
      <c r="B680" s="109"/>
      <c r="C680" s="109"/>
      <c r="D680" s="109"/>
      <c r="E680" s="109"/>
      <c r="F680" s="109"/>
      <c r="G680" s="109"/>
      <c r="H680" s="109"/>
      <c r="I680" s="109"/>
      <c r="J680" s="109"/>
    </row>
    <row r="681" spans="1:10">
      <c r="A681" s="108"/>
      <c r="B681" s="109"/>
      <c r="C681" s="109"/>
      <c r="D681" s="109"/>
      <c r="E681" s="109"/>
      <c r="F681" s="109"/>
      <c r="G681" s="109"/>
      <c r="H681" s="109"/>
      <c r="I681" s="109"/>
      <c r="J681" s="109"/>
    </row>
    <row r="682" spans="1:10">
      <c r="A682" s="108"/>
      <c r="B682" s="109"/>
      <c r="C682" s="109"/>
      <c r="D682" s="109"/>
      <c r="E682" s="109"/>
      <c r="F682" s="109"/>
      <c r="G682" s="109"/>
      <c r="H682" s="109"/>
      <c r="I682" s="109"/>
      <c r="J682" s="109"/>
    </row>
    <row r="683" spans="1:10">
      <c r="A683" s="108"/>
      <c r="B683" s="109"/>
      <c r="C683" s="109"/>
      <c r="D683" s="109"/>
      <c r="E683" s="109"/>
      <c r="F683" s="109"/>
      <c r="G683" s="109"/>
      <c r="H683" s="109"/>
      <c r="I683" s="109"/>
      <c r="J683" s="109"/>
    </row>
    <row r="684" spans="1:10">
      <c r="A684" s="108"/>
      <c r="B684" s="109"/>
      <c r="C684" s="109"/>
      <c r="D684" s="109"/>
      <c r="E684" s="109"/>
      <c r="F684" s="109"/>
      <c r="G684" s="109"/>
      <c r="H684" s="109"/>
      <c r="I684" s="109"/>
      <c r="J684" s="109"/>
    </row>
    <row r="685" spans="1:10">
      <c r="A685" s="108"/>
      <c r="B685" s="109"/>
      <c r="C685" s="109"/>
      <c r="D685" s="109"/>
      <c r="E685" s="109"/>
      <c r="F685" s="109"/>
      <c r="G685" s="109"/>
      <c r="H685" s="109"/>
      <c r="I685" s="109"/>
      <c r="J685" s="109"/>
    </row>
    <row r="686" spans="1:10">
      <c r="A686" s="108"/>
      <c r="B686" s="109"/>
      <c r="C686" s="109"/>
      <c r="D686" s="109"/>
      <c r="E686" s="109"/>
      <c r="F686" s="109"/>
      <c r="G686" s="109"/>
      <c r="H686" s="109"/>
      <c r="I686" s="109"/>
      <c r="J686" s="109"/>
    </row>
    <row r="687" spans="1:10">
      <c r="A687" s="108"/>
      <c r="B687" s="109"/>
      <c r="C687" s="109"/>
      <c r="D687" s="109"/>
      <c r="E687" s="109"/>
      <c r="F687" s="109"/>
      <c r="G687" s="109"/>
      <c r="H687" s="109"/>
      <c r="I687" s="109"/>
      <c r="J687" s="109"/>
    </row>
    <row r="688" spans="1:10">
      <c r="A688" s="108"/>
      <c r="B688" s="109"/>
      <c r="C688" s="109"/>
      <c r="D688" s="109"/>
      <c r="E688" s="109"/>
      <c r="F688" s="109"/>
      <c r="G688" s="109"/>
      <c r="H688" s="109"/>
      <c r="I688" s="109"/>
      <c r="J688" s="109"/>
    </row>
    <row r="689" spans="1:10">
      <c r="A689" s="108"/>
      <c r="B689" s="109"/>
      <c r="C689" s="109"/>
      <c r="D689" s="109"/>
      <c r="E689" s="109"/>
      <c r="F689" s="109"/>
      <c r="G689" s="109"/>
      <c r="H689" s="109"/>
      <c r="I689" s="109"/>
      <c r="J689" s="109"/>
    </row>
    <row r="690" spans="1:10">
      <c r="A690" s="108"/>
      <c r="B690" s="109"/>
      <c r="C690" s="109"/>
      <c r="D690" s="109"/>
      <c r="E690" s="109"/>
      <c r="F690" s="109"/>
      <c r="G690" s="109"/>
      <c r="H690" s="109"/>
      <c r="I690" s="109"/>
      <c r="J690" s="109"/>
    </row>
    <row r="691" spans="1:10">
      <c r="A691" s="108"/>
      <c r="B691" s="109"/>
      <c r="C691" s="109"/>
      <c r="D691" s="109"/>
      <c r="E691" s="109"/>
      <c r="F691" s="109"/>
      <c r="G691" s="109"/>
      <c r="H691" s="109"/>
      <c r="I691" s="109"/>
      <c r="J691" s="109"/>
    </row>
    <row r="692" spans="1:10">
      <c r="A692" s="108"/>
      <c r="B692" s="109"/>
      <c r="C692" s="109"/>
      <c r="D692" s="109"/>
      <c r="E692" s="109"/>
      <c r="F692" s="109"/>
      <c r="G692" s="109"/>
      <c r="H692" s="109"/>
      <c r="I692" s="109"/>
      <c r="J692" s="109"/>
    </row>
    <row r="693" spans="1:10">
      <c r="A693" s="108"/>
      <c r="B693" s="109"/>
      <c r="C693" s="109"/>
      <c r="D693" s="109"/>
      <c r="E693" s="109"/>
      <c r="F693" s="109"/>
      <c r="G693" s="109"/>
      <c r="H693" s="109"/>
      <c r="I693" s="109"/>
      <c r="J693" s="109"/>
    </row>
    <row r="694" spans="1:10">
      <c r="A694" s="108"/>
      <c r="B694" s="109"/>
      <c r="C694" s="109"/>
      <c r="D694" s="109"/>
      <c r="E694" s="109"/>
      <c r="F694" s="109"/>
      <c r="G694" s="109"/>
      <c r="H694" s="109"/>
      <c r="I694" s="109"/>
      <c r="J694" s="109"/>
    </row>
    <row r="695" spans="1:10">
      <c r="A695" s="108"/>
      <c r="B695" s="109"/>
      <c r="C695" s="109"/>
      <c r="D695" s="109"/>
      <c r="E695" s="109"/>
      <c r="F695" s="109"/>
      <c r="G695" s="109"/>
      <c r="H695" s="109"/>
      <c r="I695" s="109"/>
      <c r="J695" s="109"/>
    </row>
    <row r="696" spans="1:10">
      <c r="A696" s="108"/>
      <c r="B696" s="109"/>
      <c r="C696" s="109"/>
      <c r="D696" s="109"/>
      <c r="E696" s="109"/>
      <c r="F696" s="109"/>
      <c r="G696" s="109"/>
      <c r="H696" s="109"/>
      <c r="I696" s="109"/>
      <c r="J696" s="109"/>
    </row>
    <row r="697" spans="1:10">
      <c r="A697" s="108"/>
      <c r="B697" s="109"/>
      <c r="C697" s="109"/>
      <c r="D697" s="109"/>
      <c r="E697" s="109"/>
      <c r="F697" s="109"/>
      <c r="G697" s="109"/>
      <c r="H697" s="109"/>
      <c r="I697" s="109"/>
      <c r="J697" s="109"/>
    </row>
    <row r="698" spans="1:10">
      <c r="A698" s="108"/>
      <c r="B698" s="109"/>
      <c r="C698" s="109"/>
      <c r="D698" s="109"/>
      <c r="E698" s="109"/>
      <c r="F698" s="109"/>
      <c r="G698" s="109"/>
      <c r="H698" s="109"/>
      <c r="I698" s="109"/>
      <c r="J698" s="109"/>
    </row>
    <row r="699" spans="1:10">
      <c r="A699" s="108"/>
      <c r="B699" s="109"/>
      <c r="C699" s="109"/>
      <c r="D699" s="109"/>
      <c r="E699" s="109"/>
      <c r="F699" s="109"/>
      <c r="G699" s="109"/>
      <c r="H699" s="109"/>
      <c r="I699" s="109"/>
      <c r="J699" s="109"/>
    </row>
    <row r="700" spans="1:10">
      <c r="A700" s="108"/>
      <c r="B700" s="109"/>
      <c r="C700" s="109"/>
      <c r="D700" s="109"/>
      <c r="E700" s="109"/>
      <c r="F700" s="109"/>
      <c r="G700" s="109"/>
      <c r="H700" s="109"/>
      <c r="I700" s="109"/>
      <c r="J700" s="109"/>
    </row>
    <row r="701" spans="1:10">
      <c r="A701" s="108"/>
      <c r="B701" s="109"/>
      <c r="C701" s="109"/>
      <c r="D701" s="109"/>
      <c r="E701" s="109"/>
      <c r="F701" s="109"/>
      <c r="G701" s="109"/>
      <c r="H701" s="109"/>
      <c r="I701" s="109"/>
      <c r="J701" s="109"/>
    </row>
    <row r="702" spans="1:10">
      <c r="A702" s="108"/>
      <c r="B702" s="109"/>
      <c r="C702" s="109"/>
      <c r="D702" s="109"/>
      <c r="E702" s="109"/>
      <c r="F702" s="109"/>
      <c r="G702" s="109"/>
      <c r="H702" s="109"/>
      <c r="I702" s="109"/>
      <c r="J702" s="109"/>
    </row>
    <row r="703" spans="1:10">
      <c r="A703" s="108"/>
      <c r="B703" s="109"/>
      <c r="C703" s="109"/>
      <c r="D703" s="109"/>
      <c r="E703" s="109"/>
      <c r="F703" s="109"/>
      <c r="G703" s="109"/>
      <c r="H703" s="109"/>
      <c r="I703" s="109"/>
      <c r="J703" s="109"/>
    </row>
    <row r="704" spans="1:10">
      <c r="A704" s="108"/>
      <c r="B704" s="109"/>
      <c r="C704" s="109"/>
      <c r="D704" s="109"/>
      <c r="E704" s="109"/>
      <c r="F704" s="109"/>
      <c r="G704" s="109"/>
      <c r="H704" s="109"/>
      <c r="I704" s="109"/>
      <c r="J704" s="109"/>
    </row>
    <row r="705" spans="1:10">
      <c r="A705" s="108"/>
      <c r="B705" s="109"/>
      <c r="C705" s="109"/>
      <c r="D705" s="109"/>
      <c r="E705" s="109"/>
      <c r="F705" s="109"/>
      <c r="G705" s="109"/>
      <c r="H705" s="109"/>
      <c r="I705" s="109"/>
      <c r="J705" s="109"/>
    </row>
    <row r="706" spans="1:10">
      <c r="A706" s="108"/>
      <c r="B706" s="109"/>
      <c r="C706" s="109"/>
      <c r="D706" s="109"/>
      <c r="E706" s="109"/>
      <c r="F706" s="109"/>
      <c r="G706" s="109"/>
      <c r="H706" s="109"/>
      <c r="I706" s="109"/>
      <c r="J706" s="109"/>
    </row>
    <row r="707" spans="1:10">
      <c r="A707" s="108"/>
      <c r="B707" s="109"/>
      <c r="C707" s="109"/>
      <c r="D707" s="109"/>
      <c r="E707" s="109"/>
      <c r="F707" s="109"/>
      <c r="G707" s="109"/>
      <c r="H707" s="109"/>
      <c r="I707" s="109"/>
      <c r="J707" s="109"/>
    </row>
    <row r="708" spans="1:10">
      <c r="A708" s="108"/>
      <c r="B708" s="109"/>
      <c r="C708" s="109"/>
      <c r="D708" s="109"/>
      <c r="E708" s="109"/>
      <c r="F708" s="109"/>
      <c r="G708" s="109"/>
      <c r="H708" s="109"/>
      <c r="I708" s="109"/>
      <c r="J708" s="109"/>
    </row>
    <row r="709" spans="1:10">
      <c r="A709" s="108"/>
      <c r="B709" s="109"/>
      <c r="C709" s="109"/>
      <c r="D709" s="109"/>
      <c r="E709" s="109"/>
      <c r="F709" s="109"/>
      <c r="G709" s="109"/>
      <c r="H709" s="109"/>
      <c r="I709" s="109"/>
      <c r="J709" s="109"/>
    </row>
    <row r="710" spans="1:10">
      <c r="A710" s="108"/>
      <c r="B710" s="109"/>
      <c r="C710" s="109"/>
      <c r="D710" s="109"/>
      <c r="E710" s="109"/>
      <c r="F710" s="109"/>
      <c r="G710" s="109"/>
      <c r="H710" s="109"/>
      <c r="I710" s="109"/>
      <c r="J710" s="109"/>
    </row>
    <row r="711" spans="1:10">
      <c r="A711" s="108"/>
      <c r="B711" s="109"/>
      <c r="C711" s="109"/>
      <c r="D711" s="109"/>
      <c r="E711" s="109"/>
      <c r="F711" s="109"/>
      <c r="G711" s="109"/>
      <c r="H711" s="109"/>
      <c r="I711" s="109"/>
      <c r="J711" s="109"/>
    </row>
    <row r="712" spans="1:10">
      <c r="A712" s="108"/>
      <c r="B712" s="109"/>
      <c r="C712" s="109"/>
      <c r="D712" s="109"/>
      <c r="E712" s="109"/>
      <c r="F712" s="109"/>
      <c r="G712" s="109"/>
      <c r="H712" s="109"/>
      <c r="I712" s="109"/>
      <c r="J712" s="109"/>
    </row>
    <row r="713" spans="1:10">
      <c r="A713" s="108"/>
      <c r="B713" s="109"/>
      <c r="C713" s="109"/>
      <c r="D713" s="109"/>
      <c r="E713" s="109"/>
      <c r="F713" s="109"/>
      <c r="G713" s="109"/>
      <c r="H713" s="109"/>
      <c r="I713" s="109"/>
      <c r="J713" s="109"/>
    </row>
    <row r="714" spans="1:10">
      <c r="A714" s="108"/>
      <c r="B714" s="109"/>
      <c r="C714" s="109"/>
      <c r="D714" s="109"/>
      <c r="E714" s="109"/>
      <c r="F714" s="109"/>
      <c r="G714" s="109"/>
      <c r="H714" s="109"/>
      <c r="I714" s="109"/>
      <c r="J714" s="109"/>
    </row>
    <row r="715" spans="1:10">
      <c r="A715" s="108"/>
      <c r="B715" s="109"/>
      <c r="C715" s="109"/>
      <c r="D715" s="109"/>
      <c r="E715" s="109"/>
      <c r="F715" s="109"/>
      <c r="G715" s="109"/>
      <c r="H715" s="109"/>
      <c r="I715" s="109"/>
      <c r="J715" s="109"/>
    </row>
    <row r="716" spans="1:10">
      <c r="A716" s="108"/>
      <c r="B716" s="109"/>
      <c r="C716" s="109"/>
      <c r="D716" s="109"/>
      <c r="E716" s="110"/>
      <c r="F716" s="109"/>
      <c r="G716" s="109"/>
      <c r="H716" s="109"/>
      <c r="I716" s="109"/>
      <c r="J716" s="109"/>
    </row>
    <row r="717" spans="1:10">
      <c r="A717" s="108"/>
      <c r="B717" s="109"/>
      <c r="C717" s="109"/>
      <c r="D717" s="109"/>
      <c r="E717" s="110"/>
      <c r="F717" s="109"/>
      <c r="G717" s="109"/>
      <c r="H717" s="109"/>
      <c r="I717" s="109"/>
      <c r="J717" s="109"/>
    </row>
    <row r="718" spans="1:10">
      <c r="A718" s="108"/>
      <c r="B718" s="109"/>
      <c r="C718" s="109"/>
      <c r="D718" s="109"/>
      <c r="E718" s="110"/>
      <c r="F718" s="109"/>
      <c r="G718" s="109"/>
      <c r="H718" s="109"/>
      <c r="I718" s="109"/>
      <c r="J718" s="109"/>
    </row>
    <row r="719" spans="1:10">
      <c r="A719" s="108"/>
      <c r="B719" s="109"/>
      <c r="C719" s="109"/>
      <c r="D719" s="109"/>
      <c r="E719" s="110"/>
      <c r="F719" s="109"/>
      <c r="G719" s="109"/>
      <c r="H719" s="109"/>
      <c r="I719" s="109"/>
      <c r="J719" s="109"/>
    </row>
    <row r="720" spans="1:10">
      <c r="A720" s="108"/>
      <c r="B720" s="109"/>
      <c r="C720" s="109"/>
      <c r="D720" s="109"/>
      <c r="E720" s="110"/>
      <c r="F720" s="109"/>
      <c r="G720" s="109"/>
      <c r="H720" s="109"/>
      <c r="I720" s="109"/>
      <c r="J720" s="109"/>
    </row>
    <row r="721" spans="1:10">
      <c r="A721" s="108"/>
      <c r="B721" s="109"/>
      <c r="C721" s="109"/>
      <c r="D721" s="109"/>
      <c r="E721" s="110"/>
      <c r="F721" s="109"/>
      <c r="G721" s="109"/>
      <c r="H721" s="109"/>
      <c r="I721" s="109"/>
      <c r="J721" s="109"/>
    </row>
    <row r="722" spans="1:10">
      <c r="A722" s="108"/>
      <c r="B722" s="109"/>
      <c r="C722" s="109"/>
      <c r="D722" s="109"/>
      <c r="E722" s="110"/>
      <c r="F722" s="109"/>
      <c r="G722" s="109"/>
      <c r="H722" s="109"/>
      <c r="I722" s="109"/>
      <c r="J722" s="109"/>
    </row>
    <row r="723" spans="1:10">
      <c r="A723" s="108"/>
      <c r="B723" s="109"/>
      <c r="C723" s="109"/>
      <c r="D723" s="109"/>
      <c r="E723" s="110"/>
      <c r="F723" s="109"/>
      <c r="G723" s="109"/>
      <c r="H723" s="109"/>
      <c r="I723" s="109"/>
      <c r="J723" s="109"/>
    </row>
    <row r="724" spans="1:10">
      <c r="A724" s="108"/>
      <c r="B724" s="109"/>
      <c r="C724" s="109"/>
      <c r="D724" s="109"/>
      <c r="E724" s="110"/>
      <c r="F724" s="109"/>
      <c r="G724" s="109"/>
      <c r="H724" s="109"/>
      <c r="I724" s="109"/>
      <c r="J724" s="109"/>
    </row>
    <row r="725" spans="1:10">
      <c r="A725" s="108"/>
      <c r="B725" s="109"/>
      <c r="C725" s="109"/>
      <c r="D725" s="109"/>
      <c r="E725" s="110"/>
      <c r="F725" s="109"/>
      <c r="G725" s="109"/>
      <c r="H725" s="109"/>
      <c r="I725" s="109"/>
      <c r="J725" s="109"/>
    </row>
    <row r="726" spans="1:10">
      <c r="A726" s="108"/>
      <c r="B726" s="109"/>
      <c r="C726" s="109"/>
      <c r="D726" s="109"/>
      <c r="E726" s="110"/>
      <c r="F726" s="109"/>
      <c r="G726" s="109"/>
      <c r="H726" s="109"/>
      <c r="I726" s="109"/>
      <c r="J726" s="109"/>
    </row>
    <row r="727" spans="1:10">
      <c r="A727" s="108"/>
      <c r="B727" s="109"/>
      <c r="C727" s="109"/>
      <c r="D727" s="109"/>
      <c r="E727" s="110"/>
      <c r="F727" s="109"/>
      <c r="G727" s="109"/>
      <c r="H727" s="109"/>
      <c r="I727" s="109"/>
      <c r="J727" s="109"/>
    </row>
    <row r="728" spans="1:10">
      <c r="A728" s="108"/>
      <c r="B728" s="109"/>
      <c r="C728" s="109"/>
      <c r="D728" s="109"/>
      <c r="E728" s="110"/>
      <c r="F728" s="109"/>
      <c r="G728" s="109"/>
      <c r="H728" s="109"/>
      <c r="I728" s="109"/>
      <c r="J728" s="109"/>
    </row>
    <row r="729" spans="1:10">
      <c r="A729" s="108"/>
      <c r="B729" s="109"/>
      <c r="C729" s="109"/>
      <c r="D729" s="109"/>
      <c r="E729" s="110"/>
      <c r="F729" s="109"/>
      <c r="G729" s="109"/>
      <c r="H729" s="109"/>
      <c r="I729" s="109"/>
      <c r="J729" s="109"/>
    </row>
    <row r="730" spans="1:10">
      <c r="A730" s="108"/>
      <c r="B730" s="109"/>
      <c r="C730" s="109"/>
      <c r="D730" s="109"/>
      <c r="E730" s="110"/>
      <c r="F730" s="109"/>
      <c r="G730" s="109"/>
      <c r="H730" s="109"/>
      <c r="I730" s="109"/>
      <c r="J730" s="109"/>
    </row>
    <row r="731" spans="1:10">
      <c r="A731" s="108"/>
      <c r="B731" s="109"/>
      <c r="C731" s="109"/>
      <c r="D731" s="109"/>
      <c r="E731" s="110"/>
      <c r="F731" s="109"/>
      <c r="G731" s="109"/>
      <c r="H731" s="109"/>
      <c r="I731" s="109"/>
      <c r="J731" s="109"/>
    </row>
    <row r="732" spans="1:10">
      <c r="A732" s="108"/>
      <c r="B732" s="109"/>
      <c r="C732" s="109"/>
      <c r="D732" s="109"/>
      <c r="E732" s="110"/>
      <c r="F732" s="109"/>
      <c r="G732" s="109"/>
      <c r="H732" s="109"/>
      <c r="I732" s="109"/>
      <c r="J732" s="109"/>
    </row>
    <row r="733" spans="1:10">
      <c r="A733" s="108"/>
      <c r="B733" s="109"/>
      <c r="C733" s="109"/>
      <c r="D733" s="109"/>
      <c r="E733" s="110"/>
      <c r="F733" s="109"/>
      <c r="G733" s="109"/>
      <c r="H733" s="109"/>
      <c r="I733" s="109"/>
      <c r="J733" s="109"/>
    </row>
    <row r="734" spans="1:10">
      <c r="A734" s="108"/>
      <c r="B734" s="109"/>
      <c r="C734" s="109"/>
      <c r="D734" s="109"/>
      <c r="E734" s="110"/>
      <c r="F734" s="109"/>
      <c r="G734" s="109"/>
      <c r="H734" s="109"/>
      <c r="I734" s="109"/>
      <c r="J734" s="109"/>
    </row>
    <row r="735" spans="1:10">
      <c r="A735" s="108"/>
      <c r="B735" s="109"/>
      <c r="C735" s="109"/>
      <c r="D735" s="109"/>
      <c r="E735" s="110"/>
      <c r="F735" s="109"/>
      <c r="G735" s="109"/>
      <c r="H735" s="109"/>
      <c r="I735" s="109"/>
      <c r="J735" s="109"/>
    </row>
    <row r="736" spans="1:10">
      <c r="A736" s="108"/>
      <c r="B736" s="109"/>
      <c r="C736" s="109"/>
      <c r="D736" s="109"/>
      <c r="E736" s="110"/>
      <c r="F736" s="109"/>
      <c r="G736" s="109"/>
      <c r="H736" s="109"/>
      <c r="I736" s="109"/>
      <c r="J736" s="109"/>
    </row>
    <row r="737" spans="1:10">
      <c r="A737" s="108"/>
      <c r="B737" s="109"/>
      <c r="C737" s="109"/>
      <c r="D737" s="109"/>
      <c r="E737" s="110"/>
      <c r="F737" s="109"/>
      <c r="G737" s="109"/>
      <c r="H737" s="109"/>
      <c r="I737" s="109"/>
      <c r="J737" s="109"/>
    </row>
    <row r="738" spans="1:10">
      <c r="A738" s="108"/>
      <c r="B738" s="109"/>
      <c r="C738" s="109"/>
      <c r="D738" s="109"/>
      <c r="E738" s="110"/>
      <c r="F738" s="109"/>
      <c r="G738" s="109"/>
      <c r="H738" s="109"/>
      <c r="I738" s="109"/>
      <c r="J738" s="109"/>
    </row>
    <row r="739" spans="1:10">
      <c r="A739" s="108"/>
      <c r="B739" s="109"/>
      <c r="C739" s="109"/>
      <c r="D739" s="109"/>
      <c r="E739" s="110"/>
      <c r="F739" s="109"/>
      <c r="G739" s="109"/>
      <c r="H739" s="109"/>
      <c r="I739" s="109"/>
      <c r="J739" s="109"/>
    </row>
    <row r="740" spans="1:10">
      <c r="A740" s="108"/>
      <c r="B740" s="109"/>
      <c r="C740" s="109"/>
      <c r="D740" s="109"/>
      <c r="E740" s="110"/>
      <c r="F740" s="109"/>
      <c r="G740" s="109"/>
      <c r="H740" s="109"/>
      <c r="I740" s="109"/>
      <c r="J740" s="109"/>
    </row>
    <row r="741" spans="1:10">
      <c r="A741" s="108"/>
      <c r="B741" s="109"/>
      <c r="C741" s="109"/>
      <c r="D741" s="109"/>
      <c r="E741" s="110"/>
      <c r="F741" s="109"/>
      <c r="G741" s="109"/>
      <c r="H741" s="109"/>
      <c r="I741" s="109"/>
      <c r="J741" s="109"/>
    </row>
    <row r="742" spans="1:10">
      <c r="A742" s="108"/>
      <c r="B742" s="109"/>
      <c r="C742" s="109"/>
      <c r="D742" s="109"/>
      <c r="E742" s="110"/>
      <c r="F742" s="109"/>
      <c r="G742" s="109"/>
      <c r="H742" s="109"/>
      <c r="I742" s="109"/>
      <c r="J742" s="109"/>
    </row>
    <row r="743" spans="1:10">
      <c r="A743" s="108"/>
      <c r="B743" s="109"/>
      <c r="C743" s="109"/>
      <c r="D743" s="109"/>
      <c r="E743" s="110"/>
      <c r="F743" s="109"/>
      <c r="G743" s="109"/>
      <c r="H743" s="109"/>
      <c r="I743" s="109"/>
      <c r="J743" s="109"/>
    </row>
    <row r="744" spans="1:10">
      <c r="A744" s="108"/>
      <c r="B744" s="109"/>
      <c r="C744" s="109"/>
      <c r="D744" s="109"/>
      <c r="E744" s="110"/>
      <c r="F744" s="109"/>
      <c r="G744" s="109"/>
      <c r="H744" s="109"/>
      <c r="I744" s="109"/>
      <c r="J744" s="109"/>
    </row>
    <row r="745" spans="1:10">
      <c r="A745" s="108"/>
      <c r="B745" s="109"/>
      <c r="C745" s="109"/>
      <c r="D745" s="109"/>
      <c r="E745" s="110"/>
      <c r="F745" s="109"/>
      <c r="G745" s="109"/>
      <c r="H745" s="109"/>
      <c r="I745" s="109"/>
      <c r="J745" s="109"/>
    </row>
    <row r="746" spans="1:10">
      <c r="A746" s="108"/>
      <c r="B746" s="109"/>
      <c r="C746" s="109"/>
      <c r="D746" s="109"/>
      <c r="E746" s="110"/>
      <c r="F746" s="109"/>
      <c r="G746" s="109"/>
      <c r="H746" s="109"/>
      <c r="I746" s="109"/>
      <c r="J746" s="109"/>
    </row>
    <row r="747" spans="1:10">
      <c r="A747" s="108"/>
      <c r="B747" s="109"/>
      <c r="C747" s="109"/>
      <c r="D747" s="109"/>
      <c r="E747" s="110"/>
      <c r="F747" s="109"/>
      <c r="G747" s="109"/>
      <c r="H747" s="109"/>
      <c r="I747" s="109"/>
      <c r="J747" s="109"/>
    </row>
    <row r="748" spans="1:10">
      <c r="A748" s="108"/>
      <c r="B748" s="109"/>
      <c r="C748" s="109"/>
      <c r="D748" s="109"/>
      <c r="E748" s="110"/>
      <c r="F748" s="109"/>
      <c r="G748" s="109"/>
      <c r="H748" s="109"/>
      <c r="I748" s="109"/>
      <c r="J748" s="109"/>
    </row>
    <row r="749" spans="1:10">
      <c r="A749" s="108"/>
      <c r="B749" s="109"/>
      <c r="C749" s="109"/>
      <c r="D749" s="109"/>
      <c r="E749" s="110"/>
      <c r="F749" s="109"/>
      <c r="G749" s="109"/>
      <c r="H749" s="109"/>
      <c r="I749" s="109"/>
      <c r="J749" s="109"/>
    </row>
    <row r="750" spans="1:10">
      <c r="A750" s="108"/>
      <c r="B750" s="109"/>
      <c r="C750" s="109"/>
      <c r="D750" s="109"/>
      <c r="E750" s="110"/>
      <c r="F750" s="109"/>
      <c r="G750" s="109"/>
      <c r="H750" s="109"/>
      <c r="I750" s="109"/>
      <c r="J750" s="109"/>
    </row>
    <row r="751" spans="1:10">
      <c r="A751" s="108"/>
      <c r="B751" s="109"/>
      <c r="C751" s="109"/>
      <c r="D751" s="109"/>
      <c r="E751" s="110"/>
      <c r="F751" s="109"/>
      <c r="G751" s="109"/>
      <c r="H751" s="109"/>
      <c r="I751" s="109"/>
      <c r="J751" s="109"/>
    </row>
    <row r="752" spans="1:10">
      <c r="A752" s="108"/>
      <c r="B752" s="109"/>
      <c r="C752" s="109"/>
      <c r="D752" s="109"/>
      <c r="E752" s="110"/>
      <c r="F752" s="109"/>
      <c r="G752" s="109"/>
      <c r="H752" s="109"/>
      <c r="I752" s="109"/>
      <c r="J752" s="109"/>
    </row>
    <row r="753" spans="1:10">
      <c r="A753" s="108"/>
      <c r="B753" s="109"/>
      <c r="C753" s="109"/>
      <c r="D753" s="109"/>
      <c r="E753" s="110"/>
      <c r="F753" s="109"/>
      <c r="G753" s="109"/>
      <c r="H753" s="109"/>
      <c r="I753" s="109"/>
      <c r="J753" s="109"/>
    </row>
    <row r="754" spans="1:10">
      <c r="A754" s="108"/>
      <c r="B754" s="109"/>
      <c r="C754" s="109"/>
      <c r="D754" s="109"/>
      <c r="E754" s="110"/>
      <c r="F754" s="109"/>
      <c r="G754" s="109"/>
      <c r="H754" s="109"/>
      <c r="I754" s="109"/>
      <c r="J754" s="109"/>
    </row>
    <row r="755" spans="1:10">
      <c r="A755" s="108"/>
      <c r="B755" s="109"/>
      <c r="C755" s="109"/>
      <c r="D755" s="109"/>
      <c r="E755" s="110"/>
      <c r="F755" s="109"/>
      <c r="G755" s="109"/>
      <c r="H755" s="109"/>
      <c r="I755" s="109"/>
      <c r="J755" s="109"/>
    </row>
    <row r="756" spans="1:10">
      <c r="A756" s="108"/>
      <c r="B756" s="109"/>
      <c r="C756" s="109"/>
      <c r="D756" s="109"/>
      <c r="E756" s="110"/>
      <c r="F756" s="109"/>
      <c r="G756" s="109"/>
      <c r="H756" s="109"/>
      <c r="I756" s="109"/>
      <c r="J756" s="109"/>
    </row>
    <row r="757" spans="1:10">
      <c r="A757" s="108"/>
      <c r="B757" s="109"/>
      <c r="C757" s="109"/>
      <c r="D757" s="109"/>
      <c r="E757" s="110"/>
      <c r="F757" s="109"/>
      <c r="G757" s="109"/>
      <c r="H757" s="109"/>
      <c r="I757" s="109"/>
      <c r="J757" s="109"/>
    </row>
    <row r="758" spans="1:10">
      <c r="A758" s="108"/>
      <c r="B758" s="109"/>
      <c r="C758" s="109"/>
      <c r="D758" s="109"/>
      <c r="E758" s="110"/>
      <c r="F758" s="109"/>
      <c r="G758" s="109"/>
      <c r="H758" s="109"/>
      <c r="I758" s="109"/>
      <c r="J758" s="109"/>
    </row>
    <row r="759" spans="1:10">
      <c r="A759" s="108"/>
      <c r="B759" s="109"/>
      <c r="C759" s="109"/>
      <c r="D759" s="109"/>
      <c r="E759" s="110"/>
      <c r="F759" s="109"/>
      <c r="G759" s="109"/>
      <c r="H759" s="109"/>
      <c r="I759" s="109"/>
      <c r="J759" s="109"/>
    </row>
    <row r="760" spans="1:10">
      <c r="A760" s="108"/>
      <c r="B760" s="109"/>
      <c r="C760" s="109"/>
      <c r="D760" s="109"/>
      <c r="E760" s="110"/>
      <c r="F760" s="109"/>
      <c r="G760" s="109"/>
      <c r="H760" s="109"/>
      <c r="I760" s="109"/>
      <c r="J760" s="109"/>
    </row>
    <row r="761" spans="1:10">
      <c r="A761" s="108"/>
      <c r="B761" s="109"/>
      <c r="C761" s="109"/>
      <c r="D761" s="109"/>
      <c r="E761" s="110"/>
      <c r="F761" s="109"/>
      <c r="G761" s="109"/>
      <c r="H761" s="109"/>
      <c r="I761" s="109"/>
      <c r="J761" s="109"/>
    </row>
    <row r="762" spans="1:10">
      <c r="A762" s="108"/>
      <c r="B762" s="109"/>
      <c r="C762" s="109"/>
      <c r="D762" s="109"/>
      <c r="E762" s="110"/>
      <c r="F762" s="109"/>
      <c r="G762" s="109"/>
      <c r="H762" s="109"/>
      <c r="I762" s="109"/>
      <c r="J762" s="109"/>
    </row>
    <row r="763" spans="1:10">
      <c r="A763" s="108"/>
      <c r="B763" s="109"/>
      <c r="C763" s="109"/>
      <c r="D763" s="109"/>
      <c r="E763" s="110"/>
      <c r="F763" s="109"/>
      <c r="G763" s="109"/>
      <c r="H763" s="109"/>
      <c r="I763" s="109"/>
      <c r="J763" s="109"/>
    </row>
    <row r="764" spans="1:10">
      <c r="A764" s="108"/>
      <c r="B764" s="109"/>
      <c r="C764" s="109"/>
      <c r="D764" s="109"/>
      <c r="E764" s="110"/>
      <c r="F764" s="109"/>
      <c r="G764" s="109"/>
      <c r="H764" s="109"/>
      <c r="I764" s="109"/>
      <c r="J764" s="109"/>
    </row>
    <row r="765" spans="1:10">
      <c r="A765" s="108"/>
      <c r="B765" s="109"/>
      <c r="C765" s="109"/>
      <c r="D765" s="109"/>
      <c r="E765" s="110"/>
      <c r="F765" s="109"/>
      <c r="G765" s="109"/>
      <c r="H765" s="109"/>
      <c r="I765" s="109"/>
      <c r="J765" s="109"/>
    </row>
    <row r="766" spans="1:10">
      <c r="A766" s="108"/>
      <c r="B766" s="109"/>
      <c r="C766" s="109"/>
      <c r="D766" s="109"/>
      <c r="E766" s="110"/>
      <c r="F766" s="109"/>
      <c r="G766" s="109"/>
      <c r="H766" s="109"/>
      <c r="I766" s="109"/>
      <c r="J766" s="109"/>
    </row>
    <row r="767" spans="1:10">
      <c r="A767" s="108"/>
      <c r="B767" s="109"/>
      <c r="C767" s="109"/>
      <c r="D767" s="109"/>
      <c r="E767" s="110"/>
      <c r="F767" s="109"/>
      <c r="G767" s="109"/>
      <c r="H767" s="109"/>
      <c r="I767" s="109"/>
      <c r="J767" s="109"/>
    </row>
    <row r="768" spans="1:10">
      <c r="A768" s="108"/>
      <c r="B768" s="109"/>
      <c r="C768" s="109"/>
      <c r="D768" s="109"/>
      <c r="E768" s="110"/>
      <c r="F768" s="109"/>
      <c r="G768" s="109"/>
      <c r="H768" s="109"/>
      <c r="I768" s="109"/>
      <c r="J768" s="109"/>
    </row>
    <row r="769" spans="1:10">
      <c r="A769" s="108"/>
      <c r="B769" s="109"/>
      <c r="C769" s="109"/>
      <c r="D769" s="109"/>
      <c r="E769" s="110"/>
      <c r="F769" s="109"/>
      <c r="G769" s="109"/>
      <c r="H769" s="109"/>
      <c r="I769" s="109"/>
      <c r="J769" s="109"/>
    </row>
    <row r="770" spans="1:10">
      <c r="A770" s="108"/>
      <c r="B770" s="109"/>
      <c r="C770" s="109"/>
      <c r="D770" s="109"/>
      <c r="E770" s="110"/>
      <c r="F770" s="109"/>
      <c r="G770" s="109"/>
      <c r="H770" s="109"/>
      <c r="I770" s="109"/>
      <c r="J770" s="109"/>
    </row>
    <row r="771" spans="1:10">
      <c r="A771" s="108"/>
      <c r="B771" s="109"/>
      <c r="C771" s="109"/>
      <c r="D771" s="109"/>
      <c r="E771" s="110"/>
      <c r="F771" s="109"/>
      <c r="G771" s="109"/>
      <c r="H771" s="109"/>
      <c r="I771" s="109"/>
      <c r="J771" s="109"/>
    </row>
    <row r="772" spans="1:10">
      <c r="A772" s="108"/>
      <c r="B772" s="109"/>
      <c r="C772" s="109"/>
      <c r="D772" s="109"/>
      <c r="E772" s="110"/>
      <c r="F772" s="109"/>
      <c r="G772" s="109"/>
      <c r="H772" s="109"/>
      <c r="I772" s="109"/>
      <c r="J772" s="109"/>
    </row>
    <row r="773" spans="1:10">
      <c r="A773" s="108"/>
      <c r="B773" s="109"/>
      <c r="C773" s="109"/>
      <c r="D773" s="109"/>
      <c r="E773" s="110"/>
      <c r="F773" s="109"/>
      <c r="G773" s="109"/>
      <c r="H773" s="109"/>
      <c r="I773" s="109"/>
      <c r="J773" s="109"/>
    </row>
    <row r="774" spans="1:10">
      <c r="A774" s="108"/>
      <c r="B774" s="109"/>
      <c r="C774" s="109"/>
      <c r="D774" s="109"/>
      <c r="E774" s="110"/>
      <c r="F774" s="109"/>
      <c r="G774" s="109"/>
      <c r="H774" s="109"/>
      <c r="I774" s="109"/>
      <c r="J774" s="109"/>
    </row>
    <row r="775" spans="1:10">
      <c r="A775" s="108"/>
      <c r="B775" s="109"/>
      <c r="C775" s="109"/>
      <c r="D775" s="109"/>
      <c r="E775" s="110"/>
      <c r="F775" s="109"/>
      <c r="G775" s="109"/>
      <c r="H775" s="109"/>
      <c r="I775" s="109"/>
      <c r="J775" s="109"/>
    </row>
    <row r="776" spans="1:10">
      <c r="A776" s="108"/>
      <c r="B776" s="109"/>
      <c r="C776" s="109"/>
      <c r="D776" s="109"/>
      <c r="E776" s="110"/>
      <c r="F776" s="109"/>
      <c r="G776" s="109"/>
      <c r="H776" s="109"/>
      <c r="I776" s="109"/>
      <c r="J776" s="109"/>
    </row>
    <row r="777" spans="1:10">
      <c r="A777" s="108"/>
      <c r="B777" s="109"/>
      <c r="C777" s="109"/>
      <c r="D777" s="109"/>
      <c r="E777" s="110"/>
      <c r="F777" s="109"/>
      <c r="G777" s="109"/>
      <c r="H777" s="109"/>
      <c r="I777" s="109"/>
      <c r="J777" s="109"/>
    </row>
    <row r="778" spans="1:10">
      <c r="A778" s="108"/>
      <c r="B778" s="109"/>
      <c r="C778" s="109"/>
      <c r="D778" s="109"/>
      <c r="E778" s="110"/>
      <c r="F778" s="109"/>
      <c r="G778" s="109"/>
      <c r="H778" s="109"/>
      <c r="I778" s="109"/>
      <c r="J778" s="109"/>
    </row>
    <row r="779" spans="1:10">
      <c r="A779" s="108"/>
      <c r="B779" s="109"/>
      <c r="C779" s="109"/>
      <c r="D779" s="109"/>
      <c r="E779" s="110"/>
      <c r="F779" s="109"/>
      <c r="G779" s="109"/>
      <c r="H779" s="109"/>
      <c r="I779" s="109"/>
      <c r="J779" s="109"/>
    </row>
    <row r="780" spans="1:10">
      <c r="A780" s="108"/>
      <c r="B780" s="109"/>
      <c r="C780" s="109"/>
      <c r="D780" s="109"/>
      <c r="E780" s="110"/>
      <c r="F780" s="109"/>
      <c r="G780" s="109"/>
      <c r="H780" s="109"/>
      <c r="I780" s="109"/>
      <c r="J780" s="109"/>
    </row>
    <row r="781" spans="1:10">
      <c r="A781" s="108"/>
      <c r="B781" s="109"/>
      <c r="C781" s="109"/>
      <c r="D781" s="109"/>
      <c r="E781" s="110"/>
      <c r="F781" s="109"/>
      <c r="G781" s="109"/>
      <c r="H781" s="109"/>
      <c r="I781" s="109"/>
      <c r="J781" s="109"/>
    </row>
    <row r="782" spans="1:10">
      <c r="A782" s="108"/>
      <c r="B782" s="109"/>
      <c r="C782" s="109"/>
      <c r="D782" s="109"/>
      <c r="E782" s="110"/>
      <c r="F782" s="109"/>
      <c r="G782" s="109"/>
      <c r="H782" s="109"/>
      <c r="I782" s="109"/>
      <c r="J782" s="109"/>
    </row>
    <row r="783" spans="1:10">
      <c r="A783" s="108"/>
      <c r="B783" s="109"/>
      <c r="C783" s="109"/>
      <c r="D783" s="109"/>
      <c r="E783" s="110"/>
      <c r="F783" s="109"/>
      <c r="G783" s="109"/>
      <c r="H783" s="109"/>
      <c r="I783" s="109"/>
      <c r="J783" s="109"/>
    </row>
    <row r="784" spans="1:10">
      <c r="A784" s="108"/>
      <c r="B784" s="109"/>
      <c r="C784" s="109"/>
      <c r="D784" s="109"/>
      <c r="E784" s="110"/>
      <c r="F784" s="109"/>
      <c r="G784" s="109"/>
      <c r="H784" s="109"/>
      <c r="I784" s="109"/>
      <c r="J784" s="109"/>
    </row>
    <row r="785" spans="1:10">
      <c r="A785" s="108"/>
      <c r="B785" s="109"/>
      <c r="C785" s="109"/>
      <c r="D785" s="109"/>
      <c r="E785" s="110"/>
      <c r="F785" s="109"/>
      <c r="G785" s="109"/>
      <c r="H785" s="109"/>
      <c r="I785" s="109"/>
      <c r="J785" s="109"/>
    </row>
    <row r="786" spans="1:10">
      <c r="A786" s="108"/>
      <c r="B786" s="109"/>
      <c r="C786" s="109"/>
      <c r="D786" s="109"/>
      <c r="E786" s="110"/>
      <c r="F786" s="109"/>
      <c r="G786" s="109"/>
      <c r="H786" s="109"/>
      <c r="I786" s="109"/>
      <c r="J786" s="109"/>
    </row>
    <row r="787" spans="1:10">
      <c r="A787" s="108"/>
      <c r="B787" s="109"/>
      <c r="C787" s="109"/>
      <c r="D787" s="109"/>
      <c r="E787" s="110"/>
      <c r="F787" s="109"/>
      <c r="G787" s="109"/>
      <c r="H787" s="109"/>
      <c r="I787" s="109"/>
      <c r="J787" s="109"/>
    </row>
    <row r="788" spans="1:10">
      <c r="A788" s="108"/>
      <c r="B788" s="109"/>
      <c r="C788" s="109"/>
      <c r="D788" s="109"/>
      <c r="E788" s="110"/>
      <c r="F788" s="109"/>
      <c r="G788" s="109"/>
      <c r="H788" s="109"/>
      <c r="I788" s="109"/>
      <c r="J788" s="109"/>
    </row>
    <row r="789" spans="1:10">
      <c r="A789" s="108"/>
      <c r="B789" s="109"/>
      <c r="C789" s="109"/>
      <c r="D789" s="109"/>
      <c r="E789" s="110"/>
      <c r="F789" s="109"/>
      <c r="G789" s="109"/>
      <c r="H789" s="109"/>
      <c r="I789" s="109"/>
      <c r="J789" s="109"/>
    </row>
    <row r="790" spans="1:10">
      <c r="A790" s="108"/>
      <c r="B790" s="109"/>
      <c r="C790" s="109"/>
      <c r="D790" s="109"/>
      <c r="E790" s="110"/>
      <c r="F790" s="109"/>
      <c r="G790" s="109"/>
      <c r="H790" s="109"/>
      <c r="I790" s="109"/>
      <c r="J790" s="109"/>
    </row>
    <row r="791" spans="1:10">
      <c r="A791" s="108"/>
      <c r="B791" s="109"/>
      <c r="C791" s="109"/>
      <c r="D791" s="109"/>
      <c r="E791" s="110"/>
      <c r="F791" s="109"/>
      <c r="G791" s="109"/>
      <c r="H791" s="109"/>
      <c r="I791" s="109"/>
      <c r="J791" s="109"/>
    </row>
    <row r="792" spans="1:10">
      <c r="A792" s="108"/>
      <c r="B792" s="109"/>
      <c r="C792" s="109"/>
      <c r="D792" s="109"/>
      <c r="E792" s="110"/>
      <c r="F792" s="109"/>
      <c r="G792" s="109"/>
      <c r="H792" s="109"/>
      <c r="I792" s="109"/>
      <c r="J792" s="109"/>
    </row>
    <row r="793" spans="1:10">
      <c r="A793" s="108"/>
      <c r="B793" s="109"/>
      <c r="C793" s="109"/>
      <c r="D793" s="109"/>
      <c r="E793" s="110"/>
      <c r="F793" s="109"/>
      <c r="G793" s="109"/>
      <c r="H793" s="109"/>
      <c r="I793" s="109"/>
      <c r="J793" s="109"/>
    </row>
    <row r="794" spans="1:10">
      <c r="A794" s="108"/>
      <c r="B794" s="109"/>
      <c r="C794" s="109"/>
      <c r="D794" s="109"/>
      <c r="E794" s="110"/>
      <c r="F794" s="109"/>
      <c r="G794" s="109"/>
      <c r="H794" s="109"/>
      <c r="I794" s="109"/>
      <c r="J794" s="109"/>
    </row>
    <row r="795" spans="1:10">
      <c r="A795" s="108"/>
      <c r="B795" s="109"/>
      <c r="C795" s="109"/>
      <c r="D795" s="109"/>
      <c r="E795" s="110"/>
      <c r="F795" s="109"/>
      <c r="G795" s="109"/>
      <c r="H795" s="109"/>
      <c r="I795" s="109"/>
      <c r="J795" s="109"/>
    </row>
    <row r="796" spans="1:10">
      <c r="A796" s="108"/>
      <c r="B796" s="109"/>
      <c r="C796" s="109"/>
      <c r="D796" s="109"/>
      <c r="E796" s="110"/>
      <c r="F796" s="109"/>
      <c r="G796" s="109"/>
      <c r="H796" s="109"/>
      <c r="I796" s="109"/>
      <c r="J796" s="109"/>
    </row>
    <row r="797" spans="1:10">
      <c r="A797" s="108"/>
      <c r="B797" s="109"/>
      <c r="C797" s="109"/>
      <c r="D797" s="109"/>
      <c r="E797" s="110"/>
      <c r="F797" s="109"/>
      <c r="G797" s="109"/>
      <c r="H797" s="109"/>
      <c r="I797" s="109"/>
      <c r="J797" s="109"/>
    </row>
    <row r="798" spans="1:10">
      <c r="A798" s="108"/>
      <c r="B798" s="109"/>
      <c r="C798" s="109"/>
      <c r="D798" s="109"/>
      <c r="E798" s="110"/>
      <c r="F798" s="109"/>
      <c r="G798" s="109"/>
      <c r="H798" s="109"/>
      <c r="I798" s="109"/>
      <c r="J798" s="109"/>
    </row>
    <row r="799" spans="1:10">
      <c r="A799" s="108"/>
      <c r="B799" s="109"/>
      <c r="C799" s="109"/>
      <c r="D799" s="109"/>
      <c r="E799" s="110"/>
      <c r="F799" s="109"/>
      <c r="G799" s="109"/>
      <c r="H799" s="109"/>
      <c r="I799" s="109"/>
      <c r="J799" s="109"/>
    </row>
    <row r="800" spans="1:10">
      <c r="A800" s="108"/>
      <c r="B800" s="109"/>
      <c r="C800" s="109"/>
      <c r="D800" s="109"/>
      <c r="E800" s="110"/>
      <c r="F800" s="109"/>
      <c r="G800" s="109"/>
      <c r="H800" s="109"/>
      <c r="I800" s="109"/>
      <c r="J800" s="109"/>
    </row>
    <row r="801" spans="1:10">
      <c r="A801" s="108"/>
      <c r="B801" s="109"/>
      <c r="C801" s="109"/>
      <c r="D801" s="109"/>
      <c r="E801" s="110"/>
      <c r="F801" s="109"/>
      <c r="G801" s="109"/>
      <c r="H801" s="109"/>
      <c r="I801" s="109"/>
      <c r="J801" s="109"/>
    </row>
    <row r="802" spans="1:10">
      <c r="A802" s="108"/>
      <c r="B802" s="109"/>
      <c r="C802" s="109"/>
      <c r="D802" s="109"/>
      <c r="E802" s="110"/>
      <c r="F802" s="109"/>
      <c r="G802" s="109"/>
      <c r="H802" s="109"/>
      <c r="I802" s="109"/>
      <c r="J802" s="109"/>
    </row>
    <row r="803" spans="1:10">
      <c r="A803" s="108"/>
      <c r="B803" s="109"/>
      <c r="C803" s="109"/>
      <c r="D803" s="109"/>
      <c r="E803" s="110"/>
      <c r="F803" s="109"/>
      <c r="G803" s="109"/>
      <c r="H803" s="109"/>
      <c r="I803" s="109"/>
      <c r="J803" s="109"/>
    </row>
    <row r="804" spans="1:10">
      <c r="A804" s="108"/>
      <c r="B804" s="109"/>
      <c r="C804" s="109"/>
      <c r="D804" s="109"/>
      <c r="E804" s="110"/>
      <c r="F804" s="109"/>
      <c r="G804" s="109"/>
      <c r="H804" s="109"/>
      <c r="I804" s="109"/>
      <c r="J804" s="109"/>
    </row>
    <row r="805" spans="1:10">
      <c r="A805" s="108"/>
      <c r="B805" s="109"/>
      <c r="C805" s="109"/>
      <c r="D805" s="109"/>
      <c r="E805" s="110"/>
      <c r="F805" s="109"/>
      <c r="G805" s="109"/>
      <c r="H805" s="109"/>
      <c r="I805" s="109"/>
      <c r="J805" s="109"/>
    </row>
    <row r="806" spans="1:10">
      <c r="A806" s="108"/>
      <c r="B806" s="109"/>
      <c r="C806" s="109"/>
      <c r="D806" s="109"/>
      <c r="E806" s="110"/>
      <c r="F806" s="109"/>
      <c r="G806" s="109"/>
      <c r="H806" s="109"/>
      <c r="I806" s="109"/>
      <c r="J806" s="109"/>
    </row>
    <row r="807" spans="1:10">
      <c r="A807" s="108"/>
      <c r="B807" s="109"/>
      <c r="C807" s="109"/>
      <c r="D807" s="109"/>
      <c r="E807" s="110"/>
      <c r="F807" s="109"/>
      <c r="G807" s="109"/>
      <c r="H807" s="109"/>
      <c r="I807" s="109"/>
      <c r="J807" s="109"/>
    </row>
    <row r="808" spans="1:10">
      <c r="A808" s="108"/>
      <c r="B808" s="109"/>
      <c r="C808" s="109"/>
      <c r="D808" s="109"/>
      <c r="E808" s="110"/>
      <c r="F808" s="109"/>
      <c r="G808" s="109"/>
      <c r="H808" s="109"/>
      <c r="I808" s="109"/>
      <c r="J808" s="109"/>
    </row>
    <row r="809" spans="1:10">
      <c r="A809" s="108"/>
      <c r="B809" s="109"/>
      <c r="C809" s="109"/>
      <c r="D809" s="109"/>
      <c r="E809" s="110"/>
      <c r="F809" s="109"/>
      <c r="G809" s="109"/>
      <c r="H809" s="109"/>
      <c r="I809" s="109"/>
      <c r="J809" s="109"/>
    </row>
    <row r="810" spans="1:10">
      <c r="A810" s="108"/>
      <c r="B810" s="109"/>
      <c r="C810" s="109"/>
      <c r="D810" s="109"/>
      <c r="E810" s="110"/>
      <c r="F810" s="109"/>
      <c r="G810" s="109"/>
      <c r="H810" s="109"/>
      <c r="I810" s="109"/>
      <c r="J810" s="109"/>
    </row>
    <row r="811" spans="1:10">
      <c r="A811" s="108"/>
      <c r="B811" s="109"/>
      <c r="C811" s="109"/>
      <c r="D811" s="109"/>
      <c r="E811" s="110"/>
      <c r="F811" s="109"/>
      <c r="G811" s="109"/>
      <c r="H811" s="109"/>
      <c r="I811" s="109"/>
      <c r="J811" s="109"/>
    </row>
    <row r="812" spans="1:10">
      <c r="A812" s="108"/>
      <c r="B812" s="109"/>
      <c r="C812" s="109"/>
      <c r="D812" s="109"/>
      <c r="E812" s="110"/>
      <c r="F812" s="109"/>
      <c r="G812" s="109"/>
      <c r="H812" s="109"/>
      <c r="I812" s="109"/>
      <c r="J812" s="109"/>
    </row>
    <row r="813" spans="1:10">
      <c r="A813" s="108"/>
      <c r="B813" s="109"/>
      <c r="C813" s="109"/>
      <c r="D813" s="109"/>
      <c r="E813" s="110"/>
      <c r="F813" s="109"/>
      <c r="G813" s="109"/>
      <c r="H813" s="109"/>
      <c r="I813" s="109"/>
      <c r="J813" s="109"/>
    </row>
    <row r="814" spans="1:10">
      <c r="A814" s="108"/>
      <c r="B814" s="109"/>
      <c r="C814" s="109"/>
      <c r="D814" s="109"/>
      <c r="E814" s="110"/>
      <c r="F814" s="109"/>
      <c r="G814" s="109"/>
      <c r="H814" s="109"/>
      <c r="I814" s="109"/>
      <c r="J814" s="109"/>
    </row>
    <row r="815" spans="1:10">
      <c r="A815" s="108"/>
      <c r="B815" s="109"/>
      <c r="C815" s="109"/>
      <c r="D815" s="109"/>
      <c r="E815" s="110"/>
      <c r="F815" s="109"/>
      <c r="G815" s="109"/>
      <c r="H815" s="109"/>
      <c r="I815" s="109"/>
      <c r="J815" s="109"/>
    </row>
    <row r="816" spans="1:10">
      <c r="A816" s="108"/>
      <c r="B816" s="109"/>
      <c r="C816" s="109"/>
      <c r="D816" s="109"/>
      <c r="E816" s="110"/>
      <c r="F816" s="109"/>
      <c r="G816" s="109"/>
      <c r="H816" s="109"/>
      <c r="I816" s="109"/>
      <c r="J816" s="109"/>
    </row>
    <row r="817" spans="1:10">
      <c r="A817" s="108"/>
      <c r="B817" s="109"/>
      <c r="C817" s="109"/>
      <c r="D817" s="109"/>
      <c r="E817" s="110"/>
      <c r="F817" s="109"/>
      <c r="G817" s="109"/>
      <c r="H817" s="109"/>
      <c r="I817" s="109"/>
      <c r="J817" s="109"/>
    </row>
    <row r="818" spans="1:10">
      <c r="A818" s="108"/>
      <c r="B818" s="109"/>
      <c r="C818" s="109"/>
      <c r="D818" s="109"/>
      <c r="E818" s="110"/>
      <c r="F818" s="109"/>
      <c r="G818" s="109"/>
      <c r="H818" s="109"/>
      <c r="I818" s="109"/>
      <c r="J818" s="109"/>
    </row>
    <row r="819" spans="1:10">
      <c r="A819" s="108"/>
      <c r="B819" s="109"/>
      <c r="C819" s="109"/>
      <c r="D819" s="109"/>
      <c r="E819" s="110"/>
      <c r="F819" s="109"/>
      <c r="G819" s="109"/>
      <c r="H819" s="109"/>
      <c r="I819" s="109"/>
      <c r="J819" s="109"/>
    </row>
    <row r="820" spans="1:10">
      <c r="A820" s="108"/>
      <c r="B820" s="109"/>
      <c r="C820" s="109"/>
      <c r="D820" s="109"/>
      <c r="E820" s="110"/>
      <c r="F820" s="109"/>
      <c r="G820" s="109"/>
      <c r="H820" s="109"/>
      <c r="I820" s="109"/>
      <c r="J820" s="109"/>
    </row>
    <row r="821" spans="1:10">
      <c r="A821" s="108"/>
      <c r="B821" s="109"/>
      <c r="C821" s="109"/>
      <c r="D821" s="109"/>
      <c r="E821" s="110"/>
      <c r="F821" s="109"/>
      <c r="G821" s="109"/>
      <c r="H821" s="109"/>
      <c r="I821" s="109"/>
      <c r="J821" s="109"/>
    </row>
    <row r="822" spans="1:10">
      <c r="A822" s="108"/>
      <c r="B822" s="109"/>
      <c r="C822" s="109"/>
      <c r="D822" s="109"/>
      <c r="E822" s="110"/>
      <c r="F822" s="109"/>
      <c r="G822" s="109"/>
      <c r="H822" s="109"/>
      <c r="I822" s="109"/>
      <c r="J822" s="109"/>
    </row>
    <row r="823" spans="1:10">
      <c r="A823" s="108"/>
      <c r="B823" s="109"/>
      <c r="C823" s="109"/>
      <c r="D823" s="109"/>
      <c r="E823" s="110"/>
      <c r="F823" s="109"/>
      <c r="G823" s="109"/>
      <c r="H823" s="109"/>
      <c r="I823" s="109"/>
      <c r="J823" s="109"/>
    </row>
    <row r="824" spans="1:10">
      <c r="A824" s="108"/>
      <c r="B824" s="109"/>
      <c r="C824" s="109"/>
      <c r="D824" s="109"/>
      <c r="E824" s="110"/>
      <c r="F824" s="109"/>
      <c r="G824" s="109"/>
      <c r="H824" s="109"/>
      <c r="I824" s="109"/>
      <c r="J824" s="109"/>
    </row>
    <row r="825" spans="1:10">
      <c r="A825" s="108"/>
      <c r="B825" s="109"/>
      <c r="C825" s="109"/>
      <c r="D825" s="109"/>
      <c r="E825" s="110"/>
      <c r="F825" s="109"/>
      <c r="G825" s="109"/>
      <c r="H825" s="109"/>
      <c r="I825" s="109"/>
      <c r="J825" s="109"/>
    </row>
    <row r="826" spans="1:10">
      <c r="A826" s="108"/>
      <c r="B826" s="109"/>
      <c r="C826" s="109"/>
      <c r="D826" s="109"/>
      <c r="E826" s="110"/>
      <c r="F826" s="109"/>
      <c r="G826" s="109"/>
      <c r="H826" s="109"/>
      <c r="I826" s="109"/>
      <c r="J826" s="109"/>
    </row>
    <row r="827" spans="1:10">
      <c r="A827" s="108"/>
      <c r="B827" s="109"/>
      <c r="C827" s="109"/>
      <c r="D827" s="109"/>
      <c r="E827" s="110"/>
      <c r="F827" s="109"/>
      <c r="G827" s="109"/>
      <c r="H827" s="109"/>
      <c r="I827" s="109"/>
      <c r="J827" s="109"/>
    </row>
    <row r="828" spans="1:10">
      <c r="A828" s="108"/>
      <c r="B828" s="109"/>
      <c r="C828" s="109"/>
      <c r="D828" s="109"/>
      <c r="E828" s="110"/>
      <c r="F828" s="109"/>
      <c r="G828" s="109"/>
      <c r="H828" s="109"/>
      <c r="I828" s="109"/>
      <c r="J828" s="109"/>
    </row>
    <row r="829" spans="1:10">
      <c r="A829" s="108"/>
      <c r="B829" s="109"/>
      <c r="C829" s="109"/>
      <c r="D829" s="109"/>
      <c r="E829" s="110"/>
      <c r="F829" s="109"/>
      <c r="G829" s="109"/>
      <c r="H829" s="109"/>
      <c r="I829" s="109"/>
      <c r="J829" s="109"/>
    </row>
    <row r="830" spans="1:10">
      <c r="A830" s="108"/>
      <c r="B830" s="109"/>
      <c r="C830" s="109"/>
      <c r="D830" s="109"/>
      <c r="E830" s="110"/>
      <c r="F830" s="109"/>
      <c r="G830" s="109"/>
      <c r="H830" s="109"/>
      <c r="I830" s="109"/>
      <c r="J830" s="109"/>
    </row>
    <row r="831" spans="1:10">
      <c r="A831" s="108"/>
      <c r="B831" s="109"/>
      <c r="C831" s="109"/>
      <c r="D831" s="109"/>
      <c r="E831" s="110"/>
      <c r="F831" s="109"/>
      <c r="G831" s="109"/>
      <c r="H831" s="109"/>
      <c r="I831" s="109"/>
      <c r="J831" s="109"/>
    </row>
    <row r="832" spans="1:10">
      <c r="A832" s="108"/>
      <c r="B832" s="109"/>
      <c r="C832" s="109"/>
      <c r="D832" s="109"/>
      <c r="E832" s="110"/>
      <c r="F832" s="109"/>
      <c r="G832" s="109"/>
      <c r="H832" s="109"/>
      <c r="I832" s="109"/>
      <c r="J832" s="109"/>
    </row>
    <row r="833" spans="1:10">
      <c r="A833" s="108"/>
      <c r="B833" s="109"/>
      <c r="C833" s="109"/>
      <c r="D833" s="109"/>
      <c r="E833" s="110"/>
      <c r="F833" s="109"/>
      <c r="G833" s="109"/>
      <c r="H833" s="109"/>
      <c r="I833" s="109"/>
      <c r="J833" s="109"/>
    </row>
    <row r="834" spans="1:10">
      <c r="A834" s="108"/>
      <c r="B834" s="109"/>
      <c r="C834" s="109"/>
      <c r="D834" s="109"/>
      <c r="E834" s="110"/>
      <c r="F834" s="109"/>
      <c r="G834" s="109"/>
      <c r="H834" s="109"/>
      <c r="I834" s="109"/>
      <c r="J834" s="109"/>
    </row>
    <row r="835" spans="1:10">
      <c r="A835" s="108"/>
      <c r="B835" s="109"/>
      <c r="C835" s="109"/>
      <c r="D835" s="109"/>
      <c r="E835" s="110"/>
      <c r="F835" s="109"/>
      <c r="G835" s="109"/>
      <c r="H835" s="109"/>
      <c r="I835" s="109"/>
      <c r="J835" s="109"/>
    </row>
    <row r="836" spans="1:10">
      <c r="A836" s="108"/>
      <c r="B836" s="109"/>
      <c r="C836" s="109"/>
      <c r="D836" s="109"/>
      <c r="E836" s="110"/>
      <c r="F836" s="109"/>
      <c r="G836" s="109"/>
      <c r="H836" s="109"/>
      <c r="I836" s="109"/>
      <c r="J836" s="109"/>
    </row>
    <row r="837" spans="1:10">
      <c r="A837" s="108"/>
      <c r="B837" s="109"/>
      <c r="C837" s="109"/>
      <c r="D837" s="109"/>
      <c r="E837" s="110"/>
      <c r="F837" s="109"/>
      <c r="G837" s="109"/>
      <c r="H837" s="109"/>
      <c r="I837" s="109"/>
      <c r="J837" s="109"/>
    </row>
    <row r="838" spans="1:10">
      <c r="A838" s="108"/>
      <c r="B838" s="109"/>
      <c r="C838" s="109"/>
      <c r="D838" s="109"/>
      <c r="E838" s="110"/>
      <c r="F838" s="109"/>
      <c r="G838" s="109"/>
      <c r="H838" s="109"/>
      <c r="I838" s="109"/>
      <c r="J838" s="109"/>
    </row>
    <row r="839" spans="1:10">
      <c r="A839" s="108"/>
      <c r="B839" s="109"/>
      <c r="C839" s="109"/>
      <c r="D839" s="109"/>
      <c r="E839" s="110"/>
      <c r="F839" s="109"/>
      <c r="G839" s="109"/>
      <c r="H839" s="109"/>
      <c r="I839" s="109"/>
      <c r="J839" s="109"/>
    </row>
    <row r="840" spans="1:10">
      <c r="A840" s="108"/>
      <c r="B840" s="109"/>
      <c r="C840" s="109"/>
      <c r="D840" s="109"/>
      <c r="E840" s="110"/>
      <c r="F840" s="109"/>
      <c r="G840" s="109"/>
      <c r="H840" s="109"/>
      <c r="I840" s="109"/>
      <c r="J840" s="109"/>
    </row>
    <row r="841" spans="1:10">
      <c r="A841" s="108"/>
      <c r="B841" s="109"/>
      <c r="C841" s="109"/>
      <c r="D841" s="109"/>
      <c r="E841" s="110"/>
      <c r="F841" s="109"/>
      <c r="G841" s="109"/>
      <c r="H841" s="109"/>
      <c r="I841" s="109"/>
      <c r="J841" s="109"/>
    </row>
    <row r="842" spans="1:10">
      <c r="A842" s="108"/>
      <c r="B842" s="109"/>
      <c r="C842" s="109"/>
      <c r="D842" s="109"/>
      <c r="E842" s="110"/>
      <c r="F842" s="109"/>
      <c r="G842" s="109"/>
      <c r="H842" s="109"/>
      <c r="I842" s="109"/>
      <c r="J842" s="109"/>
    </row>
    <row r="843" spans="1:10">
      <c r="A843" s="108"/>
      <c r="B843" s="109"/>
      <c r="C843" s="109"/>
      <c r="D843" s="109"/>
      <c r="E843" s="110"/>
      <c r="F843" s="109"/>
      <c r="G843" s="109"/>
      <c r="H843" s="109"/>
      <c r="I843" s="109"/>
      <c r="J843" s="109"/>
    </row>
    <row r="844" spans="1:10">
      <c r="A844" s="108"/>
      <c r="B844" s="109"/>
      <c r="C844" s="109"/>
      <c r="D844" s="109"/>
      <c r="E844" s="110"/>
      <c r="F844" s="109"/>
      <c r="G844" s="109"/>
      <c r="H844" s="109"/>
      <c r="I844" s="109"/>
      <c r="J844" s="109"/>
    </row>
    <row r="845" spans="1:10">
      <c r="A845" s="108"/>
      <c r="B845" s="109"/>
      <c r="C845" s="109"/>
      <c r="D845" s="109"/>
      <c r="E845" s="110"/>
      <c r="F845" s="109"/>
      <c r="G845" s="109"/>
      <c r="H845" s="109"/>
      <c r="I845" s="109"/>
      <c r="J845" s="109"/>
    </row>
    <row r="846" spans="1:10">
      <c r="A846" s="108"/>
      <c r="B846" s="109"/>
      <c r="C846" s="109"/>
      <c r="D846" s="109"/>
      <c r="E846" s="110"/>
      <c r="F846" s="109"/>
      <c r="G846" s="109"/>
      <c r="H846" s="109"/>
      <c r="I846" s="109"/>
      <c r="J846" s="109"/>
    </row>
    <row r="847" spans="1:10">
      <c r="A847" s="108"/>
      <c r="B847" s="109"/>
      <c r="C847" s="109"/>
      <c r="D847" s="109"/>
      <c r="E847" s="110"/>
      <c r="F847" s="109"/>
      <c r="G847" s="109"/>
      <c r="H847" s="109"/>
      <c r="I847" s="109"/>
      <c r="J847" s="109"/>
    </row>
    <row r="848" spans="1:10">
      <c r="A848" s="108"/>
      <c r="B848" s="109"/>
      <c r="C848" s="109"/>
      <c r="D848" s="109"/>
      <c r="E848" s="110"/>
      <c r="F848" s="109"/>
      <c r="G848" s="109"/>
      <c r="H848" s="109"/>
      <c r="I848" s="109"/>
      <c r="J848" s="109"/>
    </row>
    <row r="849" spans="1:10">
      <c r="A849" s="108"/>
      <c r="B849" s="109"/>
      <c r="C849" s="109"/>
      <c r="D849" s="109"/>
      <c r="E849" s="110"/>
      <c r="F849" s="109"/>
      <c r="G849" s="109"/>
      <c r="H849" s="109"/>
      <c r="I849" s="109"/>
      <c r="J849" s="109"/>
    </row>
    <row r="850" spans="1:10">
      <c r="A850" s="108"/>
      <c r="B850" s="109"/>
      <c r="C850" s="109"/>
      <c r="D850" s="109"/>
      <c r="E850" s="110"/>
      <c r="F850" s="109"/>
      <c r="G850" s="109"/>
      <c r="H850" s="109"/>
      <c r="I850" s="109"/>
      <c r="J850" s="109"/>
    </row>
    <row r="851" spans="1:10">
      <c r="A851" s="108"/>
      <c r="B851" s="109"/>
      <c r="C851" s="109"/>
      <c r="D851" s="109"/>
      <c r="E851" s="110"/>
      <c r="F851" s="109"/>
      <c r="G851" s="109"/>
      <c r="H851" s="109"/>
      <c r="I851" s="109"/>
      <c r="J851" s="109"/>
    </row>
    <row r="852" spans="1:10">
      <c r="A852" s="108"/>
      <c r="B852" s="109"/>
      <c r="C852" s="109"/>
      <c r="D852" s="109"/>
      <c r="E852" s="110"/>
      <c r="F852" s="109"/>
      <c r="G852" s="109"/>
      <c r="H852" s="109"/>
      <c r="I852" s="109"/>
      <c r="J852" s="109"/>
    </row>
    <row r="853" spans="1:10">
      <c r="A853" s="108"/>
      <c r="B853" s="109"/>
      <c r="C853" s="109"/>
      <c r="D853" s="109"/>
      <c r="E853" s="110"/>
      <c r="F853" s="109"/>
      <c r="G853" s="109"/>
      <c r="H853" s="109"/>
      <c r="I853" s="109"/>
      <c r="J853" s="109"/>
    </row>
    <row r="854" spans="1:10">
      <c r="A854" s="108"/>
      <c r="B854" s="109"/>
      <c r="C854" s="109"/>
      <c r="D854" s="109"/>
      <c r="E854" s="110"/>
      <c r="F854" s="109"/>
      <c r="G854" s="109"/>
      <c r="H854" s="109"/>
      <c r="I854" s="109"/>
      <c r="J854" s="109"/>
    </row>
    <row r="855" spans="1:10">
      <c r="A855" s="108"/>
      <c r="B855" s="109"/>
      <c r="C855" s="109"/>
      <c r="D855" s="109"/>
      <c r="E855" s="110"/>
      <c r="F855" s="109"/>
      <c r="G855" s="109"/>
      <c r="H855" s="109"/>
      <c r="I855" s="109"/>
      <c r="J855" s="109"/>
    </row>
    <row r="856" spans="1:10">
      <c r="A856" s="108"/>
      <c r="B856" s="109"/>
      <c r="C856" s="109"/>
      <c r="D856" s="109"/>
      <c r="E856" s="110"/>
      <c r="F856" s="109"/>
      <c r="G856" s="109"/>
      <c r="H856" s="109"/>
      <c r="I856" s="109"/>
      <c r="J856" s="109"/>
    </row>
    <row r="857" spans="1:10">
      <c r="A857" s="108"/>
      <c r="B857" s="109"/>
      <c r="C857" s="109"/>
      <c r="D857" s="109"/>
      <c r="E857" s="110"/>
      <c r="F857" s="109"/>
      <c r="G857" s="109"/>
      <c r="H857" s="109"/>
      <c r="I857" s="109"/>
      <c r="J857" s="109"/>
    </row>
    <row r="858" spans="1:10">
      <c r="A858" s="108"/>
      <c r="B858" s="109"/>
      <c r="C858" s="109"/>
      <c r="D858" s="109"/>
      <c r="E858" s="110"/>
      <c r="F858" s="109"/>
      <c r="G858" s="109"/>
      <c r="H858" s="109"/>
      <c r="I858" s="109"/>
      <c r="J858" s="109"/>
    </row>
    <row r="859" spans="1:10">
      <c r="A859" s="108"/>
      <c r="B859" s="109"/>
      <c r="C859" s="109"/>
      <c r="D859" s="109"/>
      <c r="E859" s="110"/>
      <c r="F859" s="109"/>
      <c r="G859" s="109"/>
      <c r="H859" s="109"/>
      <c r="I859" s="109"/>
      <c r="J859" s="109"/>
    </row>
    <row r="860" spans="1:10">
      <c r="A860" s="108"/>
      <c r="B860" s="109"/>
      <c r="C860" s="109"/>
      <c r="D860" s="109"/>
      <c r="E860" s="110"/>
      <c r="F860" s="109"/>
      <c r="G860" s="109"/>
      <c r="H860" s="109"/>
      <c r="I860" s="109"/>
      <c r="J860" s="109"/>
    </row>
    <row r="861" spans="1:10">
      <c r="A861" s="108"/>
      <c r="B861" s="109"/>
      <c r="C861" s="109"/>
      <c r="D861" s="109"/>
      <c r="E861" s="110"/>
      <c r="F861" s="109"/>
      <c r="G861" s="109"/>
      <c r="H861" s="109"/>
      <c r="I861" s="109"/>
      <c r="J861" s="109"/>
    </row>
    <row r="862" spans="1:10">
      <c r="A862" s="108"/>
      <c r="B862" s="109"/>
      <c r="C862" s="109"/>
      <c r="D862" s="109"/>
      <c r="E862" s="110"/>
      <c r="F862" s="109"/>
      <c r="G862" s="109"/>
      <c r="H862" s="109"/>
      <c r="I862" s="109"/>
      <c r="J862" s="109"/>
    </row>
    <row r="863" spans="1:10">
      <c r="A863" s="108"/>
      <c r="B863" s="109"/>
      <c r="C863" s="109"/>
      <c r="D863" s="109"/>
      <c r="E863" s="110"/>
      <c r="F863" s="109"/>
      <c r="G863" s="109"/>
      <c r="H863" s="109"/>
      <c r="I863" s="109"/>
      <c r="J863" s="109"/>
    </row>
    <row r="864" spans="1:10">
      <c r="A864" s="108"/>
      <c r="B864" s="109"/>
      <c r="C864" s="109"/>
      <c r="D864" s="109"/>
      <c r="E864" s="110"/>
      <c r="F864" s="109"/>
      <c r="G864" s="109"/>
      <c r="H864" s="109"/>
      <c r="I864" s="109"/>
      <c r="J864" s="109"/>
    </row>
    <row r="865" spans="1:10">
      <c r="A865" s="108"/>
      <c r="B865" s="109"/>
      <c r="C865" s="109"/>
      <c r="D865" s="109"/>
      <c r="E865" s="110"/>
      <c r="F865" s="109"/>
      <c r="G865" s="109"/>
      <c r="H865" s="109"/>
      <c r="I865" s="109"/>
      <c r="J865" s="109"/>
    </row>
    <row r="866" spans="1:10">
      <c r="A866" s="108"/>
      <c r="B866" s="109"/>
      <c r="C866" s="109"/>
      <c r="D866" s="109"/>
      <c r="E866" s="110"/>
      <c r="F866" s="109"/>
      <c r="G866" s="109"/>
      <c r="H866" s="109"/>
      <c r="I866" s="109"/>
      <c r="J866" s="109"/>
    </row>
    <row r="867" spans="1:10">
      <c r="A867" s="108"/>
      <c r="B867" s="109"/>
      <c r="C867" s="109"/>
      <c r="D867" s="109"/>
      <c r="E867" s="110"/>
      <c r="F867" s="109"/>
      <c r="G867" s="109"/>
      <c r="H867" s="109"/>
      <c r="I867" s="109"/>
      <c r="J867" s="109"/>
    </row>
    <row r="868" spans="1:10">
      <c r="A868" s="108"/>
      <c r="B868" s="109"/>
      <c r="C868" s="109"/>
      <c r="D868" s="109"/>
      <c r="E868" s="110"/>
      <c r="F868" s="109"/>
      <c r="G868" s="109"/>
      <c r="H868" s="109"/>
      <c r="I868" s="109"/>
      <c r="J868" s="109"/>
    </row>
    <row r="869" spans="1:10">
      <c r="A869" s="108"/>
      <c r="B869" s="109"/>
      <c r="C869" s="109"/>
      <c r="D869" s="109"/>
      <c r="E869" s="110"/>
      <c r="F869" s="109"/>
      <c r="G869" s="109"/>
      <c r="H869" s="109"/>
      <c r="I869" s="109"/>
      <c r="J869" s="109"/>
    </row>
    <row r="870" spans="1:10">
      <c r="A870" s="108"/>
      <c r="B870" s="109"/>
      <c r="C870" s="109"/>
      <c r="D870" s="109"/>
      <c r="E870" s="110"/>
      <c r="F870" s="109"/>
      <c r="G870" s="109"/>
      <c r="H870" s="109"/>
      <c r="I870" s="109"/>
      <c r="J870" s="109"/>
    </row>
    <row r="871" spans="1:10">
      <c r="A871" s="108"/>
      <c r="B871" s="109"/>
      <c r="C871" s="109"/>
      <c r="D871" s="109"/>
      <c r="E871" s="110"/>
      <c r="F871" s="109"/>
      <c r="G871" s="109"/>
      <c r="H871" s="109"/>
      <c r="I871" s="109"/>
      <c r="J871" s="109"/>
    </row>
    <row r="872" spans="1:10">
      <c r="A872" s="108"/>
      <c r="B872" s="109"/>
      <c r="C872" s="109"/>
      <c r="D872" s="109"/>
      <c r="E872" s="110"/>
      <c r="F872" s="109"/>
      <c r="G872" s="109"/>
      <c r="H872" s="109"/>
      <c r="I872" s="109"/>
      <c r="J872" s="109"/>
    </row>
    <row r="873" spans="1:10">
      <c r="A873" s="108"/>
      <c r="B873" s="109"/>
      <c r="C873" s="109"/>
      <c r="D873" s="109"/>
      <c r="E873" s="110"/>
      <c r="F873" s="109"/>
      <c r="G873" s="109"/>
      <c r="H873" s="109"/>
      <c r="I873" s="109"/>
      <c r="J873" s="109"/>
    </row>
  </sheetData>
  <mergeCells count="10">
    <mergeCell ref="H85:K85"/>
    <mergeCell ref="AZ4:BA4"/>
    <mergeCell ref="A1:B1"/>
    <mergeCell ref="A2:B2"/>
    <mergeCell ref="C1:R1"/>
    <mergeCell ref="AI4:AL4"/>
    <mergeCell ref="N79:O79"/>
    <mergeCell ref="A3:B3"/>
    <mergeCell ref="AM4:AP4"/>
    <mergeCell ref="C85:F85"/>
  </mergeCells>
  <phoneticPr fontId="0" type="noConversion"/>
  <printOptions horizontalCentered="1"/>
  <pageMargins left="0.2" right="0" top="1.37" bottom="0.42" header="0.6" footer="0.16"/>
  <pageSetup paperSize="5" scale="82" firstPageNumber="18" fitToWidth="14" orientation="portrait" useFirstPageNumber="1" r:id="rId1"/>
  <headerFooter alignWithMargins="0">
    <oddHeader>&amp;L&amp;"Arial,Bold"&amp;16TABLE 3: Revised FY2012-13 Budget Letter (May 2013) &amp;20
&amp;16LEVEL 1 BASE PER PUPIL AND LEVEL 2 LOCAL INCENTIVE</oddHeader>
    <oddFooter>&amp;R&amp;12&amp;P</oddFooter>
  </headerFooter>
  <colBreaks count="11" manualBreakCount="11">
    <brk id="7" min="3" max="77" man="1"/>
    <brk id="11" min="3" max="77" man="1"/>
    <brk id="15" min="3" max="77" man="1"/>
    <brk id="20" min="3" max="77" man="1"/>
    <brk id="27" min="3" max="77" man="1"/>
    <brk id="34" min="3" max="77" man="1"/>
    <brk id="38" min="3" max="77" man="1"/>
    <brk id="44" min="3" max="77" man="1"/>
    <brk id="51" min="3" max="77" man="1"/>
    <brk id="56" min="2" max="84" man="1"/>
    <brk id="62" min="2" max="8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W88"/>
  <sheetViews>
    <sheetView view="pageBreakPreview" topLeftCell="A2" zoomScale="90" zoomScaleNormal="100" zoomScaleSheetLayoutView="90" workbookViewId="0">
      <pane xSplit="2" ySplit="4" topLeftCell="C6" activePane="bottomRight" state="frozen"/>
      <selection activeCell="A8" sqref="A8:A9"/>
      <selection pane="topRight" activeCell="A8" sqref="A8:A9"/>
      <selection pane="bottomLeft" activeCell="A8" sqref="A8:A9"/>
      <selection pane="bottomRight" activeCell="B2" sqref="B2:B4"/>
    </sheetView>
  </sheetViews>
  <sheetFormatPr defaultColWidth="12.5703125" defaultRowHeight="12.75"/>
  <cols>
    <col min="1" max="1" width="4.28515625" style="2" customWidth="1"/>
    <col min="2" max="2" width="17.140625" style="2" customWidth="1"/>
    <col min="3" max="3" width="13.5703125" style="2" customWidth="1"/>
    <col min="4" max="4" width="13.42578125" style="2" customWidth="1"/>
    <col min="5" max="5" width="13.140625" style="2" customWidth="1"/>
    <col min="6" max="6" width="13.85546875" style="2" customWidth="1"/>
    <col min="7" max="7" width="13.7109375" style="2" customWidth="1"/>
    <col min="8" max="8" width="13.5703125" style="2" customWidth="1"/>
    <col min="9" max="9" width="10.7109375" style="2" customWidth="1"/>
    <col min="10" max="10" width="16.140625" style="2" customWidth="1"/>
    <col min="11" max="11" width="14.85546875" style="2" customWidth="1"/>
    <col min="12" max="12" width="14.140625" style="2" customWidth="1"/>
    <col min="13" max="13" width="14" style="2" customWidth="1"/>
    <col min="14" max="14" width="13.7109375" style="2" customWidth="1"/>
    <col min="15" max="15" width="15.28515625" style="2" customWidth="1"/>
    <col min="16" max="16" width="26.42578125" style="2" customWidth="1"/>
    <col min="17" max="17" width="28.28515625" style="2" customWidth="1"/>
    <col min="18" max="18" width="21" style="2" customWidth="1"/>
    <col min="19" max="19" width="2" style="2" customWidth="1"/>
    <col min="20" max="21" width="0" style="2" hidden="1" customWidth="1"/>
    <col min="22" max="22" width="17" style="2" hidden="1" customWidth="1"/>
    <col min="23" max="23" width="0" style="2" hidden="1" customWidth="1"/>
    <col min="24" max="16384" width="12.5703125" style="2"/>
  </cols>
  <sheetData>
    <row r="1" spans="1:22" ht="40.5" hidden="1">
      <c r="A1" s="80" t="s">
        <v>218</v>
      </c>
      <c r="B1" s="126"/>
      <c r="C1" s="125" t="s">
        <v>81</v>
      </c>
      <c r="D1" s="125" t="s">
        <v>70</v>
      </c>
      <c r="E1" s="125" t="s">
        <v>81</v>
      </c>
      <c r="F1" s="125" t="s">
        <v>71</v>
      </c>
      <c r="G1" s="125"/>
      <c r="H1" s="125"/>
      <c r="I1" s="125"/>
      <c r="J1" s="125"/>
      <c r="K1" s="125"/>
      <c r="L1" s="125"/>
      <c r="M1" s="125"/>
      <c r="N1" s="125"/>
      <c r="O1" s="479"/>
    </row>
    <row r="2" spans="1:22" ht="74.25" customHeight="1">
      <c r="A2" s="1857" t="s">
        <v>203</v>
      </c>
      <c r="B2" s="1859" t="s">
        <v>275</v>
      </c>
      <c r="C2" s="1866" t="s">
        <v>714</v>
      </c>
      <c r="D2" s="1867"/>
      <c r="E2" s="1867"/>
      <c r="F2" s="1867"/>
      <c r="G2" s="1867"/>
      <c r="H2" s="1867"/>
      <c r="I2" s="1867"/>
      <c r="J2" s="1868"/>
      <c r="K2" s="1869" t="s">
        <v>0</v>
      </c>
      <c r="L2" s="1871"/>
      <c r="M2" s="1855" t="s">
        <v>558</v>
      </c>
      <c r="N2" s="1856"/>
      <c r="O2" s="1865" t="s">
        <v>571</v>
      </c>
      <c r="P2" s="1869" t="s">
        <v>565</v>
      </c>
      <c r="Q2" s="1870"/>
      <c r="R2" s="1810" t="s">
        <v>572</v>
      </c>
    </row>
    <row r="3" spans="1:22" ht="97.5" customHeight="1">
      <c r="A3" s="1858"/>
      <c r="B3" s="1858"/>
      <c r="C3" s="1811" t="s">
        <v>2</v>
      </c>
      <c r="D3" s="1811" t="s">
        <v>1</v>
      </c>
      <c r="E3" s="1811" t="s">
        <v>249</v>
      </c>
      <c r="F3" s="1811" t="s">
        <v>710</v>
      </c>
      <c r="G3" s="1811" t="s">
        <v>711</v>
      </c>
      <c r="H3" s="1863" t="s">
        <v>712</v>
      </c>
      <c r="I3" s="1863" t="s">
        <v>713</v>
      </c>
      <c r="J3" s="67" t="s">
        <v>597</v>
      </c>
      <c r="K3" s="1872" t="s">
        <v>734</v>
      </c>
      <c r="L3" s="67" t="s">
        <v>216</v>
      </c>
      <c r="M3" s="1811" t="s">
        <v>804</v>
      </c>
      <c r="N3" s="67" t="s">
        <v>554</v>
      </c>
      <c r="O3" s="1799"/>
      <c r="P3" s="1860" t="s">
        <v>1100</v>
      </c>
      <c r="Q3" s="1811" t="s">
        <v>1388</v>
      </c>
      <c r="R3" s="1799"/>
      <c r="U3" s="1271" t="s">
        <v>1080</v>
      </c>
    </row>
    <row r="4" spans="1:22" ht="25.5" customHeight="1">
      <c r="A4" s="1858"/>
      <c r="B4" s="1858"/>
      <c r="C4" s="1797"/>
      <c r="D4" s="1797"/>
      <c r="E4" s="1797"/>
      <c r="F4" s="1797"/>
      <c r="G4" s="1797"/>
      <c r="H4" s="1864"/>
      <c r="I4" s="1864"/>
      <c r="J4" s="306">
        <f>-(F75+H75)/I75</f>
        <v>42.71234137371944</v>
      </c>
      <c r="K4" s="1862"/>
      <c r="L4" s="304">
        <v>20000</v>
      </c>
      <c r="M4" s="1797"/>
      <c r="N4" s="305">
        <v>100</v>
      </c>
      <c r="O4" s="1800"/>
      <c r="P4" s="1861"/>
      <c r="Q4" s="1862"/>
      <c r="R4" s="1800"/>
    </row>
    <row r="5" spans="1:22" s="213" customFormat="1" ht="14.25" customHeight="1">
      <c r="A5" s="224"/>
      <c r="B5" s="298"/>
      <c r="C5" s="308">
        <v>1</v>
      </c>
      <c r="D5" s="308">
        <f t="shared" ref="D5:J5" si="0">C5+1</f>
        <v>2</v>
      </c>
      <c r="E5" s="308">
        <f t="shared" si="0"/>
        <v>3</v>
      </c>
      <c r="F5" s="308">
        <f t="shared" si="0"/>
        <v>4</v>
      </c>
      <c r="G5" s="308">
        <f t="shared" si="0"/>
        <v>5</v>
      </c>
      <c r="H5" s="308">
        <f t="shared" si="0"/>
        <v>6</v>
      </c>
      <c r="I5" s="308">
        <f t="shared" si="0"/>
        <v>7</v>
      </c>
      <c r="J5" s="308">
        <f t="shared" si="0"/>
        <v>8</v>
      </c>
      <c r="K5" s="308">
        <f t="shared" ref="K5:R5" si="1">J5+1</f>
        <v>9</v>
      </c>
      <c r="L5" s="308">
        <f t="shared" si="1"/>
        <v>10</v>
      </c>
      <c r="M5" s="308">
        <f t="shared" si="1"/>
        <v>11</v>
      </c>
      <c r="N5" s="308">
        <f t="shared" si="1"/>
        <v>12</v>
      </c>
      <c r="O5" s="308">
        <f>N5+1</f>
        <v>13</v>
      </c>
      <c r="P5" s="308">
        <f t="shared" si="1"/>
        <v>14</v>
      </c>
      <c r="Q5" s="308">
        <f t="shared" si="1"/>
        <v>15</v>
      </c>
      <c r="R5" s="308">
        <f t="shared" si="1"/>
        <v>16</v>
      </c>
    </row>
    <row r="6" spans="1:22">
      <c r="A6" s="101">
        <v>1</v>
      </c>
      <c r="B6" s="299" t="s">
        <v>102</v>
      </c>
      <c r="C6" s="316">
        <v>0</v>
      </c>
      <c r="D6" s="316">
        <v>0</v>
      </c>
      <c r="E6" s="316">
        <f>C6-D6</f>
        <v>0</v>
      </c>
      <c r="F6" s="317">
        <f>'[10]Table 4 Level 3'!F6+'[10]Table 4 Level 3'!H6</f>
        <v>0</v>
      </c>
      <c r="G6" s="317">
        <f t="shared" ref="G6:G37" si="2">SUM(E6:F6)</f>
        <v>0</v>
      </c>
      <c r="H6" s="317">
        <f>ROUND(-G6/5,0)</f>
        <v>0</v>
      </c>
      <c r="I6" s="315">
        <f>IF(F6&lt;0,0,'Table 3 Levels 1&amp;2'!C8)</f>
        <v>9346</v>
      </c>
      <c r="J6" s="312">
        <f t="shared" ref="J6:J37" si="3">ROUND($J$4*I6,0)</f>
        <v>399190</v>
      </c>
      <c r="K6" s="313">
        <v>0</v>
      </c>
      <c r="L6" s="312">
        <f t="shared" ref="L6:L37" si="4">ROUND($L$4*K6,0)</f>
        <v>0</v>
      </c>
      <c r="M6" s="315">
        <f>'Table 3 Levels 1&amp;2'!C8</f>
        <v>9346</v>
      </c>
      <c r="N6" s="312">
        <f t="shared" ref="N6:N37" si="5">ROUND(M6*$N$4,0)</f>
        <v>934600</v>
      </c>
      <c r="O6" s="312">
        <f>D6+E6+F6+H6+J6+L6+N6</f>
        <v>1333790</v>
      </c>
      <c r="P6" s="309">
        <v>777.48</v>
      </c>
      <c r="Q6" s="310">
        <f>('Table 4 Level 3'!P6*('Table 8 2.1.12 MFP Funded'!G4+'Table 8 2.1.12 MFP Funded'!H4+'Table 8 2.1.12 MFP Funded'!I4+'Table 8 2.1.12 MFP Funded'!J4))+'Table 5C1A-Madison Prep'!G7+'Table 5C1B-DArbonne'!G7+'Table 5C1C-Intl_VIBE'!G7+'Table 5C1D-NOMMA'!G7+'Table 5C1E-LFNO'!G7+'Table 5C1F-Lake Charles Charter'!G7+'Table 5C2 - LA Virtual Admy'!G5+'Table 5C3 - LA Connections EBR'!G5</f>
        <v>7263762.3960000006</v>
      </c>
      <c r="R6" s="312">
        <f>O6+Q6</f>
        <v>8597552.3960000016</v>
      </c>
      <c r="T6" s="23">
        <f>P6</f>
        <v>777.48</v>
      </c>
      <c r="U6" s="1234">
        <f>'Table 8 2.1.12 MFP Funded'!G4+'Table 8 2.1.12 MFP Funded'!H4+'Table 8 2.1.12 MFP Funded'!I4+'Table 8 2.1.12 MFP Funded'!J4</f>
        <v>9313</v>
      </c>
      <c r="V6" s="412">
        <f>U6*T6</f>
        <v>7240671.2400000002</v>
      </c>
    </row>
    <row r="7" spans="1:22">
      <c r="A7" s="101">
        <v>2</v>
      </c>
      <c r="B7" s="299" t="s">
        <v>103</v>
      </c>
      <c r="C7" s="316">
        <v>0</v>
      </c>
      <c r="D7" s="316">
        <v>0</v>
      </c>
      <c r="E7" s="316">
        <f t="shared" ref="E7:E70" si="6">C7-D7</f>
        <v>0</v>
      </c>
      <c r="F7" s="317">
        <f>'[10]Table 4 Level 3'!F7+'[10]Table 4 Level 3'!H7</f>
        <v>0</v>
      </c>
      <c r="G7" s="317">
        <f t="shared" si="2"/>
        <v>0</v>
      </c>
      <c r="H7" s="317">
        <f t="shared" ref="H7:H70" si="7">ROUND(-G7/5,0)</f>
        <v>0</v>
      </c>
      <c r="I7" s="315">
        <f>IF(F7&lt;0,0,'Table 3 Levels 1&amp;2'!C9)</f>
        <v>4027</v>
      </c>
      <c r="J7" s="312">
        <f t="shared" si="3"/>
        <v>172003</v>
      </c>
      <c r="K7" s="313">
        <v>0</v>
      </c>
      <c r="L7" s="312">
        <f t="shared" si="4"/>
        <v>0</v>
      </c>
      <c r="M7" s="315">
        <f>'Table 3 Levels 1&amp;2'!C9</f>
        <v>4027</v>
      </c>
      <c r="N7" s="312">
        <f t="shared" si="5"/>
        <v>402700</v>
      </c>
      <c r="O7" s="312">
        <f t="shared" ref="O7:O70" si="8">D7+E7+F7+H7+J7+L7+N7</f>
        <v>574703</v>
      </c>
      <c r="P7" s="309">
        <v>842.32</v>
      </c>
      <c r="Q7" s="312">
        <f>('Table 4 Level 3'!P7*('Table 8 2.1.12 MFP Funded'!G5+'Table 8 2.1.12 MFP Funded'!H5+'Table 8 2.1.12 MFP Funded'!I5+'Table 8 2.1.12 MFP Funded'!J5))+'Table 5C1A-Madison Prep'!G8+'Table 5C1B-DArbonne'!G8+'Table 5C1C-Intl_VIBE'!G8+'Table 5C1D-NOMMA'!G8+'Table 5C1E-LFNO'!G8+'Table 5C1F-Lake Charles Charter'!G8+'Table 5C2 - LA Virtual Admy'!G6+'Table 5C3 - LA Connections EBR'!G6</f>
        <v>3391096.088</v>
      </c>
      <c r="R7" s="312">
        <f t="shared" ref="R7:R70" si="9">O7+Q7</f>
        <v>3965799.088</v>
      </c>
      <c r="T7" s="23">
        <f t="shared" ref="T7:T40" si="10">P7</f>
        <v>842.32</v>
      </c>
      <c r="U7" s="1234">
        <f>'Table 8 2.1.12 MFP Funded'!G5+'Table 8 2.1.12 MFP Funded'!H5+'Table 8 2.1.12 MFP Funded'!I5+'Table 8 2.1.12 MFP Funded'!J5</f>
        <v>4016</v>
      </c>
      <c r="V7" s="412">
        <f t="shared" ref="V7:V70" si="11">U7*T7</f>
        <v>3382757.12</v>
      </c>
    </row>
    <row r="8" spans="1:22">
      <c r="A8" s="101">
        <v>3</v>
      </c>
      <c r="B8" s="299" t="s">
        <v>104</v>
      </c>
      <c r="C8" s="316">
        <v>0</v>
      </c>
      <c r="D8" s="316">
        <v>0</v>
      </c>
      <c r="E8" s="316">
        <f t="shared" si="6"/>
        <v>0</v>
      </c>
      <c r="F8" s="317">
        <f>'[10]Table 4 Level 3'!F8+'[10]Table 4 Level 3'!H8</f>
        <v>0</v>
      </c>
      <c r="G8" s="317">
        <f t="shared" si="2"/>
        <v>0</v>
      </c>
      <c r="H8" s="317">
        <f t="shared" si="7"/>
        <v>0</v>
      </c>
      <c r="I8" s="315">
        <f>IF(F8&lt;0,0,'Table 3 Levels 1&amp;2'!C10)</f>
        <v>20127</v>
      </c>
      <c r="J8" s="312">
        <f t="shared" si="3"/>
        <v>859671</v>
      </c>
      <c r="K8" s="313">
        <v>0</v>
      </c>
      <c r="L8" s="312">
        <f t="shared" si="4"/>
        <v>0</v>
      </c>
      <c r="M8" s="315">
        <f>'Table 3 Levels 1&amp;2'!C10</f>
        <v>20127</v>
      </c>
      <c r="N8" s="312">
        <f t="shared" si="5"/>
        <v>2012700</v>
      </c>
      <c r="O8" s="312">
        <f t="shared" si="8"/>
        <v>2872371</v>
      </c>
      <c r="P8" s="309">
        <v>596.84</v>
      </c>
      <c r="Q8" s="312">
        <f>('Table 4 Level 3'!P8*('Table 8 2.1.12 MFP Funded'!G6+'Table 8 2.1.12 MFP Funded'!H6+'Table 8 2.1.12 MFP Funded'!I6+'Table 8 2.1.12 MFP Funded'!J6))+'Table 5C1A-Madison Prep'!G9+'Table 5C1B-DArbonne'!G9+'Table 5C1C-Intl_VIBE'!G9+'Table 5C1D-NOMMA'!G9+'Table 5C1E-LFNO'!G9+'Table 5C1F-Lake Charles Charter'!G9+'Table 5C2 - LA Virtual Admy'!G7+'Table 5C3 - LA Connections EBR'!G7</f>
        <v>12009972.584000001</v>
      </c>
      <c r="R8" s="312">
        <f t="shared" si="9"/>
        <v>14882343.584000001</v>
      </c>
      <c r="T8" s="23">
        <f t="shared" si="10"/>
        <v>596.84</v>
      </c>
      <c r="U8" s="1234">
        <f>'Table 8 2.1.12 MFP Funded'!G6+'Table 8 2.1.12 MFP Funded'!H6+'Table 8 2.1.12 MFP Funded'!I6+'Table 8 2.1.12 MFP Funded'!J6</f>
        <v>20083</v>
      </c>
      <c r="V8" s="412">
        <f t="shared" si="11"/>
        <v>11986337.720000001</v>
      </c>
    </row>
    <row r="9" spans="1:22">
      <c r="A9" s="101">
        <v>4</v>
      </c>
      <c r="B9" s="299" t="s">
        <v>105</v>
      </c>
      <c r="C9" s="316">
        <v>0</v>
      </c>
      <c r="D9" s="316">
        <v>0</v>
      </c>
      <c r="E9" s="316">
        <f t="shared" si="6"/>
        <v>0</v>
      </c>
      <c r="F9" s="317">
        <f>'[10]Table 4 Level 3'!F9+'[10]Table 4 Level 3'!H9</f>
        <v>0</v>
      </c>
      <c r="G9" s="317">
        <f t="shared" si="2"/>
        <v>0</v>
      </c>
      <c r="H9" s="317">
        <f t="shared" si="7"/>
        <v>0</v>
      </c>
      <c r="I9" s="315">
        <f>IF(F9&lt;0,0,'Table 3 Levels 1&amp;2'!C11)</f>
        <v>3571</v>
      </c>
      <c r="J9" s="312">
        <f t="shared" si="3"/>
        <v>152526</v>
      </c>
      <c r="K9" s="313">
        <v>3</v>
      </c>
      <c r="L9" s="312">
        <f t="shared" si="4"/>
        <v>60000</v>
      </c>
      <c r="M9" s="315">
        <f>'Table 3 Levels 1&amp;2'!C11</f>
        <v>3571</v>
      </c>
      <c r="N9" s="312">
        <f t="shared" si="5"/>
        <v>357100</v>
      </c>
      <c r="O9" s="312">
        <f t="shared" si="8"/>
        <v>569626</v>
      </c>
      <c r="P9" s="309">
        <v>585.76</v>
      </c>
      <c r="Q9" s="312">
        <f>('Table 4 Level 3'!P9*('Table 8 2.1.12 MFP Funded'!G7+'Table 8 2.1.12 MFP Funded'!H7+'Table 8 2.1.12 MFP Funded'!I7+'Table 8 2.1.12 MFP Funded'!J7))+'Table 5C1A-Madison Prep'!G10+'Table 5C1B-DArbonne'!G10+'Table 5C1C-Intl_VIBE'!G10+'Table 5C1D-NOMMA'!G10+'Table 5C1E-LFNO'!G10+'Table 5C1F-Lake Charles Charter'!G10+'Table 5C2 - LA Virtual Admy'!G8+'Table 5C3 - LA Connections EBR'!G8</f>
        <v>2091280.3519999997</v>
      </c>
      <c r="R9" s="312">
        <f t="shared" si="9"/>
        <v>2660906.352</v>
      </c>
      <c r="T9" s="23">
        <f t="shared" si="10"/>
        <v>585.76</v>
      </c>
      <c r="U9" s="1234">
        <f>'Table 8 2.1.12 MFP Funded'!G7+'Table 8 2.1.12 MFP Funded'!H7+'Table 8 2.1.12 MFP Funded'!I7+'Table 8 2.1.12 MFP Funded'!J7</f>
        <v>3563</v>
      </c>
      <c r="V9" s="412">
        <f t="shared" si="11"/>
        <v>2087062.88</v>
      </c>
    </row>
    <row r="10" spans="1:22">
      <c r="A10" s="102">
        <v>5</v>
      </c>
      <c r="B10" s="300" t="s">
        <v>106</v>
      </c>
      <c r="C10" s="323">
        <v>0</v>
      </c>
      <c r="D10" s="323">
        <v>0</v>
      </c>
      <c r="E10" s="323">
        <f t="shared" si="6"/>
        <v>0</v>
      </c>
      <c r="F10" s="324">
        <f>'[10]Table 4 Level 3'!F10+'[10]Table 4 Level 3'!H10</f>
        <v>0</v>
      </c>
      <c r="G10" s="324">
        <f t="shared" si="2"/>
        <v>0</v>
      </c>
      <c r="H10" s="324">
        <f t="shared" si="7"/>
        <v>0</v>
      </c>
      <c r="I10" s="322">
        <f>IF(F10&lt;0,0,'Table 3 Levels 1&amp;2'!C12)</f>
        <v>5758</v>
      </c>
      <c r="J10" s="319">
        <f t="shared" si="3"/>
        <v>245938</v>
      </c>
      <c r="K10" s="320">
        <v>0</v>
      </c>
      <c r="L10" s="319">
        <f t="shared" si="4"/>
        <v>0</v>
      </c>
      <c r="M10" s="322">
        <f>'Table 3 Levels 1&amp;2'!C12</f>
        <v>5758</v>
      </c>
      <c r="N10" s="319">
        <f t="shared" si="5"/>
        <v>575800</v>
      </c>
      <c r="O10" s="319">
        <f t="shared" si="8"/>
        <v>821738</v>
      </c>
      <c r="P10" s="318">
        <v>555.91</v>
      </c>
      <c r="Q10" s="319">
        <f>('Table 4 Level 3'!P10*('Table 8 2.1.12 MFP Funded'!G8+'Table 8 2.1.12 MFP Funded'!H8+'Table 8 2.1.12 MFP Funded'!I8+'Table 8 2.1.12 MFP Funded'!J8))+'Table 5C1A-Madison Prep'!G11+'Table 5C1B-DArbonne'!G11+'Table 5C1C-Intl_VIBE'!G11+'Table 5C1D-NOMMA'!G11+'Table 5C1E-LFNO'!G11+'Table 5C1F-Lake Charles Charter'!G11+'Table 5C2 - LA Virtual Admy'!G9+'Table 5C3 - LA Connections EBR'!G9</f>
        <v>3199428.8229999999</v>
      </c>
      <c r="R10" s="319">
        <f t="shared" si="9"/>
        <v>4021166.8229999999</v>
      </c>
      <c r="T10" s="23">
        <f t="shared" si="10"/>
        <v>555.91</v>
      </c>
      <c r="U10" s="1234">
        <f>'Table 8 2.1.12 MFP Funded'!G8+'Table 8 2.1.12 MFP Funded'!H8+'Table 8 2.1.12 MFP Funded'!I8+'Table 8 2.1.12 MFP Funded'!J8</f>
        <v>5731</v>
      </c>
      <c r="V10" s="412">
        <f t="shared" si="11"/>
        <v>3185920.21</v>
      </c>
    </row>
    <row r="11" spans="1:22">
      <c r="A11" s="101">
        <v>6</v>
      </c>
      <c r="B11" s="299" t="s">
        <v>107</v>
      </c>
      <c r="C11" s="316">
        <v>0</v>
      </c>
      <c r="D11" s="316">
        <v>0</v>
      </c>
      <c r="E11" s="316">
        <f t="shared" si="6"/>
        <v>0</v>
      </c>
      <c r="F11" s="317">
        <f>'[10]Table 4 Level 3'!F11+'[10]Table 4 Level 3'!H11</f>
        <v>0</v>
      </c>
      <c r="G11" s="317">
        <f t="shared" si="2"/>
        <v>0</v>
      </c>
      <c r="H11" s="317">
        <f t="shared" si="7"/>
        <v>0</v>
      </c>
      <c r="I11" s="315">
        <f>IF(F11&lt;0,0,'Table 3 Levels 1&amp;2'!C13)</f>
        <v>6039</v>
      </c>
      <c r="J11" s="312">
        <f t="shared" si="3"/>
        <v>257940</v>
      </c>
      <c r="K11" s="313">
        <v>0</v>
      </c>
      <c r="L11" s="312">
        <f t="shared" si="4"/>
        <v>0</v>
      </c>
      <c r="M11" s="315">
        <f>'Table 3 Levels 1&amp;2'!C13</f>
        <v>6039</v>
      </c>
      <c r="N11" s="312">
        <f t="shared" si="5"/>
        <v>603900</v>
      </c>
      <c r="O11" s="312">
        <f t="shared" si="8"/>
        <v>861840</v>
      </c>
      <c r="P11" s="309">
        <v>545.4799999999999</v>
      </c>
      <c r="Q11" s="312">
        <f>('Table 4 Level 3'!P11*('Table 8 2.1.12 MFP Funded'!G9+'Table 8 2.1.12 MFP Funded'!H9+'Table 8 2.1.12 MFP Funded'!I9+'Table 8 2.1.12 MFP Funded'!J9))+'Table 5C1A-Madison Prep'!G12+'Table 5C1B-DArbonne'!G12+'Table 5C1C-Intl_VIBE'!G12+'Table 5C1D-NOMMA'!G12+'Table 5C1E-LFNO'!G12+'Table 5C1F-Lake Charles Charter'!G12+'Table 5C2 - LA Virtual Admy'!G10+'Table 5C3 - LA Connections EBR'!G10</f>
        <v>3293117.3079999997</v>
      </c>
      <c r="R11" s="312">
        <f t="shared" si="9"/>
        <v>4154957.3079999997</v>
      </c>
      <c r="T11" s="23">
        <f t="shared" si="10"/>
        <v>545.4799999999999</v>
      </c>
      <c r="U11" s="1234">
        <f>'Table 8 2.1.12 MFP Funded'!G9+'Table 8 2.1.12 MFP Funded'!H9+'Table 8 2.1.12 MFP Funded'!I9+'Table 8 2.1.12 MFP Funded'!J9</f>
        <v>6020</v>
      </c>
      <c r="V11" s="412">
        <f t="shared" si="11"/>
        <v>3283789.5999999996</v>
      </c>
    </row>
    <row r="12" spans="1:22">
      <c r="A12" s="101">
        <v>7</v>
      </c>
      <c r="B12" s="299" t="s">
        <v>108</v>
      </c>
      <c r="C12" s="316">
        <v>0</v>
      </c>
      <c r="D12" s="316">
        <v>0</v>
      </c>
      <c r="E12" s="316">
        <f t="shared" si="6"/>
        <v>0</v>
      </c>
      <c r="F12" s="317">
        <f>'[10]Table 4 Level 3'!F12+'[10]Table 4 Level 3'!H12</f>
        <v>0</v>
      </c>
      <c r="G12" s="317">
        <f t="shared" si="2"/>
        <v>0</v>
      </c>
      <c r="H12" s="317">
        <f t="shared" si="7"/>
        <v>0</v>
      </c>
      <c r="I12" s="315">
        <f>IF(F12&lt;0,0,'Table 3 Levels 1&amp;2'!C14)</f>
        <v>2218</v>
      </c>
      <c r="J12" s="312">
        <f t="shared" si="3"/>
        <v>94736</v>
      </c>
      <c r="K12" s="313">
        <v>0</v>
      </c>
      <c r="L12" s="312">
        <f t="shared" si="4"/>
        <v>0</v>
      </c>
      <c r="M12" s="315">
        <f>'Table 3 Levels 1&amp;2'!C14</f>
        <v>2218</v>
      </c>
      <c r="N12" s="312">
        <f t="shared" si="5"/>
        <v>221800</v>
      </c>
      <c r="O12" s="312">
        <f t="shared" si="8"/>
        <v>316536</v>
      </c>
      <c r="P12" s="309">
        <v>756.91999999999985</v>
      </c>
      <c r="Q12" s="312">
        <f>('Table 4 Level 3'!P12*('Table 8 2.1.12 MFP Funded'!G10+'Table 8 2.1.12 MFP Funded'!H10+'Table 8 2.1.12 MFP Funded'!I10+'Table 8 2.1.12 MFP Funded'!J10))+'Table 5C1A-Madison Prep'!G13+'Table 5C1B-DArbonne'!G13+'Table 5C1C-Intl_VIBE'!G13+'Table 5C1D-NOMMA'!G13+'Table 5C1E-LFNO'!G13+'Table 5C1F-Lake Charles Charter'!G13+'Table 5C2 - LA Virtual Admy'!G11+'Table 5C3 - LA Connections EBR'!G11</f>
        <v>1678015.9479999996</v>
      </c>
      <c r="R12" s="312">
        <f t="shared" si="9"/>
        <v>1994551.9479999996</v>
      </c>
      <c r="T12" s="23">
        <f t="shared" si="10"/>
        <v>756.91999999999985</v>
      </c>
      <c r="U12" s="1234">
        <f>'Table 8 2.1.12 MFP Funded'!G10+'Table 8 2.1.12 MFP Funded'!H10+'Table 8 2.1.12 MFP Funded'!I10+'Table 8 2.1.12 MFP Funded'!J10</f>
        <v>2207</v>
      </c>
      <c r="V12" s="412">
        <f t="shared" si="11"/>
        <v>1670522.4399999997</v>
      </c>
    </row>
    <row r="13" spans="1:22">
      <c r="A13" s="101">
        <v>8</v>
      </c>
      <c r="B13" s="299" t="s">
        <v>109</v>
      </c>
      <c r="C13" s="316">
        <v>0</v>
      </c>
      <c r="D13" s="316">
        <v>0</v>
      </c>
      <c r="E13" s="316">
        <f t="shared" si="6"/>
        <v>0</v>
      </c>
      <c r="F13" s="317">
        <f>'[10]Table 4 Level 3'!F13+'[10]Table 4 Level 3'!H13</f>
        <v>0</v>
      </c>
      <c r="G13" s="317">
        <f t="shared" si="2"/>
        <v>0</v>
      </c>
      <c r="H13" s="317">
        <f t="shared" si="7"/>
        <v>0</v>
      </c>
      <c r="I13" s="315">
        <f>IF(F13&lt;0,0,'Table 3 Levels 1&amp;2'!C15)</f>
        <v>20785</v>
      </c>
      <c r="J13" s="312">
        <f t="shared" si="3"/>
        <v>887776</v>
      </c>
      <c r="K13" s="313">
        <v>3</v>
      </c>
      <c r="L13" s="312">
        <f t="shared" si="4"/>
        <v>60000</v>
      </c>
      <c r="M13" s="315">
        <f>'Table 3 Levels 1&amp;2'!C15</f>
        <v>20785</v>
      </c>
      <c r="N13" s="312">
        <f t="shared" si="5"/>
        <v>2078500</v>
      </c>
      <c r="O13" s="312">
        <f t="shared" si="8"/>
        <v>3026276</v>
      </c>
      <c r="P13" s="309">
        <v>725.76</v>
      </c>
      <c r="Q13" s="312">
        <f>('Table 4 Level 3'!P13*('Table 8 2.1.12 MFP Funded'!G11+'Table 8 2.1.12 MFP Funded'!H11+'Table 8 2.1.12 MFP Funded'!I11+'Table 8 2.1.12 MFP Funded'!J11))+'Table 5C1A-Madison Prep'!G14+'Table 5C1B-DArbonne'!G14+'Table 5C1C-Intl_VIBE'!G14+'Table 5C1D-NOMMA'!G14+'Table 5C1E-LFNO'!G14+'Table 5C1F-Lake Charles Charter'!G14+'Table 5C2 - LA Virtual Admy'!G12+'Table 5C3 - LA Connections EBR'!G12</f>
        <v>15080059.007999999</v>
      </c>
      <c r="R13" s="312">
        <f t="shared" si="9"/>
        <v>18106335.008000001</v>
      </c>
      <c r="T13" s="23">
        <f t="shared" si="10"/>
        <v>725.76</v>
      </c>
      <c r="U13" s="1234">
        <f>'Table 8 2.1.12 MFP Funded'!G11+'Table 8 2.1.12 MFP Funded'!H11+'Table 8 2.1.12 MFP Funded'!I11+'Table 8 2.1.12 MFP Funded'!J11</f>
        <v>20718</v>
      </c>
      <c r="V13" s="412">
        <f t="shared" si="11"/>
        <v>15036295.68</v>
      </c>
    </row>
    <row r="14" spans="1:22">
      <c r="A14" s="101">
        <v>9</v>
      </c>
      <c r="B14" s="299" t="s">
        <v>110</v>
      </c>
      <c r="C14" s="316">
        <v>0</v>
      </c>
      <c r="D14" s="316">
        <v>0</v>
      </c>
      <c r="E14" s="316">
        <f t="shared" si="6"/>
        <v>0</v>
      </c>
      <c r="F14" s="317">
        <f>'[10]Table 4 Level 3'!F14+'[10]Table 4 Level 3'!H14</f>
        <v>0</v>
      </c>
      <c r="G14" s="317">
        <f t="shared" si="2"/>
        <v>0</v>
      </c>
      <c r="H14" s="317">
        <f t="shared" si="7"/>
        <v>0</v>
      </c>
      <c r="I14" s="315">
        <f>IF(F14&lt;0,0,'Table 3 Levels 1&amp;2'!C16)</f>
        <v>41429</v>
      </c>
      <c r="J14" s="312">
        <f t="shared" si="3"/>
        <v>1769530</v>
      </c>
      <c r="K14" s="313">
        <v>17</v>
      </c>
      <c r="L14" s="312">
        <f t="shared" si="4"/>
        <v>340000</v>
      </c>
      <c r="M14" s="315">
        <f>'Table 3 Levels 1&amp;2'!C16</f>
        <v>41429</v>
      </c>
      <c r="N14" s="312">
        <f t="shared" si="5"/>
        <v>4142900</v>
      </c>
      <c r="O14" s="312">
        <f t="shared" si="8"/>
        <v>6252430</v>
      </c>
      <c r="P14" s="309">
        <v>744.76</v>
      </c>
      <c r="Q14" s="312">
        <f>('Table 4 Level 3'!P14*('Table 8 2.1.12 MFP Funded'!G12+'Table 8 2.1.12 MFP Funded'!H12+'Table 8 2.1.12 MFP Funded'!I12+'Table 8 2.1.12 MFP Funded'!J12))+'Table 5C1A-Madison Prep'!G15+'Table 5C1B-DArbonne'!G15+'Table 5C1C-Intl_VIBE'!G15+'Table 5C1D-NOMMA'!G15+'Table 5C1E-LFNO'!G15+'Table 5C1F-Lake Charles Charter'!G15+'Table 5C2 - LA Virtual Admy'!G13+'Table 5C3 - LA Connections EBR'!G13</f>
        <v>30844905.684</v>
      </c>
      <c r="R14" s="312">
        <f t="shared" si="9"/>
        <v>37097335.684</v>
      </c>
      <c r="T14" s="23">
        <f t="shared" si="10"/>
        <v>744.76</v>
      </c>
      <c r="U14" s="1234">
        <f>'Table 8 2.1.12 MFP Funded'!G12+'Table 8 2.1.12 MFP Funded'!H12+'Table 8 2.1.12 MFP Funded'!I12+'Table 8 2.1.12 MFP Funded'!J12</f>
        <v>41297</v>
      </c>
      <c r="V14" s="412">
        <f t="shared" si="11"/>
        <v>30756353.719999999</v>
      </c>
    </row>
    <row r="15" spans="1:22">
      <c r="A15" s="102">
        <v>10</v>
      </c>
      <c r="B15" s="300" t="s">
        <v>111</v>
      </c>
      <c r="C15" s="323">
        <v>0</v>
      </c>
      <c r="D15" s="323">
        <v>0</v>
      </c>
      <c r="E15" s="323">
        <f t="shared" si="6"/>
        <v>0</v>
      </c>
      <c r="F15" s="324">
        <f>'[10]Table 4 Level 3'!F15+'[10]Table 4 Level 3'!H15</f>
        <v>0</v>
      </c>
      <c r="G15" s="324">
        <f t="shared" si="2"/>
        <v>0</v>
      </c>
      <c r="H15" s="324">
        <f t="shared" si="7"/>
        <v>0</v>
      </c>
      <c r="I15" s="322">
        <f>IF(F15&lt;0,0,'Table 3 Levels 1&amp;2'!C17)</f>
        <v>31697</v>
      </c>
      <c r="J15" s="319">
        <f t="shared" si="3"/>
        <v>1353853</v>
      </c>
      <c r="K15" s="320">
        <v>25</v>
      </c>
      <c r="L15" s="319">
        <f t="shared" si="4"/>
        <v>500000</v>
      </c>
      <c r="M15" s="322">
        <f>'Table 3 Levels 1&amp;2'!C17</f>
        <v>31697</v>
      </c>
      <c r="N15" s="319">
        <f t="shared" si="5"/>
        <v>3169700</v>
      </c>
      <c r="O15" s="319">
        <f t="shared" si="8"/>
        <v>5023553</v>
      </c>
      <c r="P15" s="318">
        <v>608.04000000000008</v>
      </c>
      <c r="Q15" s="319">
        <f>('Table 4 Level 3'!P15*('Table 8 2.1.12 MFP Funded'!G13+'Table 8 2.1.12 MFP Funded'!H13+'Table 8 2.1.12 MFP Funded'!I13+'Table 8 2.1.12 MFP Funded'!J13))+'Table 5C1A-Madison Prep'!G16+'Table 5C1B-DArbonne'!G16+'Table 5C1C-Intl_VIBE'!G16+'Table 5C1D-NOMMA'!G16+'Table 5C1E-LFNO'!G16+'Table 5C1F-Lake Charles Charter'!G16+'Table 5C2 - LA Virtual Admy'!G14+'Table 5C3 - LA Connections EBR'!G14</f>
        <v>19267814.736000001</v>
      </c>
      <c r="R15" s="319">
        <f t="shared" si="9"/>
        <v>24291367.736000001</v>
      </c>
      <c r="T15" s="23">
        <f t="shared" si="10"/>
        <v>608.04000000000008</v>
      </c>
      <c r="U15" s="1234">
        <f>'Table 8 2.1.12 MFP Funded'!G13+'Table 8 2.1.12 MFP Funded'!H13+'Table 8 2.1.12 MFP Funded'!I13+'Table 8 2.1.12 MFP Funded'!J13</f>
        <v>30976</v>
      </c>
      <c r="V15" s="412">
        <f t="shared" si="11"/>
        <v>18834647.040000003</v>
      </c>
    </row>
    <row r="16" spans="1:22">
      <c r="A16" s="101">
        <v>11</v>
      </c>
      <c r="B16" s="299" t="s">
        <v>112</v>
      </c>
      <c r="C16" s="316">
        <v>0</v>
      </c>
      <c r="D16" s="316">
        <v>0</v>
      </c>
      <c r="E16" s="316">
        <f t="shared" si="6"/>
        <v>0</v>
      </c>
      <c r="F16" s="317">
        <f>'[10]Table 4 Level 3'!F16+'[10]Table 4 Level 3'!H16</f>
        <v>0</v>
      </c>
      <c r="G16" s="317">
        <f t="shared" si="2"/>
        <v>0</v>
      </c>
      <c r="H16" s="317">
        <f t="shared" si="7"/>
        <v>0</v>
      </c>
      <c r="I16" s="315">
        <f>IF(F16&lt;0,0,'Table 3 Levels 1&amp;2'!C18)</f>
        <v>1575</v>
      </c>
      <c r="J16" s="312">
        <f t="shared" si="3"/>
        <v>67272</v>
      </c>
      <c r="K16" s="313">
        <v>0</v>
      </c>
      <c r="L16" s="312">
        <f t="shared" si="4"/>
        <v>0</v>
      </c>
      <c r="M16" s="315">
        <f>'Table 3 Levels 1&amp;2'!C18</f>
        <v>1575</v>
      </c>
      <c r="N16" s="312">
        <f t="shared" si="5"/>
        <v>157500</v>
      </c>
      <c r="O16" s="312">
        <f t="shared" si="8"/>
        <v>224772</v>
      </c>
      <c r="P16" s="309">
        <v>706.55</v>
      </c>
      <c r="Q16" s="312">
        <f>('Table 4 Level 3'!P16*('Table 8 2.1.12 MFP Funded'!G14+'Table 8 2.1.12 MFP Funded'!H14+'Table 8 2.1.12 MFP Funded'!I14+'Table 8 2.1.12 MFP Funded'!J14))+'Table 5C1A-Madison Prep'!G17+'Table 5C1B-DArbonne'!G17+'Table 5C1C-Intl_VIBE'!G17+'Table 5C1D-NOMMA'!G17+'Table 5C1E-LFNO'!G17+'Table 5C1F-Lake Charles Charter'!G17+'Table 5C2 - LA Virtual Admy'!G15+'Table 5C3 - LA Connections EBR'!G15</f>
        <v>1112604.2849999999</v>
      </c>
      <c r="R16" s="312">
        <f t="shared" si="9"/>
        <v>1337376.2849999999</v>
      </c>
      <c r="T16" s="23">
        <f t="shared" si="10"/>
        <v>706.55</v>
      </c>
      <c r="U16" s="1234">
        <f>'Table 8 2.1.12 MFP Funded'!G14+'Table 8 2.1.12 MFP Funded'!H14+'Table 8 2.1.12 MFP Funded'!I14+'Table 8 2.1.12 MFP Funded'!J14</f>
        <v>1572</v>
      </c>
      <c r="V16" s="412">
        <f t="shared" si="11"/>
        <v>1110696.5999999999</v>
      </c>
    </row>
    <row r="17" spans="1:22">
      <c r="A17" s="101">
        <v>12</v>
      </c>
      <c r="B17" s="299" t="s">
        <v>113</v>
      </c>
      <c r="C17" s="316">
        <v>0</v>
      </c>
      <c r="D17" s="316">
        <v>0</v>
      </c>
      <c r="E17" s="316">
        <f t="shared" si="6"/>
        <v>0</v>
      </c>
      <c r="F17" s="317">
        <f>'[10]Table 4 Level 3'!F17+'[10]Table 4 Level 3'!H17</f>
        <v>0</v>
      </c>
      <c r="G17" s="317">
        <f t="shared" si="2"/>
        <v>0</v>
      </c>
      <c r="H17" s="317">
        <f t="shared" si="7"/>
        <v>0</v>
      </c>
      <c r="I17" s="315">
        <f>IF(F17&lt;0,0,'Table 3 Levels 1&amp;2'!C19)</f>
        <v>1225</v>
      </c>
      <c r="J17" s="312">
        <f t="shared" si="3"/>
        <v>52323</v>
      </c>
      <c r="K17" s="313">
        <v>0</v>
      </c>
      <c r="L17" s="312">
        <f t="shared" si="4"/>
        <v>0</v>
      </c>
      <c r="M17" s="315">
        <f>'Table 3 Levels 1&amp;2'!C19</f>
        <v>1225</v>
      </c>
      <c r="N17" s="312">
        <f t="shared" si="5"/>
        <v>122500</v>
      </c>
      <c r="O17" s="312">
        <f t="shared" si="8"/>
        <v>174823</v>
      </c>
      <c r="P17" s="309">
        <v>1063.31</v>
      </c>
      <c r="Q17" s="312">
        <f>('Table 4 Level 3'!P17*('Table 8 2.1.12 MFP Funded'!G15+'Table 8 2.1.12 MFP Funded'!H15+'Table 8 2.1.12 MFP Funded'!I15+'Table 8 2.1.12 MFP Funded'!J15))+'Table 5C1A-Madison Prep'!G18+'Table 5C1B-DArbonne'!G18+'Table 5C1C-Intl_VIBE'!G18+'Table 5C1D-NOMMA'!G18+'Table 5C1E-LFNO'!G18+'Table 5C1F-Lake Charles Charter'!G18+'Table 5C2 - LA Virtual Admy'!G16+'Table 5C3 - LA Connections EBR'!G16</f>
        <v>1302342.088</v>
      </c>
      <c r="R17" s="312">
        <f t="shared" si="9"/>
        <v>1477165.088</v>
      </c>
      <c r="T17" s="23">
        <f t="shared" si="10"/>
        <v>1063.31</v>
      </c>
      <c r="U17" s="1234">
        <f>'Table 8 2.1.12 MFP Funded'!G15+'Table 8 2.1.12 MFP Funded'!H15+'Table 8 2.1.12 MFP Funded'!I15+'Table 8 2.1.12 MFP Funded'!J15</f>
        <v>1223</v>
      </c>
      <c r="V17" s="412">
        <f t="shared" si="11"/>
        <v>1300428.1299999999</v>
      </c>
    </row>
    <row r="18" spans="1:22">
      <c r="A18" s="101">
        <v>13</v>
      </c>
      <c r="B18" s="299" t="s">
        <v>114</v>
      </c>
      <c r="C18" s="316">
        <v>0</v>
      </c>
      <c r="D18" s="316">
        <v>0</v>
      </c>
      <c r="E18" s="316">
        <f t="shared" si="6"/>
        <v>0</v>
      </c>
      <c r="F18" s="317">
        <f>'[10]Table 4 Level 3'!F18+'[10]Table 4 Level 3'!H18</f>
        <v>0</v>
      </c>
      <c r="G18" s="317">
        <f t="shared" si="2"/>
        <v>0</v>
      </c>
      <c r="H18" s="317">
        <f t="shared" si="7"/>
        <v>0</v>
      </c>
      <c r="I18" s="315">
        <f>IF(F18&lt;0,0,'Table 3 Levels 1&amp;2'!C20)</f>
        <v>1519</v>
      </c>
      <c r="J18" s="312">
        <f t="shared" si="3"/>
        <v>64880</v>
      </c>
      <c r="K18" s="313">
        <v>0</v>
      </c>
      <c r="L18" s="312">
        <f t="shared" si="4"/>
        <v>0</v>
      </c>
      <c r="M18" s="315">
        <f>'Table 3 Levels 1&amp;2'!C20</f>
        <v>1519</v>
      </c>
      <c r="N18" s="312">
        <f t="shared" si="5"/>
        <v>151900</v>
      </c>
      <c r="O18" s="312">
        <f t="shared" si="8"/>
        <v>216780</v>
      </c>
      <c r="P18" s="309">
        <v>749.43000000000006</v>
      </c>
      <c r="Q18" s="312">
        <f>('Table 4 Level 3'!P18*('Table 8 2.1.12 MFP Funded'!G16+'Table 8 2.1.12 MFP Funded'!H16+'Table 8 2.1.12 MFP Funded'!I16+'Table 8 2.1.12 MFP Funded'!J16))+'Table 5C1A-Madison Prep'!G19+'Table 5C1B-DArbonne'!G19+'Table 5C1C-Intl_VIBE'!G19+'Table 5C1D-NOMMA'!G19+'Table 5C1E-LFNO'!G19+'Table 5C1F-Lake Charles Charter'!G19+'Table 5C2 - LA Virtual Admy'!G17+'Table 5C3 - LA Connections EBR'!G17</f>
        <v>1137559.7970000003</v>
      </c>
      <c r="R18" s="312">
        <f t="shared" si="9"/>
        <v>1354339.7970000003</v>
      </c>
      <c r="T18" s="23">
        <f t="shared" si="10"/>
        <v>749.43000000000006</v>
      </c>
      <c r="U18" s="1234">
        <f>'Table 8 2.1.12 MFP Funded'!G16+'Table 8 2.1.12 MFP Funded'!H16+'Table 8 2.1.12 MFP Funded'!I16+'Table 8 2.1.12 MFP Funded'!J16</f>
        <v>1508</v>
      </c>
      <c r="V18" s="412">
        <f t="shared" si="11"/>
        <v>1130140.4400000002</v>
      </c>
    </row>
    <row r="19" spans="1:22">
      <c r="A19" s="101">
        <v>14</v>
      </c>
      <c r="B19" s="299" t="s">
        <v>115</v>
      </c>
      <c r="C19" s="316">
        <v>0</v>
      </c>
      <c r="D19" s="316">
        <v>0</v>
      </c>
      <c r="E19" s="316">
        <f t="shared" si="6"/>
        <v>0</v>
      </c>
      <c r="F19" s="317">
        <f>'[10]Table 4 Level 3'!F19+'[10]Table 4 Level 3'!H19</f>
        <v>0</v>
      </c>
      <c r="G19" s="317">
        <f t="shared" si="2"/>
        <v>0</v>
      </c>
      <c r="H19" s="317">
        <f t="shared" si="7"/>
        <v>0</v>
      </c>
      <c r="I19" s="315">
        <f>IF(F19&lt;0,0,'Table 3 Levels 1&amp;2'!C21)</f>
        <v>1958</v>
      </c>
      <c r="J19" s="312">
        <f t="shared" si="3"/>
        <v>83631</v>
      </c>
      <c r="K19" s="313">
        <v>0</v>
      </c>
      <c r="L19" s="312">
        <f t="shared" si="4"/>
        <v>0</v>
      </c>
      <c r="M19" s="315">
        <f>'Table 3 Levels 1&amp;2'!C21</f>
        <v>1958</v>
      </c>
      <c r="N19" s="312">
        <f t="shared" si="5"/>
        <v>195800</v>
      </c>
      <c r="O19" s="312">
        <f t="shared" si="8"/>
        <v>279431</v>
      </c>
      <c r="P19" s="309">
        <v>809.9799999999999</v>
      </c>
      <c r="Q19" s="312">
        <f>('Table 4 Level 3'!P19*('Table 8 2.1.12 MFP Funded'!G17+'Table 8 2.1.12 MFP Funded'!H17+'Table 8 2.1.12 MFP Funded'!I17+'Table 8 2.1.12 MFP Funded'!J17))+'Table 5C1A-Madison Prep'!G20+'Table 5C1B-DArbonne'!G20+'Table 5C1C-Intl_VIBE'!G20+'Table 5C1D-NOMMA'!G20+'Table 5C1E-LFNO'!G20+'Table 5C1F-Lake Charles Charter'!G20+'Table 5C2 - LA Virtual Admy'!G18+'Table 5C3 - LA Connections EBR'!G18</f>
        <v>1585130.8599999999</v>
      </c>
      <c r="R19" s="312">
        <f t="shared" si="9"/>
        <v>1864561.8599999999</v>
      </c>
      <c r="T19" s="23">
        <f t="shared" si="10"/>
        <v>809.9799999999999</v>
      </c>
      <c r="U19" s="1234">
        <f>'Table 8 2.1.12 MFP Funded'!G17+'Table 8 2.1.12 MFP Funded'!H17+'Table 8 2.1.12 MFP Funded'!I17+'Table 8 2.1.12 MFP Funded'!J17</f>
        <v>1945</v>
      </c>
      <c r="V19" s="412">
        <f t="shared" si="11"/>
        <v>1575411.0999999999</v>
      </c>
    </row>
    <row r="20" spans="1:22">
      <c r="A20" s="102">
        <v>15</v>
      </c>
      <c r="B20" s="300" t="s">
        <v>116</v>
      </c>
      <c r="C20" s="323">
        <v>224419</v>
      </c>
      <c r="D20" s="325">
        <v>0</v>
      </c>
      <c r="E20" s="323">
        <f t="shared" si="6"/>
        <v>224419</v>
      </c>
      <c r="F20" s="324">
        <f>'[10]Table 4 Level 3'!F20+'[10]Table 4 Level 3'!H20</f>
        <v>-112210</v>
      </c>
      <c r="G20" s="324">
        <f t="shared" si="2"/>
        <v>112209</v>
      </c>
      <c r="H20" s="324">
        <f t="shared" si="7"/>
        <v>-22442</v>
      </c>
      <c r="I20" s="322">
        <f>IF(F20&lt;0,0,'Table 3 Levels 1&amp;2'!C22)</f>
        <v>0</v>
      </c>
      <c r="J20" s="319">
        <f t="shared" si="3"/>
        <v>0</v>
      </c>
      <c r="K20" s="320">
        <v>1</v>
      </c>
      <c r="L20" s="319">
        <f t="shared" si="4"/>
        <v>20000</v>
      </c>
      <c r="M20" s="322">
        <f>'Table 3 Levels 1&amp;2'!C22</f>
        <v>3627</v>
      </c>
      <c r="N20" s="319">
        <f t="shared" si="5"/>
        <v>362700</v>
      </c>
      <c r="O20" s="319">
        <f t="shared" si="8"/>
        <v>472467</v>
      </c>
      <c r="P20" s="318">
        <v>553.79999999999995</v>
      </c>
      <c r="Q20" s="319">
        <f>('Table 4 Level 3'!P20*('Table 8 2.1.12 MFP Funded'!G18+'Table 8 2.1.12 MFP Funded'!H18+'Table 8 2.1.12 MFP Funded'!I18+'Table 8 2.1.12 MFP Funded'!J18))+'Table 5C1A-Madison Prep'!G21+'Table 5C1B-DArbonne'!G21+'Table 5C1C-Intl_VIBE'!G21+'Table 5C1D-NOMMA'!G21+'Table 5C1E-LFNO'!G21+'Table 5C1F-Lake Charles Charter'!G21+'Table 5C2 - LA Virtual Admy'!G19+'Table 5C3 - LA Connections EBR'!G19</f>
        <v>2008300.3199999998</v>
      </c>
      <c r="R20" s="319">
        <f t="shared" si="9"/>
        <v>2480767.3199999998</v>
      </c>
      <c r="T20" s="23">
        <f t="shared" si="10"/>
        <v>553.79999999999995</v>
      </c>
      <c r="U20" s="1234">
        <f>'Table 8 2.1.12 MFP Funded'!G18+'Table 8 2.1.12 MFP Funded'!H18+'Table 8 2.1.12 MFP Funded'!I18+'Table 8 2.1.12 MFP Funded'!J18</f>
        <v>3621</v>
      </c>
      <c r="V20" s="412">
        <f t="shared" si="11"/>
        <v>2005309.7999999998</v>
      </c>
    </row>
    <row r="21" spans="1:22">
      <c r="A21" s="101">
        <v>16</v>
      </c>
      <c r="B21" s="299" t="s">
        <v>117</v>
      </c>
      <c r="C21" s="316">
        <v>0</v>
      </c>
      <c r="D21" s="316">
        <v>0</v>
      </c>
      <c r="E21" s="316">
        <f t="shared" si="6"/>
        <v>0</v>
      </c>
      <c r="F21" s="317">
        <f>'[10]Table 4 Level 3'!F21+'[10]Table 4 Level 3'!H21</f>
        <v>0</v>
      </c>
      <c r="G21" s="317">
        <f t="shared" si="2"/>
        <v>0</v>
      </c>
      <c r="H21" s="317">
        <f t="shared" si="7"/>
        <v>0</v>
      </c>
      <c r="I21" s="315">
        <f>IF(F21&lt;0,0,'Table 3 Levels 1&amp;2'!C23)</f>
        <v>4787</v>
      </c>
      <c r="J21" s="312">
        <f t="shared" si="3"/>
        <v>204464</v>
      </c>
      <c r="K21" s="313">
        <v>2</v>
      </c>
      <c r="L21" s="312">
        <f t="shared" si="4"/>
        <v>40000</v>
      </c>
      <c r="M21" s="315">
        <f>'Table 3 Levels 1&amp;2'!C23</f>
        <v>4787</v>
      </c>
      <c r="N21" s="312">
        <f t="shared" si="5"/>
        <v>478700</v>
      </c>
      <c r="O21" s="312">
        <f t="shared" si="8"/>
        <v>723164</v>
      </c>
      <c r="P21" s="309">
        <v>686.73</v>
      </c>
      <c r="Q21" s="312">
        <f>('Table 4 Level 3'!P21*('Table 8 2.1.12 MFP Funded'!G19+'Table 8 2.1.12 MFP Funded'!H19+'Table 8 2.1.12 MFP Funded'!I19+'Table 8 2.1.12 MFP Funded'!J19))+'Table 5C1A-Madison Prep'!G22+'Table 5C1B-DArbonne'!G22+'Table 5C1C-Intl_VIBE'!G22+'Table 5C1D-NOMMA'!G22+'Table 5C1E-LFNO'!G22+'Table 5C1F-Lake Charles Charter'!G22+'Table 5C2 - LA Virtual Admy'!G20+'Table 5C3 - LA Connections EBR'!G20</f>
        <v>3286415.088</v>
      </c>
      <c r="R21" s="312">
        <f t="shared" si="9"/>
        <v>4009579.088</v>
      </c>
      <c r="T21" s="23">
        <f t="shared" si="10"/>
        <v>686.73</v>
      </c>
      <c r="U21" s="1234">
        <f>'Table 8 2.1.12 MFP Funded'!G19+'Table 8 2.1.12 MFP Funded'!H19+'Table 8 2.1.12 MFP Funded'!I19+'Table 8 2.1.12 MFP Funded'!J19</f>
        <v>4773</v>
      </c>
      <c r="V21" s="412">
        <f t="shared" si="11"/>
        <v>3277762.29</v>
      </c>
    </row>
    <row r="22" spans="1:22">
      <c r="A22" s="101">
        <v>17</v>
      </c>
      <c r="B22" s="299" t="s">
        <v>118</v>
      </c>
      <c r="C22" s="316">
        <v>25595514</v>
      </c>
      <c r="D22" s="316">
        <v>13580692</v>
      </c>
      <c r="E22" s="316">
        <f t="shared" si="6"/>
        <v>12014822</v>
      </c>
      <c r="F22" s="317">
        <f>'[10]Table 4 Level 3'!F22+'[10]Table 4 Level 3'!H22</f>
        <v>-6007410</v>
      </c>
      <c r="G22" s="317">
        <f t="shared" si="2"/>
        <v>6007412</v>
      </c>
      <c r="H22" s="317">
        <f t="shared" si="7"/>
        <v>-1201482</v>
      </c>
      <c r="I22" s="315">
        <f>IF(F22&lt;0,0,'Table 3 Levels 1&amp;2'!C24)</f>
        <v>0</v>
      </c>
      <c r="J22" s="312">
        <f t="shared" si="3"/>
        <v>0</v>
      </c>
      <c r="K22" s="313">
        <v>9</v>
      </c>
      <c r="L22" s="312">
        <f t="shared" si="4"/>
        <v>180000</v>
      </c>
      <c r="M22" s="315">
        <f>'Table 3 Levels 1&amp;2'!C24</f>
        <v>43685</v>
      </c>
      <c r="N22" s="312">
        <f t="shared" si="5"/>
        <v>4368500</v>
      </c>
      <c r="O22" s="312">
        <f t="shared" si="8"/>
        <v>22935122</v>
      </c>
      <c r="P22" s="309">
        <f>'Table 5B2_RSD_LA'!F7</f>
        <v>801.47762416806802</v>
      </c>
      <c r="Q22" s="312">
        <f>('Table 4 Level 3'!P22*('Table 8 2.1.12 MFP Funded'!G20+'Table 8 2.1.12 MFP Funded'!H20+'Table 8 2.1.12 MFP Funded'!I20+'Table 8 2.1.12 MFP Funded'!J20))+'Table 5C1A-Madison Prep'!G23+'Table 5C1B-DArbonne'!G23+'Table 5C1C-Intl_VIBE'!G23+'Table 5C1D-NOMMA'!G23+'Table 5C1E-LFNO'!G23+'Table 5C1F-Lake Charles Charter'!G23+'Table 5C2 - LA Virtual Admy'!G21+'Table 5C3 - LA Connections EBR'!G21</f>
        <v>35003172.72357928</v>
      </c>
      <c r="R22" s="312">
        <f t="shared" si="9"/>
        <v>57938294.72357928</v>
      </c>
      <c r="T22" s="23">
        <f t="shared" si="10"/>
        <v>801.47762416806802</v>
      </c>
      <c r="U22" s="1234">
        <f>'Table 8 2.1.12 MFP Funded'!G20+'Table 8 2.1.12 MFP Funded'!H20+'Table 8 2.1.12 MFP Funded'!I20+'Table 8 2.1.12 MFP Funded'!J20</f>
        <v>43379</v>
      </c>
      <c r="V22" s="412">
        <f t="shared" si="11"/>
        <v>34767297.85878662</v>
      </c>
    </row>
    <row r="23" spans="1:22">
      <c r="A23" s="101">
        <v>18</v>
      </c>
      <c r="B23" s="299" t="s">
        <v>119</v>
      </c>
      <c r="C23" s="316">
        <v>0</v>
      </c>
      <c r="D23" s="316">
        <v>0</v>
      </c>
      <c r="E23" s="316">
        <f t="shared" si="6"/>
        <v>0</v>
      </c>
      <c r="F23" s="317">
        <f>'[10]Table 4 Level 3'!F23+'[10]Table 4 Level 3'!H23</f>
        <v>0</v>
      </c>
      <c r="G23" s="317">
        <f t="shared" si="2"/>
        <v>0</v>
      </c>
      <c r="H23" s="317">
        <f t="shared" si="7"/>
        <v>0</v>
      </c>
      <c r="I23" s="315">
        <f>IF(F23&lt;0,0,'Table 3 Levels 1&amp;2'!C25)</f>
        <v>1135</v>
      </c>
      <c r="J23" s="312">
        <f t="shared" si="3"/>
        <v>48479</v>
      </c>
      <c r="K23" s="313">
        <v>1</v>
      </c>
      <c r="L23" s="312">
        <f t="shared" si="4"/>
        <v>20000</v>
      </c>
      <c r="M23" s="315">
        <f>'Table 3 Levels 1&amp;2'!C25</f>
        <v>1135</v>
      </c>
      <c r="N23" s="312">
        <f t="shared" si="5"/>
        <v>113500</v>
      </c>
      <c r="O23" s="312">
        <f t="shared" si="8"/>
        <v>181979</v>
      </c>
      <c r="P23" s="309">
        <v>845.94999999999993</v>
      </c>
      <c r="Q23" s="312">
        <f>('Table 4 Level 3'!P23*('Table 8 2.1.12 MFP Funded'!G21+'Table 8 2.1.12 MFP Funded'!H21+'Table 8 2.1.12 MFP Funded'!I21+'Table 8 2.1.12 MFP Funded'!J21))+'Table 5C1A-Madison Prep'!G24+'Table 5C1B-DArbonne'!G24+'Table 5C1C-Intl_VIBE'!G24+'Table 5C1D-NOMMA'!G24+'Table 5C1E-LFNO'!G24+'Table 5C1F-Lake Charles Charter'!G24+'Table 5C2 - LA Virtual Admy'!G22+'Table 5C3 - LA Connections EBR'!G22</f>
        <v>960068.65499999991</v>
      </c>
      <c r="R23" s="312">
        <f t="shared" si="9"/>
        <v>1142047.6549999998</v>
      </c>
      <c r="T23" s="23">
        <f t="shared" si="10"/>
        <v>845.94999999999993</v>
      </c>
      <c r="U23" s="1234">
        <f>'Table 8 2.1.12 MFP Funded'!G21+'Table 8 2.1.12 MFP Funded'!H21+'Table 8 2.1.12 MFP Funded'!I21+'Table 8 2.1.12 MFP Funded'!J21</f>
        <v>1134</v>
      </c>
      <c r="V23" s="412">
        <f t="shared" si="11"/>
        <v>959307.29999999993</v>
      </c>
    </row>
    <row r="24" spans="1:22">
      <c r="A24" s="101">
        <v>19</v>
      </c>
      <c r="B24" s="299" t="s">
        <v>120</v>
      </c>
      <c r="C24" s="316">
        <v>0</v>
      </c>
      <c r="D24" s="316">
        <v>0</v>
      </c>
      <c r="E24" s="316">
        <f t="shared" si="6"/>
        <v>0</v>
      </c>
      <c r="F24" s="317">
        <f>'[10]Table 4 Level 3'!F24+'[10]Table 4 Level 3'!H24</f>
        <v>0</v>
      </c>
      <c r="G24" s="317">
        <f t="shared" si="2"/>
        <v>0</v>
      </c>
      <c r="H24" s="317">
        <f t="shared" si="7"/>
        <v>0</v>
      </c>
      <c r="I24" s="315">
        <f>IF(F24&lt;0,0,'Table 3 Levels 1&amp;2'!C26)</f>
        <v>1938</v>
      </c>
      <c r="J24" s="312">
        <f t="shared" si="3"/>
        <v>82777</v>
      </c>
      <c r="K24" s="313">
        <v>0</v>
      </c>
      <c r="L24" s="312">
        <f t="shared" si="4"/>
        <v>0</v>
      </c>
      <c r="M24" s="315">
        <f>'Table 3 Levels 1&amp;2'!C26</f>
        <v>1938</v>
      </c>
      <c r="N24" s="312">
        <f t="shared" si="5"/>
        <v>193800</v>
      </c>
      <c r="O24" s="312">
        <f t="shared" si="8"/>
        <v>276577</v>
      </c>
      <c r="P24" s="309">
        <v>905.43</v>
      </c>
      <c r="Q24" s="312">
        <f>('Table 4 Level 3'!P24*('Table 8 2.1.12 MFP Funded'!G22+'Table 8 2.1.12 MFP Funded'!H22+'Table 8 2.1.12 MFP Funded'!I22+'Table 8 2.1.12 MFP Funded'!J22))+'Table 5C1A-Madison Prep'!G25+'Table 5C1B-DArbonne'!G25+'Table 5C1C-Intl_VIBE'!G25+'Table 5C1D-NOMMA'!G25+'Table 5C1E-LFNO'!G25+'Table 5C1F-Lake Charles Charter'!G25+'Table 5C2 - LA Virtual Admy'!G23+'Table 5C3 - LA Connections EBR'!G23</f>
        <v>1753908.453</v>
      </c>
      <c r="R24" s="312">
        <f t="shared" si="9"/>
        <v>2030485.453</v>
      </c>
      <c r="T24" s="23">
        <f t="shared" si="10"/>
        <v>905.43</v>
      </c>
      <c r="U24" s="1234">
        <f>'Table 8 2.1.12 MFP Funded'!G22+'Table 8 2.1.12 MFP Funded'!H22+'Table 8 2.1.12 MFP Funded'!I22+'Table 8 2.1.12 MFP Funded'!J22</f>
        <v>1929</v>
      </c>
      <c r="V24" s="412">
        <f t="shared" si="11"/>
        <v>1746574.47</v>
      </c>
    </row>
    <row r="25" spans="1:22">
      <c r="A25" s="102">
        <v>20</v>
      </c>
      <c r="B25" s="300" t="s">
        <v>121</v>
      </c>
      <c r="C25" s="323">
        <v>175620</v>
      </c>
      <c r="D25" s="323">
        <v>0</v>
      </c>
      <c r="E25" s="323">
        <f t="shared" si="6"/>
        <v>175620</v>
      </c>
      <c r="F25" s="324">
        <f>'[10]Table 4 Level 3'!F25+'[10]Table 4 Level 3'!H25</f>
        <v>-87810</v>
      </c>
      <c r="G25" s="324">
        <f t="shared" si="2"/>
        <v>87810</v>
      </c>
      <c r="H25" s="324">
        <f t="shared" si="7"/>
        <v>-17562</v>
      </c>
      <c r="I25" s="322">
        <f>IF(F25&lt;0,0,'Table 3 Levels 1&amp;2'!C27)</f>
        <v>0</v>
      </c>
      <c r="J25" s="319">
        <f t="shared" si="3"/>
        <v>0</v>
      </c>
      <c r="K25" s="320">
        <v>0</v>
      </c>
      <c r="L25" s="319">
        <f t="shared" si="4"/>
        <v>0</v>
      </c>
      <c r="M25" s="322">
        <f>'Table 3 Levels 1&amp;2'!C27</f>
        <v>5811</v>
      </c>
      <c r="N25" s="319">
        <f t="shared" si="5"/>
        <v>581100</v>
      </c>
      <c r="O25" s="319">
        <f t="shared" si="8"/>
        <v>651348</v>
      </c>
      <c r="P25" s="318">
        <v>586.16999999999996</v>
      </c>
      <c r="Q25" s="319">
        <f>('Table 4 Level 3'!P25*('Table 8 2.1.12 MFP Funded'!G23+'Table 8 2.1.12 MFP Funded'!H23+'Table 8 2.1.12 MFP Funded'!I23+'Table 8 2.1.12 MFP Funded'!J23))+'Table 5C1A-Madison Prep'!G26+'Table 5C1B-DArbonne'!G26+'Table 5C1C-Intl_VIBE'!G26+'Table 5C1D-NOMMA'!G26+'Table 5C1E-LFNO'!G26+'Table 5C1F-Lake Charles Charter'!G26+'Table 5C2 - LA Virtual Admy'!G24+'Table 5C3 - LA Connections EBR'!G24</f>
        <v>3405706.3169999998</v>
      </c>
      <c r="R25" s="319">
        <f t="shared" si="9"/>
        <v>4057054.3169999998</v>
      </c>
      <c r="T25" s="23">
        <f t="shared" si="10"/>
        <v>586.16999999999996</v>
      </c>
      <c r="U25" s="1234">
        <f>'Table 8 2.1.12 MFP Funded'!G23+'Table 8 2.1.12 MFP Funded'!H23+'Table 8 2.1.12 MFP Funded'!I23+'Table 8 2.1.12 MFP Funded'!J23</f>
        <v>5802</v>
      </c>
      <c r="V25" s="412">
        <f t="shared" si="11"/>
        <v>3400958.34</v>
      </c>
    </row>
    <row r="26" spans="1:22">
      <c r="A26" s="101">
        <v>21</v>
      </c>
      <c r="B26" s="299" t="s">
        <v>122</v>
      </c>
      <c r="C26" s="316">
        <v>0</v>
      </c>
      <c r="D26" s="316">
        <v>0</v>
      </c>
      <c r="E26" s="316">
        <f t="shared" si="6"/>
        <v>0</v>
      </c>
      <c r="F26" s="317">
        <f>'[10]Table 4 Level 3'!F26+'[10]Table 4 Level 3'!H26</f>
        <v>0</v>
      </c>
      <c r="G26" s="317">
        <f t="shared" si="2"/>
        <v>0</v>
      </c>
      <c r="H26" s="317">
        <f t="shared" si="7"/>
        <v>0</v>
      </c>
      <c r="I26" s="315">
        <f>IF(F26&lt;0,0,'Table 3 Levels 1&amp;2'!C28)</f>
        <v>2950</v>
      </c>
      <c r="J26" s="312">
        <f t="shared" si="3"/>
        <v>126001</v>
      </c>
      <c r="K26" s="313">
        <v>0</v>
      </c>
      <c r="L26" s="312">
        <f t="shared" si="4"/>
        <v>0</v>
      </c>
      <c r="M26" s="315">
        <f>'Table 3 Levels 1&amp;2'!C28</f>
        <v>2950</v>
      </c>
      <c r="N26" s="312">
        <f t="shared" si="5"/>
        <v>295000</v>
      </c>
      <c r="O26" s="312">
        <f t="shared" si="8"/>
        <v>421001</v>
      </c>
      <c r="P26" s="309">
        <v>610.35</v>
      </c>
      <c r="Q26" s="312">
        <f>('Table 4 Level 3'!P26*('Table 8 2.1.12 MFP Funded'!G24+'Table 8 2.1.12 MFP Funded'!H24+'Table 8 2.1.12 MFP Funded'!I24+'Table 8 2.1.12 MFP Funded'!J24))+'Table 5C1A-Madison Prep'!G27+'Table 5C1B-DArbonne'!G27+'Table 5C1C-Intl_VIBE'!G27+'Table 5C1D-NOMMA'!G27+'Table 5C1E-LFNO'!G27+'Table 5C1F-Lake Charles Charter'!G27+'Table 5C2 - LA Virtual Admy'!G25+'Table 5C3 - LA Connections EBR'!G25</f>
        <v>1799800.08</v>
      </c>
      <c r="R26" s="312">
        <f t="shared" si="9"/>
        <v>2220801.08</v>
      </c>
      <c r="T26" s="23">
        <f t="shared" si="10"/>
        <v>610.35</v>
      </c>
      <c r="U26" s="1234">
        <f>'Table 8 2.1.12 MFP Funded'!G24+'Table 8 2.1.12 MFP Funded'!H24+'Table 8 2.1.12 MFP Funded'!I24+'Table 8 2.1.12 MFP Funded'!J24</f>
        <v>2938</v>
      </c>
      <c r="V26" s="412">
        <f t="shared" si="11"/>
        <v>1793208.3</v>
      </c>
    </row>
    <row r="27" spans="1:22">
      <c r="A27" s="101">
        <v>22</v>
      </c>
      <c r="B27" s="299" t="s">
        <v>123</v>
      </c>
      <c r="C27" s="316">
        <v>0</v>
      </c>
      <c r="D27" s="316">
        <v>0</v>
      </c>
      <c r="E27" s="316">
        <f t="shared" si="6"/>
        <v>0</v>
      </c>
      <c r="F27" s="317">
        <f>'[10]Table 4 Level 3'!F27+'[10]Table 4 Level 3'!H27</f>
        <v>0</v>
      </c>
      <c r="G27" s="317">
        <f t="shared" si="2"/>
        <v>0</v>
      </c>
      <c r="H27" s="317">
        <f t="shared" si="7"/>
        <v>0</v>
      </c>
      <c r="I27" s="315">
        <f>IF(F27&lt;0,0,'Table 3 Levels 1&amp;2'!C29)</f>
        <v>3277</v>
      </c>
      <c r="J27" s="312">
        <f t="shared" si="3"/>
        <v>139968</v>
      </c>
      <c r="K27" s="313">
        <v>0</v>
      </c>
      <c r="L27" s="312">
        <f t="shared" si="4"/>
        <v>0</v>
      </c>
      <c r="M27" s="315">
        <f>'Table 3 Levels 1&amp;2'!C29</f>
        <v>3277</v>
      </c>
      <c r="N27" s="312">
        <f t="shared" si="5"/>
        <v>327700</v>
      </c>
      <c r="O27" s="312">
        <f t="shared" si="8"/>
        <v>467668</v>
      </c>
      <c r="P27" s="309">
        <v>496.36</v>
      </c>
      <c r="Q27" s="312">
        <f>('Table 4 Level 3'!P27*('Table 8 2.1.12 MFP Funded'!G25+'Table 8 2.1.12 MFP Funded'!H25+'Table 8 2.1.12 MFP Funded'!I25+'Table 8 2.1.12 MFP Funded'!J25))+'Table 5C1A-Madison Prep'!G28+'Table 5C1B-DArbonne'!G28+'Table 5C1C-Intl_VIBE'!G28+'Table 5C1D-NOMMA'!G28+'Table 5C1E-LFNO'!G28+'Table 5C1F-Lake Charles Charter'!G28+'Table 5C2 - LA Virtual Admy'!G26+'Table 5C3 - LA Connections EBR'!G26</f>
        <v>1626075.36</v>
      </c>
      <c r="R27" s="312">
        <f t="shared" si="9"/>
        <v>2093743.36</v>
      </c>
      <c r="T27" s="23">
        <f t="shared" si="10"/>
        <v>496.36</v>
      </c>
      <c r="U27" s="1234">
        <f>'Table 8 2.1.12 MFP Funded'!G25+'Table 8 2.1.12 MFP Funded'!H25+'Table 8 2.1.12 MFP Funded'!I25+'Table 8 2.1.12 MFP Funded'!J25</f>
        <v>3267</v>
      </c>
      <c r="V27" s="412">
        <f t="shared" si="11"/>
        <v>1621608.12</v>
      </c>
    </row>
    <row r="28" spans="1:22">
      <c r="A28" s="101">
        <v>23</v>
      </c>
      <c r="B28" s="299" t="s">
        <v>124</v>
      </c>
      <c r="C28" s="316">
        <v>0</v>
      </c>
      <c r="D28" s="316">
        <v>0</v>
      </c>
      <c r="E28" s="316">
        <f t="shared" si="6"/>
        <v>0</v>
      </c>
      <c r="F28" s="317">
        <f>'[10]Table 4 Level 3'!F28+'[10]Table 4 Level 3'!H28</f>
        <v>0</v>
      </c>
      <c r="G28" s="317">
        <f t="shared" si="2"/>
        <v>0</v>
      </c>
      <c r="H28" s="317">
        <f t="shared" si="7"/>
        <v>0</v>
      </c>
      <c r="I28" s="315">
        <f>IF(F28&lt;0,0,'Table 3 Levels 1&amp;2'!C30)</f>
        <v>13280</v>
      </c>
      <c r="J28" s="312">
        <f t="shared" si="3"/>
        <v>567220</v>
      </c>
      <c r="K28" s="313">
        <v>9</v>
      </c>
      <c r="L28" s="312">
        <f t="shared" si="4"/>
        <v>180000</v>
      </c>
      <c r="M28" s="315">
        <f>'Table 3 Levels 1&amp;2'!C30</f>
        <v>13280</v>
      </c>
      <c r="N28" s="312">
        <f t="shared" si="5"/>
        <v>1328000</v>
      </c>
      <c r="O28" s="312">
        <f t="shared" si="8"/>
        <v>2075220</v>
      </c>
      <c r="P28" s="309">
        <v>688.58</v>
      </c>
      <c r="Q28" s="312">
        <f>('Table 4 Level 3'!P28*('Table 8 2.1.12 MFP Funded'!G26+'Table 8 2.1.12 MFP Funded'!H26+'Table 8 2.1.12 MFP Funded'!I26+'Table 8 2.1.12 MFP Funded'!J26))+'Table 5C1A-Madison Prep'!G29+'Table 5C1B-DArbonne'!G29+'Table 5C1C-Intl_VIBE'!G29+'Table 5C1D-NOMMA'!G29+'Table 5C1E-LFNO'!G29+'Table 5C1F-Lake Charles Charter'!G29+'Table 5C2 - LA Virtual Admy'!G27+'Table 5C3 - LA Connections EBR'!G27</f>
        <v>9142896.3820000011</v>
      </c>
      <c r="R28" s="312">
        <f t="shared" si="9"/>
        <v>11218116.382000001</v>
      </c>
      <c r="T28" s="23">
        <f t="shared" si="10"/>
        <v>688.58</v>
      </c>
      <c r="U28" s="1234">
        <f>'Table 8 2.1.12 MFP Funded'!G26+'Table 8 2.1.12 MFP Funded'!H26+'Table 8 2.1.12 MFP Funded'!I26+'Table 8 2.1.12 MFP Funded'!J26</f>
        <v>13259</v>
      </c>
      <c r="V28" s="412">
        <f t="shared" si="11"/>
        <v>9129882.2200000007</v>
      </c>
    </row>
    <row r="29" spans="1:22">
      <c r="A29" s="101">
        <v>24</v>
      </c>
      <c r="B29" s="299" t="s">
        <v>125</v>
      </c>
      <c r="C29" s="316">
        <v>2421938</v>
      </c>
      <c r="D29" s="316">
        <v>1654734</v>
      </c>
      <c r="E29" s="316">
        <f t="shared" si="6"/>
        <v>767204</v>
      </c>
      <c r="F29" s="317">
        <f>'[10]Table 4 Level 3'!F29+'[10]Table 4 Level 3'!H29</f>
        <v>-383602</v>
      </c>
      <c r="G29" s="317">
        <f t="shared" si="2"/>
        <v>383602</v>
      </c>
      <c r="H29" s="317">
        <f t="shared" si="7"/>
        <v>-76720</v>
      </c>
      <c r="I29" s="315">
        <f>IF(F29&lt;0,0,'Table 3 Levels 1&amp;2'!C31)</f>
        <v>0</v>
      </c>
      <c r="J29" s="312">
        <f t="shared" si="3"/>
        <v>0</v>
      </c>
      <c r="K29" s="313">
        <v>0</v>
      </c>
      <c r="L29" s="312">
        <f t="shared" si="4"/>
        <v>0</v>
      </c>
      <c r="M29" s="315">
        <f>'Table 3 Levels 1&amp;2'!C31</f>
        <v>4471</v>
      </c>
      <c r="N29" s="312">
        <f t="shared" si="5"/>
        <v>447100</v>
      </c>
      <c r="O29" s="312">
        <f t="shared" si="8"/>
        <v>2408716</v>
      </c>
      <c r="P29" s="309">
        <v>854.24999999999989</v>
      </c>
      <c r="Q29" s="312">
        <f>('Table 4 Level 3'!P29*('Table 8 2.1.12 MFP Funded'!G27+'Table 8 2.1.12 MFP Funded'!H27+'Table 8 2.1.12 MFP Funded'!I27+'Table 8 2.1.12 MFP Funded'!J27))+'Table 5C1A-Madison Prep'!G30+'Table 5C1B-DArbonne'!G30+'Table 5C1C-Intl_VIBE'!G30+'Table 5C1D-NOMMA'!G30+'Table 5C1E-LFNO'!G30+'Table 5C1F-Lake Charles Charter'!G30+'Table 5C2 - LA Virtual Admy'!G28+'Table 5C3 - LA Connections EBR'!G28</f>
        <v>3818497.4999999995</v>
      </c>
      <c r="R29" s="312">
        <f t="shared" si="9"/>
        <v>6227213.5</v>
      </c>
      <c r="T29" s="23">
        <f t="shared" si="10"/>
        <v>854.24999999999989</v>
      </c>
      <c r="U29" s="1234">
        <f>'Table 8 2.1.12 MFP Funded'!G27+'Table 8 2.1.12 MFP Funded'!H27+'Table 8 2.1.12 MFP Funded'!I27+'Table 8 2.1.12 MFP Funded'!J27</f>
        <v>4461</v>
      </c>
      <c r="V29" s="412">
        <f t="shared" si="11"/>
        <v>3810809.2499999995</v>
      </c>
    </row>
    <row r="30" spans="1:22">
      <c r="A30" s="102">
        <v>25</v>
      </c>
      <c r="B30" s="300" t="s">
        <v>126</v>
      </c>
      <c r="C30" s="323">
        <v>0</v>
      </c>
      <c r="D30" s="323">
        <v>0</v>
      </c>
      <c r="E30" s="323">
        <f t="shared" si="6"/>
        <v>0</v>
      </c>
      <c r="F30" s="324">
        <f>'[10]Table 4 Level 3'!F30+'[10]Table 4 Level 3'!H30</f>
        <v>0</v>
      </c>
      <c r="G30" s="324">
        <f t="shared" si="2"/>
        <v>0</v>
      </c>
      <c r="H30" s="324">
        <f t="shared" si="7"/>
        <v>0</v>
      </c>
      <c r="I30" s="322">
        <f>IF(F30&lt;0,0,'Table 3 Levels 1&amp;2'!C32)</f>
        <v>2226</v>
      </c>
      <c r="J30" s="319">
        <f t="shared" si="3"/>
        <v>95078</v>
      </c>
      <c r="K30" s="320">
        <v>0</v>
      </c>
      <c r="L30" s="319">
        <f t="shared" si="4"/>
        <v>0</v>
      </c>
      <c r="M30" s="322">
        <f>'Table 3 Levels 1&amp;2'!C32</f>
        <v>2226</v>
      </c>
      <c r="N30" s="319">
        <f t="shared" si="5"/>
        <v>222600</v>
      </c>
      <c r="O30" s="319">
        <f t="shared" si="8"/>
        <v>317678</v>
      </c>
      <c r="P30" s="318">
        <v>653.73</v>
      </c>
      <c r="Q30" s="319">
        <f>('Table 4 Level 3'!P30*('Table 8 2.1.12 MFP Funded'!G28+'Table 8 2.1.12 MFP Funded'!H28+'Table 8 2.1.12 MFP Funded'!I28+'Table 8 2.1.12 MFP Funded'!J28))+'Table 5C1A-Madison Prep'!G31+'Table 5C1B-DArbonne'!G31+'Table 5C1C-Intl_VIBE'!G31+'Table 5C1D-NOMMA'!G31+'Table 5C1E-LFNO'!G31+'Table 5C1F-Lake Charles Charter'!G31+'Table 5C2 - LA Virtual Admy'!G29+'Table 5C3 - LA Connections EBR'!G29</f>
        <v>1455072.2339999999</v>
      </c>
      <c r="R30" s="319">
        <f t="shared" si="9"/>
        <v>1772750.2339999999</v>
      </c>
      <c r="T30" s="23">
        <f t="shared" si="10"/>
        <v>653.73</v>
      </c>
      <c r="U30" s="1234">
        <f>'Table 8 2.1.12 MFP Funded'!G28+'Table 8 2.1.12 MFP Funded'!H28+'Table 8 2.1.12 MFP Funded'!I28+'Table 8 2.1.12 MFP Funded'!J28</f>
        <v>2224</v>
      </c>
      <c r="V30" s="412">
        <f t="shared" si="11"/>
        <v>1453895.52</v>
      </c>
    </row>
    <row r="31" spans="1:22">
      <c r="A31" s="101">
        <v>26</v>
      </c>
      <c r="B31" s="299" t="s">
        <v>127</v>
      </c>
      <c r="C31" s="316">
        <v>23386991</v>
      </c>
      <c r="D31" s="316">
        <v>14897747</v>
      </c>
      <c r="E31" s="316">
        <f t="shared" si="6"/>
        <v>8489244</v>
      </c>
      <c r="F31" s="317">
        <f>'[10]Table 4 Level 3'!F31+'[10]Table 4 Level 3'!H31</f>
        <v>-4244622</v>
      </c>
      <c r="G31" s="317">
        <f t="shared" si="2"/>
        <v>4244622</v>
      </c>
      <c r="H31" s="317">
        <f t="shared" si="7"/>
        <v>-848924</v>
      </c>
      <c r="I31" s="315">
        <f>IF(F31&lt;0,0,'Table 3 Levels 1&amp;2'!C33)</f>
        <v>0</v>
      </c>
      <c r="J31" s="312">
        <f t="shared" si="3"/>
        <v>0</v>
      </c>
      <c r="K31" s="313">
        <v>22</v>
      </c>
      <c r="L31" s="312">
        <f t="shared" si="4"/>
        <v>440000</v>
      </c>
      <c r="M31" s="315">
        <f>'Table 3 Levels 1&amp;2'!C33</f>
        <v>43806</v>
      </c>
      <c r="N31" s="312">
        <f t="shared" si="5"/>
        <v>4380600</v>
      </c>
      <c r="O31" s="312">
        <f t="shared" si="8"/>
        <v>23114045</v>
      </c>
      <c r="P31" s="309">
        <v>836.83</v>
      </c>
      <c r="Q31" s="312">
        <f>('Table 4 Level 3'!P31*('Table 8 2.1.12 MFP Funded'!G29+'Table 8 2.1.12 MFP Funded'!H29+'Table 8 2.1.12 MFP Funded'!I29+'Table 8 2.1.12 MFP Funded'!J29))+'Table 5C1A-Madison Prep'!G32+'Table 5C1B-DArbonne'!G32+'Table 5C1C-Intl_VIBE'!G32+'Table 5C1D-NOMMA'!G32+'Table 5C1E-LFNO'!G32+'Table 5C1F-Lake Charles Charter'!G32+'Table 5C2 - LA Virtual Admy'!G30+'Table 5C3 - LA Connections EBR'!G30</f>
        <v>36646375.677000016</v>
      </c>
      <c r="R31" s="312">
        <f t="shared" si="9"/>
        <v>59760420.677000016</v>
      </c>
      <c r="T31" s="23">
        <f t="shared" si="10"/>
        <v>836.83</v>
      </c>
      <c r="U31" s="1234">
        <f>'Table 8 2.1.12 MFP Funded'!G29+'Table 8 2.1.12 MFP Funded'!H29+'Table 8 2.1.12 MFP Funded'!I29+'Table 8 2.1.12 MFP Funded'!J29</f>
        <v>43581</v>
      </c>
      <c r="V31" s="412">
        <f t="shared" si="11"/>
        <v>36469888.230000004</v>
      </c>
    </row>
    <row r="32" spans="1:22">
      <c r="A32" s="101">
        <v>27</v>
      </c>
      <c r="B32" s="299" t="s">
        <v>128</v>
      </c>
      <c r="C32" s="316">
        <v>0</v>
      </c>
      <c r="D32" s="316">
        <v>0</v>
      </c>
      <c r="E32" s="316">
        <f t="shared" si="6"/>
        <v>0</v>
      </c>
      <c r="F32" s="317">
        <f>'[10]Table 4 Level 3'!F32+'[10]Table 4 Level 3'!H32</f>
        <v>0</v>
      </c>
      <c r="G32" s="317">
        <f t="shared" si="2"/>
        <v>0</v>
      </c>
      <c r="H32" s="317">
        <f t="shared" si="7"/>
        <v>0</v>
      </c>
      <c r="I32" s="315">
        <f>IF(F32&lt;0,0,'Table 3 Levels 1&amp;2'!C34)</f>
        <v>5612</v>
      </c>
      <c r="J32" s="312">
        <f t="shared" si="3"/>
        <v>239702</v>
      </c>
      <c r="K32" s="313">
        <v>0</v>
      </c>
      <c r="L32" s="312">
        <f t="shared" si="4"/>
        <v>0</v>
      </c>
      <c r="M32" s="315">
        <f>'Table 3 Levels 1&amp;2'!C34</f>
        <v>5612</v>
      </c>
      <c r="N32" s="312">
        <f t="shared" si="5"/>
        <v>561200</v>
      </c>
      <c r="O32" s="312">
        <f t="shared" si="8"/>
        <v>800902</v>
      </c>
      <c r="P32" s="309">
        <v>693.06</v>
      </c>
      <c r="Q32" s="312">
        <f>('Table 4 Level 3'!P32*('Table 8 2.1.12 MFP Funded'!G30+'Table 8 2.1.12 MFP Funded'!H30+'Table 8 2.1.12 MFP Funded'!I30+'Table 8 2.1.12 MFP Funded'!J30))+'Table 5C1A-Madison Prep'!G33+'Table 5C1B-DArbonne'!G33+'Table 5C1C-Intl_VIBE'!G33+'Table 5C1D-NOMMA'!G33+'Table 5C1E-LFNO'!G33+'Table 5C1F-Lake Charles Charter'!G33+'Table 5C2 - LA Virtual Admy'!G31+'Table 5C3 - LA Connections EBR'!G31</f>
        <v>3888690.3540000003</v>
      </c>
      <c r="R32" s="312">
        <f t="shared" si="9"/>
        <v>4689592.3540000003</v>
      </c>
      <c r="T32" s="23">
        <f t="shared" si="10"/>
        <v>693.06</v>
      </c>
      <c r="U32" s="1234">
        <f>'Table 8 2.1.12 MFP Funded'!G30+'Table 8 2.1.12 MFP Funded'!H30+'Table 8 2.1.12 MFP Funded'!I30+'Table 8 2.1.12 MFP Funded'!J30</f>
        <v>5597</v>
      </c>
      <c r="V32" s="412">
        <f t="shared" si="11"/>
        <v>3879056.82</v>
      </c>
    </row>
    <row r="33" spans="1:22">
      <c r="A33" s="101">
        <v>28</v>
      </c>
      <c r="B33" s="299" t="s">
        <v>129</v>
      </c>
      <c r="C33" s="316">
        <v>1996377</v>
      </c>
      <c r="D33" s="316">
        <v>1996377</v>
      </c>
      <c r="E33" s="316">
        <f t="shared" si="6"/>
        <v>0</v>
      </c>
      <c r="F33" s="317">
        <f>'[10]Table 4 Level 3'!F33+'[10]Table 4 Level 3'!H33</f>
        <v>0</v>
      </c>
      <c r="G33" s="317">
        <f t="shared" si="2"/>
        <v>0</v>
      </c>
      <c r="H33" s="317">
        <f t="shared" si="7"/>
        <v>0</v>
      </c>
      <c r="I33" s="315">
        <f>IF(F33&lt;0,0,'Table 3 Levels 1&amp;2'!C35)</f>
        <v>29640</v>
      </c>
      <c r="J33" s="312">
        <f t="shared" si="3"/>
        <v>1265994</v>
      </c>
      <c r="K33" s="313">
        <v>40</v>
      </c>
      <c r="L33" s="312">
        <f t="shared" si="4"/>
        <v>800000</v>
      </c>
      <c r="M33" s="315">
        <f>'Table 3 Levels 1&amp;2'!C35</f>
        <v>29640</v>
      </c>
      <c r="N33" s="312">
        <f t="shared" si="5"/>
        <v>2964000</v>
      </c>
      <c r="O33" s="312">
        <f t="shared" si="8"/>
        <v>7026371</v>
      </c>
      <c r="P33" s="309">
        <v>694.4</v>
      </c>
      <c r="Q33" s="312">
        <f>('Table 4 Level 3'!P33*('Table 8 2.1.12 MFP Funded'!G31+'Table 8 2.1.12 MFP Funded'!H31+'Table 8 2.1.12 MFP Funded'!I31+'Table 8 2.1.12 MFP Funded'!J31))+'Table 5C1A-Madison Prep'!G34+'Table 5C1B-DArbonne'!G34+'Table 5C1C-Intl_VIBE'!G34+'Table 5C1D-NOMMA'!G34+'Table 5C1E-LFNO'!G34+'Table 5C1F-Lake Charles Charter'!G34+'Table 5C2 - LA Virtual Admy'!G32+'Table 5C3 - LA Connections EBR'!G32</f>
        <v>20576738.559999995</v>
      </c>
      <c r="R33" s="312">
        <f t="shared" si="9"/>
        <v>27603109.559999995</v>
      </c>
      <c r="T33" s="23">
        <f t="shared" si="10"/>
        <v>694.4</v>
      </c>
      <c r="U33" s="1234">
        <f>'Table 8 2.1.12 MFP Funded'!G31+'Table 8 2.1.12 MFP Funded'!H31+'Table 8 2.1.12 MFP Funded'!I31+'Table 8 2.1.12 MFP Funded'!J31</f>
        <v>29564</v>
      </c>
      <c r="V33" s="412">
        <f t="shared" si="11"/>
        <v>20529241.599999998</v>
      </c>
    </row>
    <row r="34" spans="1:22">
      <c r="A34" s="101">
        <v>29</v>
      </c>
      <c r="B34" s="299" t="s">
        <v>130</v>
      </c>
      <c r="C34" s="316">
        <v>0</v>
      </c>
      <c r="D34" s="316">
        <v>0</v>
      </c>
      <c r="E34" s="316">
        <f t="shared" si="6"/>
        <v>0</v>
      </c>
      <c r="F34" s="317">
        <f>'[10]Table 4 Level 3'!F34+'[10]Table 4 Level 3'!H34</f>
        <v>0</v>
      </c>
      <c r="G34" s="317">
        <f t="shared" si="2"/>
        <v>0</v>
      </c>
      <c r="H34" s="317">
        <f t="shared" si="7"/>
        <v>0</v>
      </c>
      <c r="I34" s="315">
        <f>IF(F34&lt;0,0,'Table 3 Levels 1&amp;2'!C36)</f>
        <v>13531</v>
      </c>
      <c r="J34" s="312">
        <f t="shared" si="3"/>
        <v>577941</v>
      </c>
      <c r="K34" s="313">
        <v>27</v>
      </c>
      <c r="L34" s="312">
        <f t="shared" si="4"/>
        <v>540000</v>
      </c>
      <c r="M34" s="315">
        <f>'Table 3 Levels 1&amp;2'!C36</f>
        <v>13531</v>
      </c>
      <c r="N34" s="312">
        <f t="shared" si="5"/>
        <v>1353100</v>
      </c>
      <c r="O34" s="312">
        <f t="shared" si="8"/>
        <v>2471041</v>
      </c>
      <c r="P34" s="309">
        <v>754.94999999999993</v>
      </c>
      <c r="Q34" s="312">
        <f>('Table 4 Level 3'!P34*('Table 8 2.1.12 MFP Funded'!G32+'Table 8 2.1.12 MFP Funded'!H32+'Table 8 2.1.12 MFP Funded'!I32+'Table 8 2.1.12 MFP Funded'!J32))+'Table 5C1A-Madison Prep'!G35+'Table 5C1B-DArbonne'!G35+'Table 5C1C-Intl_VIBE'!G35+'Table 5C1D-NOMMA'!G35+'Table 5C1E-LFNO'!G35+'Table 5C1F-Lake Charles Charter'!G35+'Table 5C2 - LA Virtual Admy'!G33+'Table 5C3 - LA Connections EBR'!G33</f>
        <v>10213492.064999999</v>
      </c>
      <c r="R34" s="312">
        <f t="shared" si="9"/>
        <v>12684533.064999999</v>
      </c>
      <c r="T34" s="23">
        <f t="shared" si="10"/>
        <v>754.94999999999993</v>
      </c>
      <c r="U34" s="1234">
        <f>'Table 8 2.1.12 MFP Funded'!G32+'Table 8 2.1.12 MFP Funded'!H32+'Table 8 2.1.12 MFP Funded'!I32+'Table 8 2.1.12 MFP Funded'!J32</f>
        <v>13508</v>
      </c>
      <c r="V34" s="412">
        <f t="shared" si="11"/>
        <v>10197864.6</v>
      </c>
    </row>
    <row r="35" spans="1:22">
      <c r="A35" s="102">
        <v>30</v>
      </c>
      <c r="B35" s="300" t="s">
        <v>131</v>
      </c>
      <c r="C35" s="323">
        <v>0</v>
      </c>
      <c r="D35" s="323">
        <v>0</v>
      </c>
      <c r="E35" s="323">
        <f t="shared" si="6"/>
        <v>0</v>
      </c>
      <c r="F35" s="324">
        <f>'[10]Table 4 Level 3'!F35+'[10]Table 4 Level 3'!H35</f>
        <v>0</v>
      </c>
      <c r="G35" s="324">
        <f t="shared" si="2"/>
        <v>0</v>
      </c>
      <c r="H35" s="324">
        <f t="shared" si="7"/>
        <v>0</v>
      </c>
      <c r="I35" s="322">
        <f>IF(F35&lt;0,0,'Table 3 Levels 1&amp;2'!C37)</f>
        <v>2435</v>
      </c>
      <c r="J35" s="319">
        <f t="shared" si="3"/>
        <v>104005</v>
      </c>
      <c r="K35" s="320">
        <v>0</v>
      </c>
      <c r="L35" s="319">
        <f t="shared" si="4"/>
        <v>0</v>
      </c>
      <c r="M35" s="322">
        <f>'Table 3 Levels 1&amp;2'!C37</f>
        <v>2435</v>
      </c>
      <c r="N35" s="319">
        <f t="shared" si="5"/>
        <v>243500</v>
      </c>
      <c r="O35" s="319">
        <f t="shared" si="8"/>
        <v>347505</v>
      </c>
      <c r="P35" s="318">
        <v>727.17</v>
      </c>
      <c r="Q35" s="319">
        <f>('Table 4 Level 3'!P35*('Table 8 2.1.12 MFP Funded'!G33+'Table 8 2.1.12 MFP Funded'!H33+'Table 8 2.1.12 MFP Funded'!I33+'Table 8 2.1.12 MFP Funded'!J33))+'Table 5C1A-Madison Prep'!G36+'Table 5C1B-DArbonne'!G36+'Table 5C1C-Intl_VIBE'!G36+'Table 5C1D-NOMMA'!G36+'Table 5C1E-LFNO'!G36+'Table 5C1F-Lake Charles Charter'!G36+'Table 5C2 - LA Virtual Admy'!G34+'Table 5C3 - LA Connections EBR'!G34</f>
        <v>1770368.0819999997</v>
      </c>
      <c r="R35" s="319">
        <f t="shared" si="9"/>
        <v>2117873.0819999995</v>
      </c>
      <c r="T35" s="23">
        <f t="shared" si="10"/>
        <v>727.17</v>
      </c>
      <c r="U35" s="1234">
        <f>'Table 8 2.1.12 MFP Funded'!G33+'Table 8 2.1.12 MFP Funded'!H33+'Table 8 2.1.12 MFP Funded'!I33+'Table 8 2.1.12 MFP Funded'!J33</f>
        <v>2431</v>
      </c>
      <c r="V35" s="412">
        <f t="shared" si="11"/>
        <v>1767750.2699999998</v>
      </c>
    </row>
    <row r="36" spans="1:22">
      <c r="A36" s="101">
        <v>31</v>
      </c>
      <c r="B36" s="299" t="s">
        <v>132</v>
      </c>
      <c r="C36" s="316">
        <v>0</v>
      </c>
      <c r="D36" s="316">
        <v>0</v>
      </c>
      <c r="E36" s="316">
        <f t="shared" si="6"/>
        <v>0</v>
      </c>
      <c r="F36" s="317">
        <f>'[10]Table 4 Level 3'!F36+'[10]Table 4 Level 3'!H36</f>
        <v>0</v>
      </c>
      <c r="G36" s="317">
        <f t="shared" si="2"/>
        <v>0</v>
      </c>
      <c r="H36" s="317">
        <f t="shared" si="7"/>
        <v>0</v>
      </c>
      <c r="I36" s="315">
        <f>IF(F36&lt;0,0,'Table 3 Levels 1&amp;2'!C38)</f>
        <v>6456</v>
      </c>
      <c r="J36" s="312">
        <f t="shared" si="3"/>
        <v>275751</v>
      </c>
      <c r="K36" s="313">
        <v>0</v>
      </c>
      <c r="L36" s="312">
        <f t="shared" si="4"/>
        <v>0</v>
      </c>
      <c r="M36" s="315">
        <f>'Table 3 Levels 1&amp;2'!C38</f>
        <v>6456</v>
      </c>
      <c r="N36" s="312">
        <f t="shared" si="5"/>
        <v>645600</v>
      </c>
      <c r="O36" s="312">
        <f t="shared" si="8"/>
        <v>921351</v>
      </c>
      <c r="P36" s="309">
        <v>620.83000000000004</v>
      </c>
      <c r="Q36" s="312">
        <f>('Table 4 Level 3'!P36*('Table 8 2.1.12 MFP Funded'!G34+'Table 8 2.1.12 MFP Funded'!H34+'Table 8 2.1.12 MFP Funded'!I34+'Table 8 2.1.12 MFP Funded'!J34))+'Table 5C1A-Madison Prep'!G37+'Table 5C1B-DArbonne'!G37+'Table 5C1C-Intl_VIBE'!G37+'Table 5C1D-NOMMA'!G37+'Table 5C1E-LFNO'!G37+'Table 5C1F-Lake Charles Charter'!G37+'Table 5C2 - LA Virtual Admy'!G35+'Table 5C3 - LA Connections EBR'!G35</f>
        <v>4007892.2310000001</v>
      </c>
      <c r="R36" s="312">
        <f t="shared" si="9"/>
        <v>4929243.2310000006</v>
      </c>
      <c r="T36" s="23">
        <f t="shared" si="10"/>
        <v>620.83000000000004</v>
      </c>
      <c r="U36" s="1234">
        <f>'Table 8 2.1.12 MFP Funded'!G34+'Table 8 2.1.12 MFP Funded'!H34+'Table 8 2.1.12 MFP Funded'!I34+'Table 8 2.1.12 MFP Funded'!J34</f>
        <v>6451</v>
      </c>
      <c r="V36" s="412">
        <f t="shared" si="11"/>
        <v>4004974.33</v>
      </c>
    </row>
    <row r="37" spans="1:22">
      <c r="A37" s="101">
        <v>32</v>
      </c>
      <c r="B37" s="299" t="s">
        <v>133</v>
      </c>
      <c r="C37" s="316">
        <v>0</v>
      </c>
      <c r="D37" s="316">
        <v>0</v>
      </c>
      <c r="E37" s="316">
        <f t="shared" si="6"/>
        <v>0</v>
      </c>
      <c r="F37" s="317">
        <f>'[10]Table 4 Level 3'!F37+'[10]Table 4 Level 3'!H37</f>
        <v>0</v>
      </c>
      <c r="G37" s="317">
        <f t="shared" si="2"/>
        <v>0</v>
      </c>
      <c r="H37" s="317">
        <f t="shared" si="7"/>
        <v>0</v>
      </c>
      <c r="I37" s="315">
        <f>IF(F37&lt;0,0,'Table 3 Levels 1&amp;2'!C39)</f>
        <v>24424</v>
      </c>
      <c r="J37" s="312">
        <f t="shared" si="3"/>
        <v>1043206</v>
      </c>
      <c r="K37" s="313">
        <v>0</v>
      </c>
      <c r="L37" s="312">
        <f t="shared" si="4"/>
        <v>0</v>
      </c>
      <c r="M37" s="315">
        <f>'Table 3 Levels 1&amp;2'!C39</f>
        <v>24424</v>
      </c>
      <c r="N37" s="312">
        <f t="shared" si="5"/>
        <v>2442400</v>
      </c>
      <c r="O37" s="312">
        <f t="shared" si="8"/>
        <v>3485606</v>
      </c>
      <c r="P37" s="309">
        <v>559.77</v>
      </c>
      <c r="Q37" s="312">
        <f>('Table 4 Level 3'!P37*('Table 8 2.1.12 MFP Funded'!G35+'Table 8 2.1.12 MFP Funded'!H35+'Table 8 2.1.12 MFP Funded'!I35+'Table 8 2.1.12 MFP Funded'!J35))+'Table 5C1A-Madison Prep'!G38+'Table 5C1B-DArbonne'!G38+'Table 5C1C-Intl_VIBE'!G38+'Table 5C1D-NOMMA'!G38+'Table 5C1E-LFNO'!G38+'Table 5C1F-Lake Charles Charter'!G38+'Table 5C2 - LA Virtual Admy'!G36+'Table 5C3 - LA Connections EBR'!G36</f>
        <v>13667848.113</v>
      </c>
      <c r="R37" s="312">
        <f t="shared" si="9"/>
        <v>17153454.112999998</v>
      </c>
      <c r="T37" s="23">
        <f t="shared" si="10"/>
        <v>559.77</v>
      </c>
      <c r="U37" s="1234">
        <f>'Table 8 2.1.12 MFP Funded'!G35+'Table 8 2.1.12 MFP Funded'!H35+'Table 8 2.1.12 MFP Funded'!I35+'Table 8 2.1.12 MFP Funded'!J35</f>
        <v>24352</v>
      </c>
      <c r="V37" s="412">
        <f t="shared" si="11"/>
        <v>13631519.039999999</v>
      </c>
    </row>
    <row r="38" spans="1:22">
      <c r="A38" s="101">
        <v>33</v>
      </c>
      <c r="B38" s="299" t="s">
        <v>134</v>
      </c>
      <c r="C38" s="316">
        <v>0</v>
      </c>
      <c r="D38" s="316">
        <v>0</v>
      </c>
      <c r="E38" s="316">
        <f t="shared" si="6"/>
        <v>0</v>
      </c>
      <c r="F38" s="317">
        <f>'[10]Table 4 Level 3'!F38+'[10]Table 4 Level 3'!H38</f>
        <v>0</v>
      </c>
      <c r="G38" s="317">
        <f t="shared" ref="G38:G69" si="12">SUM(E38:F38)</f>
        <v>0</v>
      </c>
      <c r="H38" s="317">
        <f t="shared" si="7"/>
        <v>0</v>
      </c>
      <c r="I38" s="315">
        <f>IF(F38&lt;0,0,'Table 3 Levels 1&amp;2'!C40)</f>
        <v>1866</v>
      </c>
      <c r="J38" s="312">
        <f t="shared" ref="J38:J69" si="13">ROUND($J$4*I38,0)</f>
        <v>79701</v>
      </c>
      <c r="K38" s="313">
        <v>1</v>
      </c>
      <c r="L38" s="312">
        <f t="shared" ref="L38:L69" si="14">ROUND($L$4*K38,0)</f>
        <v>20000</v>
      </c>
      <c r="M38" s="315">
        <f>'Table 3 Levels 1&amp;2'!C40</f>
        <v>1866</v>
      </c>
      <c r="N38" s="312">
        <f t="shared" ref="N38:N69" si="15">ROUND(M38*$N$4,0)</f>
        <v>186600</v>
      </c>
      <c r="O38" s="312">
        <f t="shared" si="8"/>
        <v>286301</v>
      </c>
      <c r="P38" s="309">
        <v>655.31000000000006</v>
      </c>
      <c r="Q38" s="312">
        <f>('Table 4 Level 3'!P38*('Table 8 2.1.12 MFP Funded'!G36+'Table 8 2.1.12 MFP Funded'!H36+'Table 8 2.1.12 MFP Funded'!I36+'Table 8 2.1.12 MFP Funded'!J36))+'Table 5C1A-Madison Prep'!G39+'Table 5C1B-DArbonne'!G39+'Table 5C1C-Intl_VIBE'!G39+'Table 5C1D-NOMMA'!G39+'Table 5C1E-LFNO'!G39+'Table 5C1F-Lake Charles Charter'!G39+'Table 5C2 - LA Virtual Admy'!G37+'Table 5C3 - LA Connections EBR'!G37</f>
        <v>1222480.8050000002</v>
      </c>
      <c r="R38" s="312">
        <f t="shared" si="9"/>
        <v>1508781.8050000002</v>
      </c>
      <c r="T38" s="23">
        <f t="shared" si="10"/>
        <v>655.31000000000006</v>
      </c>
      <c r="U38" s="1234">
        <f>'Table 8 2.1.12 MFP Funded'!G36+'Table 8 2.1.12 MFP Funded'!H36+'Table 8 2.1.12 MFP Funded'!I36+'Table 8 2.1.12 MFP Funded'!J36</f>
        <v>1861</v>
      </c>
      <c r="V38" s="412">
        <f t="shared" si="11"/>
        <v>1219531.9100000001</v>
      </c>
    </row>
    <row r="39" spans="1:22">
      <c r="A39" s="101">
        <v>34</v>
      </c>
      <c r="B39" s="299" t="s">
        <v>135</v>
      </c>
      <c r="C39" s="316">
        <v>0</v>
      </c>
      <c r="D39" s="316">
        <v>0</v>
      </c>
      <c r="E39" s="316">
        <f t="shared" si="6"/>
        <v>0</v>
      </c>
      <c r="F39" s="317">
        <f>'[10]Table 4 Level 3'!F39+'[10]Table 4 Level 3'!H39</f>
        <v>0</v>
      </c>
      <c r="G39" s="317">
        <f t="shared" si="12"/>
        <v>0</v>
      </c>
      <c r="H39" s="317">
        <f t="shared" si="7"/>
        <v>0</v>
      </c>
      <c r="I39" s="315">
        <f>IF(F39&lt;0,0,'Table 3 Levels 1&amp;2'!C41)</f>
        <v>4326</v>
      </c>
      <c r="J39" s="312">
        <f t="shared" si="13"/>
        <v>184774</v>
      </c>
      <c r="K39" s="313">
        <v>0</v>
      </c>
      <c r="L39" s="312">
        <f t="shared" si="14"/>
        <v>0</v>
      </c>
      <c r="M39" s="315">
        <f>'Table 3 Levels 1&amp;2'!C41</f>
        <v>4326</v>
      </c>
      <c r="N39" s="312">
        <f t="shared" si="15"/>
        <v>432600</v>
      </c>
      <c r="O39" s="312">
        <f t="shared" si="8"/>
        <v>617374</v>
      </c>
      <c r="P39" s="309">
        <v>644.11000000000013</v>
      </c>
      <c r="Q39" s="312">
        <f>('Table 4 Level 3'!P39*('Table 8 2.1.12 MFP Funded'!G37+'Table 8 2.1.12 MFP Funded'!H37+'Table 8 2.1.12 MFP Funded'!I37+'Table 8 2.1.12 MFP Funded'!J37))+'Table 5C1A-Madison Prep'!G40+'Table 5C1B-DArbonne'!G40+'Table 5C1C-Intl_VIBE'!G40+'Table 5C1D-NOMMA'!G40+'Table 5C1E-LFNO'!G40+'Table 5C1F-Lake Charles Charter'!G40+'Table 5C2 - LA Virtual Admy'!G38+'Table 5C3 - LA Connections EBR'!G38</f>
        <v>2785518.1060000006</v>
      </c>
      <c r="R39" s="312">
        <f t="shared" si="9"/>
        <v>3402892.1060000006</v>
      </c>
      <c r="T39" s="23">
        <f t="shared" si="10"/>
        <v>644.11000000000013</v>
      </c>
      <c r="U39" s="1234">
        <f>'Table 8 2.1.12 MFP Funded'!G37+'Table 8 2.1.12 MFP Funded'!H37+'Table 8 2.1.12 MFP Funded'!I37+'Table 8 2.1.12 MFP Funded'!J37</f>
        <v>4312</v>
      </c>
      <c r="V39" s="412">
        <f t="shared" si="11"/>
        <v>2777402.3200000008</v>
      </c>
    </row>
    <row r="40" spans="1:22">
      <c r="A40" s="102">
        <v>35</v>
      </c>
      <c r="B40" s="300" t="s">
        <v>136</v>
      </c>
      <c r="C40" s="323">
        <v>0</v>
      </c>
      <c r="D40" s="323">
        <v>0</v>
      </c>
      <c r="E40" s="323">
        <f t="shared" si="6"/>
        <v>0</v>
      </c>
      <c r="F40" s="324">
        <f>'[10]Table 4 Level 3'!F40+'[10]Table 4 Level 3'!H40</f>
        <v>0</v>
      </c>
      <c r="G40" s="324">
        <f t="shared" si="12"/>
        <v>0</v>
      </c>
      <c r="H40" s="324">
        <f t="shared" si="7"/>
        <v>0</v>
      </c>
      <c r="I40" s="322">
        <f>IF(F40&lt;0,0,'Table 3 Levels 1&amp;2'!C42)</f>
        <v>6458</v>
      </c>
      <c r="J40" s="319">
        <f t="shared" si="13"/>
        <v>275836</v>
      </c>
      <c r="K40" s="320">
        <v>0</v>
      </c>
      <c r="L40" s="319">
        <f t="shared" si="14"/>
        <v>0</v>
      </c>
      <c r="M40" s="322">
        <f>'Table 3 Levels 1&amp;2'!C42</f>
        <v>6458</v>
      </c>
      <c r="N40" s="319">
        <f t="shared" si="15"/>
        <v>645800</v>
      </c>
      <c r="O40" s="319">
        <f t="shared" si="8"/>
        <v>921636</v>
      </c>
      <c r="P40" s="318">
        <v>537.96</v>
      </c>
      <c r="Q40" s="319">
        <f>('Table 4 Level 3'!P40*('Table 8 2.1.12 MFP Funded'!G38+'Table 8 2.1.12 MFP Funded'!H38+'Table 8 2.1.12 MFP Funded'!I38+'Table 8 2.1.12 MFP Funded'!J38))+'Table 5C1A-Madison Prep'!G41+'Table 5C1B-DArbonne'!G41+'Table 5C1C-Intl_VIBE'!G41+'Table 5C1D-NOMMA'!G41+'Table 5C1E-LFNO'!G41+'Table 5C1F-Lake Charles Charter'!G41+'Table 5C2 - LA Virtual Admy'!G39+'Table 5C3 - LA Connections EBR'!G39</f>
        <v>3473015.9640000002</v>
      </c>
      <c r="R40" s="319">
        <f t="shared" si="9"/>
        <v>4394651.9639999997</v>
      </c>
      <c r="T40" s="23">
        <f t="shared" si="10"/>
        <v>537.96</v>
      </c>
      <c r="U40" s="1234">
        <f>'Table 8 2.1.12 MFP Funded'!G38+'Table 8 2.1.12 MFP Funded'!H38+'Table 8 2.1.12 MFP Funded'!I38+'Table 8 2.1.12 MFP Funded'!J38</f>
        <v>6437</v>
      </c>
      <c r="V40" s="412">
        <f t="shared" si="11"/>
        <v>3462848.52</v>
      </c>
    </row>
    <row r="41" spans="1:22">
      <c r="A41" s="101">
        <v>36</v>
      </c>
      <c r="B41" s="299" t="s">
        <v>137</v>
      </c>
      <c r="C41" s="316">
        <v>0</v>
      </c>
      <c r="D41" s="316">
        <v>0</v>
      </c>
      <c r="E41" s="316">
        <f t="shared" si="6"/>
        <v>0</v>
      </c>
      <c r="F41" s="317">
        <f>'[10]Table 4 Level 3'!F41+'[10]Table 4 Level 3'!H41</f>
        <v>0</v>
      </c>
      <c r="G41" s="317">
        <f t="shared" si="12"/>
        <v>0</v>
      </c>
      <c r="H41" s="330">
        <f t="shared" si="7"/>
        <v>0</v>
      </c>
      <c r="I41" s="328">
        <f>IF(F41&lt;0,0,'Table 3 Levels 1&amp;2'!C43)</f>
        <v>41738</v>
      </c>
      <c r="J41" s="312">
        <f t="shared" si="13"/>
        <v>1782728</v>
      </c>
      <c r="K41" s="313">
        <v>26</v>
      </c>
      <c r="L41" s="312">
        <f t="shared" si="14"/>
        <v>520000</v>
      </c>
      <c r="M41" s="315">
        <f>'Table 3 Levels 1&amp;2'!C43</f>
        <v>41738</v>
      </c>
      <c r="N41" s="312">
        <f t="shared" si="15"/>
        <v>4173800</v>
      </c>
      <c r="O41" s="312">
        <f t="shared" si="8"/>
        <v>6476528</v>
      </c>
      <c r="P41" s="309">
        <f>'Table 5B1_RSD_Orleans'!F7</f>
        <v>727.23177743956114</v>
      </c>
      <c r="Q41" s="1341">
        <f>'Table 5C1A-Madison Prep'!G42+'Table 5C1B-DArbonne'!G42+'Table 5C1C-Intl_VIBE'!G42+'Table 5C1D-NOMMA'!G42+'Table 5C1E-LFNO'!G42+'Table 5C1F-Lake Charles Charter'!G42+'Table 5C2 - LA Virtual Admy'!G40+'Table 5C3 - LA Connections EBR'!G40+'Table 5B1_RSD_Orleans'!G72+Q87</f>
        <v>30862713.695378512</v>
      </c>
      <c r="R41" s="312">
        <f>O41+Q41</f>
        <v>37339241.695378512</v>
      </c>
      <c r="T41" s="1275">
        <f>'Table 5B1_RSD_Orleans'!F7</f>
        <v>727.23177743956114</v>
      </c>
      <c r="U41" s="1273">
        <f>'Table 8 2.1.12 MFP Funded'!G39</f>
        <v>10644</v>
      </c>
      <c r="V41" s="1274">
        <f t="shared" si="11"/>
        <v>7740655.0390666891</v>
      </c>
    </row>
    <row r="42" spans="1:22">
      <c r="A42" s="101">
        <v>37</v>
      </c>
      <c r="B42" s="299" t="s">
        <v>138</v>
      </c>
      <c r="C42" s="316">
        <v>0</v>
      </c>
      <c r="D42" s="316">
        <v>0</v>
      </c>
      <c r="E42" s="316">
        <f t="shared" si="6"/>
        <v>0</v>
      </c>
      <c r="F42" s="317">
        <f>'[10]Table 4 Level 3'!F42+'[10]Table 4 Level 3'!H42</f>
        <v>0</v>
      </c>
      <c r="G42" s="317">
        <f t="shared" si="12"/>
        <v>0</v>
      </c>
      <c r="H42" s="317">
        <f t="shared" si="7"/>
        <v>0</v>
      </c>
      <c r="I42" s="315">
        <f>IF(F42&lt;0,0,'Table 3 Levels 1&amp;2'!C44)</f>
        <v>19261</v>
      </c>
      <c r="J42" s="312">
        <f t="shared" si="13"/>
        <v>822682</v>
      </c>
      <c r="K42" s="313">
        <v>1</v>
      </c>
      <c r="L42" s="312">
        <f t="shared" si="14"/>
        <v>20000</v>
      </c>
      <c r="M42" s="315">
        <f>'Table 3 Levels 1&amp;2'!C44</f>
        <v>19261</v>
      </c>
      <c r="N42" s="312">
        <f t="shared" si="15"/>
        <v>1926100</v>
      </c>
      <c r="O42" s="312">
        <f t="shared" si="8"/>
        <v>2768782</v>
      </c>
      <c r="P42" s="309">
        <v>653.61</v>
      </c>
      <c r="Q42" s="312">
        <f>('Table 4 Level 3'!P42*('Table 8 2.1.12 MFP Funded'!G40+'Table 8 2.1.12 MFP Funded'!H40+'Table 8 2.1.12 MFP Funded'!I40+'Table 8 2.1.12 MFP Funded'!J40))+'Table 5C1A-Madison Prep'!G43+'Table 5C1B-DArbonne'!G43+'Table 5C1C-Intl_VIBE'!G43+'Table 5C1D-NOMMA'!G43+'Table 5C1E-LFNO'!G43+'Table 5C1F-Lake Charles Charter'!G43+'Table 5C2 - LA Virtual Admy'!G41+'Table 5C3 - LA Connections EBR'!G41</f>
        <v>12587025.297</v>
      </c>
      <c r="R42" s="312">
        <f t="shared" si="9"/>
        <v>15355807.297</v>
      </c>
      <c r="T42" s="23">
        <f>P42</f>
        <v>653.61</v>
      </c>
      <c r="U42" s="1234">
        <f>'Table 8 2.1.12 MFP Funded'!G40+'Table 8 2.1.12 MFP Funded'!H40+'Table 8 2.1.12 MFP Funded'!I40+'Table 8 2.1.12 MFP Funded'!J40</f>
        <v>19222</v>
      </c>
      <c r="V42" s="412">
        <f t="shared" si="11"/>
        <v>12563691.42</v>
      </c>
    </row>
    <row r="43" spans="1:22">
      <c r="A43" s="101">
        <v>38</v>
      </c>
      <c r="B43" s="299" t="s">
        <v>139</v>
      </c>
      <c r="C43" s="316">
        <v>5387703</v>
      </c>
      <c r="D43" s="316">
        <v>1258024</v>
      </c>
      <c r="E43" s="316">
        <f t="shared" si="6"/>
        <v>4129679</v>
      </c>
      <c r="F43" s="317">
        <f>'[10]Table 4 Level 3'!F43+'[10]Table 4 Level 3'!H43</f>
        <v>-2064840</v>
      </c>
      <c r="G43" s="440">
        <f t="shared" si="12"/>
        <v>2064839</v>
      </c>
      <c r="H43" s="317">
        <f t="shared" si="7"/>
        <v>-412968</v>
      </c>
      <c r="I43" s="315">
        <f>IF(F43&lt;0,0,'Table 3 Levels 1&amp;2'!C45)</f>
        <v>0</v>
      </c>
      <c r="J43" s="312">
        <f t="shared" si="13"/>
        <v>0</v>
      </c>
      <c r="K43" s="313">
        <v>2</v>
      </c>
      <c r="L43" s="312">
        <f t="shared" si="14"/>
        <v>40000</v>
      </c>
      <c r="M43" s="315">
        <f>'Table 3 Levels 1&amp;2'!C45</f>
        <v>3759</v>
      </c>
      <c r="N43" s="312">
        <f t="shared" si="15"/>
        <v>375900</v>
      </c>
      <c r="O43" s="312">
        <f t="shared" si="8"/>
        <v>3325795</v>
      </c>
      <c r="P43" s="309">
        <v>829.92000000000007</v>
      </c>
      <c r="Q43" s="312">
        <f>('Table 4 Level 3'!P43*('Table 8 2.1.12 MFP Funded'!G41+'Table 8 2.1.12 MFP Funded'!H41+'Table 8 2.1.12 MFP Funded'!I41+'Table 8 2.1.12 MFP Funded'!J41))+'Table 5C1A-Madison Prep'!G44+'Table 5C1B-DArbonne'!G44+'Table 5C1C-Intl_VIBE'!G44+'Table 5C1D-NOMMA'!G44+'Table 5C1E-LFNO'!G44+'Table 5C1F-Lake Charles Charter'!G44+'Table 5C2 - LA Virtual Admy'!G42+'Table 5C3 - LA Connections EBR'!G42</f>
        <v>3119337.3120000004</v>
      </c>
      <c r="R43" s="312">
        <f t="shared" si="9"/>
        <v>6445132.3120000008</v>
      </c>
      <c r="T43" s="23">
        <f t="shared" ref="T43:T74" si="16">P43</f>
        <v>829.92000000000007</v>
      </c>
      <c r="U43" s="1234">
        <f>'Table 8 2.1.12 MFP Funded'!G41+'Table 8 2.1.12 MFP Funded'!H41+'Table 8 2.1.12 MFP Funded'!I41+'Table 8 2.1.12 MFP Funded'!J41</f>
        <v>3750</v>
      </c>
      <c r="V43" s="412">
        <f t="shared" si="11"/>
        <v>3112200.0000000005</v>
      </c>
    </row>
    <row r="44" spans="1:22">
      <c r="A44" s="101">
        <v>39</v>
      </c>
      <c r="B44" s="299" t="s">
        <v>140</v>
      </c>
      <c r="C44" s="316">
        <v>324688</v>
      </c>
      <c r="D44" s="316">
        <v>324688</v>
      </c>
      <c r="E44" s="316">
        <f t="shared" si="6"/>
        <v>0</v>
      </c>
      <c r="F44" s="317">
        <f>'[10]Table 4 Level 3'!F44+'[10]Table 4 Level 3'!H44</f>
        <v>0</v>
      </c>
      <c r="G44" s="317">
        <f t="shared" si="12"/>
        <v>0</v>
      </c>
      <c r="H44" s="317">
        <f t="shared" si="7"/>
        <v>0</v>
      </c>
      <c r="I44" s="315">
        <f>IF(F44&lt;0,0,'Table 3 Levels 1&amp;2'!C46)</f>
        <v>2872</v>
      </c>
      <c r="J44" s="312">
        <f t="shared" si="13"/>
        <v>122670</v>
      </c>
      <c r="K44" s="313">
        <v>1</v>
      </c>
      <c r="L44" s="312">
        <f t="shared" si="14"/>
        <v>20000</v>
      </c>
      <c r="M44" s="315">
        <f>'Table 3 Levels 1&amp;2'!C46</f>
        <v>2872</v>
      </c>
      <c r="N44" s="312">
        <f t="shared" si="15"/>
        <v>287200</v>
      </c>
      <c r="O44" s="312">
        <f t="shared" si="8"/>
        <v>754558</v>
      </c>
      <c r="P44" s="309">
        <f>'Table 5B2_RSD_LA'!F21</f>
        <v>779.65573042776441</v>
      </c>
      <c r="Q44" s="312">
        <f>('Table 4 Level 3'!P44*('Table 8 2.1.12 MFP Funded'!G42+'Table 8 2.1.12 MFP Funded'!H42+'Table 8 2.1.12 MFP Funded'!I42+'Table 8 2.1.12 MFP Funded'!J42))+'Table 5C1A-Madison Prep'!G45+'Table 5C1B-DArbonne'!G45+'Table 5C1C-Intl_VIBE'!G45+'Table 5C1D-NOMMA'!G45+'Table 5C1E-LFNO'!G45+'Table 5C1F-Lake Charles Charter'!G45+'Table 5C2 - LA Virtual Admy'!G43+'Table 5C3 - LA Connections EBR'!G43</f>
        <v>2238157.7053389833</v>
      </c>
      <c r="R44" s="312">
        <f t="shared" si="9"/>
        <v>2992715.7053389833</v>
      </c>
      <c r="T44" s="23">
        <f t="shared" si="16"/>
        <v>779.65573042776441</v>
      </c>
      <c r="U44" s="1234">
        <f>'Table 8 2.1.12 MFP Funded'!G42+'Table 8 2.1.12 MFP Funded'!H42+'Table 8 2.1.12 MFP Funded'!I42+'Table 8 2.1.12 MFP Funded'!J42</f>
        <v>2859</v>
      </c>
      <c r="V44" s="412">
        <f t="shared" si="11"/>
        <v>2229035.7332929783</v>
      </c>
    </row>
    <row r="45" spans="1:22">
      <c r="A45" s="102">
        <v>40</v>
      </c>
      <c r="B45" s="300" t="s">
        <v>141</v>
      </c>
      <c r="C45" s="323">
        <v>0</v>
      </c>
      <c r="D45" s="323">
        <v>0</v>
      </c>
      <c r="E45" s="323">
        <f t="shared" si="6"/>
        <v>0</v>
      </c>
      <c r="F45" s="324">
        <f>'[10]Table 4 Level 3'!F45+'[10]Table 4 Level 3'!H45</f>
        <v>0</v>
      </c>
      <c r="G45" s="324">
        <f t="shared" si="12"/>
        <v>0</v>
      </c>
      <c r="H45" s="324">
        <f t="shared" si="7"/>
        <v>0</v>
      </c>
      <c r="I45" s="322">
        <f>IF(F45&lt;0,0,'Table 3 Levels 1&amp;2'!C47)</f>
        <v>22989</v>
      </c>
      <c r="J45" s="319">
        <f t="shared" si="13"/>
        <v>981914</v>
      </c>
      <c r="K45" s="320">
        <v>0</v>
      </c>
      <c r="L45" s="319">
        <f t="shared" si="14"/>
        <v>0</v>
      </c>
      <c r="M45" s="322">
        <f>'Table 3 Levels 1&amp;2'!C47</f>
        <v>22989</v>
      </c>
      <c r="N45" s="319">
        <f t="shared" si="15"/>
        <v>2298900</v>
      </c>
      <c r="O45" s="319">
        <f t="shared" si="8"/>
        <v>3280814</v>
      </c>
      <c r="P45" s="318">
        <v>700.2700000000001</v>
      </c>
      <c r="Q45" s="319">
        <f>('Table 4 Level 3'!P45*('Table 8 2.1.12 MFP Funded'!G43+'Table 8 2.1.12 MFP Funded'!H43+'Table 8 2.1.12 MFP Funded'!I43+'Table 8 2.1.12 MFP Funded'!J43))+'Table 5C1A-Madison Prep'!G46+'Table 5C1B-DArbonne'!G46+'Table 5C1C-Intl_VIBE'!G46+'Table 5C1D-NOMMA'!G46+'Table 5C1E-LFNO'!G46+'Table 5C1F-Lake Charles Charter'!G46+'Table 5C2 - LA Virtual Admy'!G44+'Table 5C3 - LA Connections EBR'!G44</f>
        <v>16094655.545000002</v>
      </c>
      <c r="R45" s="319">
        <f t="shared" si="9"/>
        <v>19375469.545000002</v>
      </c>
      <c r="T45" s="23">
        <f t="shared" si="16"/>
        <v>700.2700000000001</v>
      </c>
      <c r="U45" s="1234">
        <f>'Table 8 2.1.12 MFP Funded'!G43+'Table 8 2.1.12 MFP Funded'!H43+'Table 8 2.1.12 MFP Funded'!I43+'Table 8 2.1.12 MFP Funded'!J43</f>
        <v>22934</v>
      </c>
      <c r="V45" s="412">
        <f t="shared" si="11"/>
        <v>16059992.180000002</v>
      </c>
    </row>
    <row r="46" spans="1:22">
      <c r="A46" s="101">
        <v>41</v>
      </c>
      <c r="B46" s="299" t="s">
        <v>142</v>
      </c>
      <c r="C46" s="316">
        <v>0</v>
      </c>
      <c r="D46" s="316">
        <v>0</v>
      </c>
      <c r="E46" s="316">
        <f t="shared" si="6"/>
        <v>0</v>
      </c>
      <c r="F46" s="317">
        <f>'[10]Table 4 Level 3'!F46+'[10]Table 4 Level 3'!H46</f>
        <v>0</v>
      </c>
      <c r="G46" s="317">
        <f t="shared" si="12"/>
        <v>0</v>
      </c>
      <c r="H46" s="317">
        <f t="shared" si="7"/>
        <v>0</v>
      </c>
      <c r="I46" s="315">
        <f>IF(F46&lt;0,0,'Table 3 Levels 1&amp;2'!C48)</f>
        <v>1404</v>
      </c>
      <c r="J46" s="312">
        <f t="shared" si="13"/>
        <v>59968</v>
      </c>
      <c r="K46" s="313">
        <v>0</v>
      </c>
      <c r="L46" s="312">
        <f t="shared" si="14"/>
        <v>0</v>
      </c>
      <c r="M46" s="315">
        <f>'Table 3 Levels 1&amp;2'!C48</f>
        <v>1404</v>
      </c>
      <c r="N46" s="312">
        <f t="shared" si="15"/>
        <v>140400</v>
      </c>
      <c r="O46" s="312">
        <f t="shared" si="8"/>
        <v>200368</v>
      </c>
      <c r="P46" s="309">
        <v>886.22</v>
      </c>
      <c r="Q46" s="312">
        <f>('Table 4 Level 3'!P46*('Table 8 2.1.12 MFP Funded'!G44+'Table 8 2.1.12 MFP Funded'!H44+'Table 8 2.1.12 MFP Funded'!I44+'Table 8 2.1.12 MFP Funded'!J44))+'Table 5C1A-Madison Prep'!G47+'Table 5C1B-DArbonne'!G47+'Table 5C1C-Intl_VIBE'!G47+'Table 5C1D-NOMMA'!G47+'Table 5C1E-LFNO'!G47+'Table 5C1F-Lake Charles Charter'!G47+'Table 5C2 - LA Virtual Admy'!G45+'Table 5C3 - LA Connections EBR'!G45</f>
        <v>1243987.014</v>
      </c>
      <c r="R46" s="312">
        <f t="shared" si="9"/>
        <v>1444355.014</v>
      </c>
      <c r="T46" s="23">
        <f t="shared" si="16"/>
        <v>886.22</v>
      </c>
      <c r="U46" s="1234">
        <f>'Table 8 2.1.12 MFP Funded'!G44+'Table 8 2.1.12 MFP Funded'!H44+'Table 8 2.1.12 MFP Funded'!I44+'Table 8 2.1.12 MFP Funded'!J44</f>
        <v>1401</v>
      </c>
      <c r="V46" s="412">
        <f t="shared" si="11"/>
        <v>1241594.22</v>
      </c>
    </row>
    <row r="47" spans="1:22">
      <c r="A47" s="101">
        <v>42</v>
      </c>
      <c r="B47" s="299" t="s">
        <v>143</v>
      </c>
      <c r="C47" s="316">
        <v>0</v>
      </c>
      <c r="D47" s="316">
        <v>0</v>
      </c>
      <c r="E47" s="316">
        <f t="shared" si="6"/>
        <v>0</v>
      </c>
      <c r="F47" s="317">
        <f>'[10]Table 4 Level 3'!F47+'[10]Table 4 Level 3'!H47</f>
        <v>0</v>
      </c>
      <c r="G47" s="317">
        <f t="shared" si="12"/>
        <v>0</v>
      </c>
      <c r="H47" s="317">
        <f t="shared" si="7"/>
        <v>0</v>
      </c>
      <c r="I47" s="315">
        <f>IF(F47&lt;0,0,'Table 3 Levels 1&amp;2'!C49)</f>
        <v>3435</v>
      </c>
      <c r="J47" s="312">
        <f t="shared" si="13"/>
        <v>146717</v>
      </c>
      <c r="K47" s="313">
        <v>0</v>
      </c>
      <c r="L47" s="312">
        <f t="shared" si="14"/>
        <v>0</v>
      </c>
      <c r="M47" s="315">
        <f>'Table 3 Levels 1&amp;2'!C49</f>
        <v>3435</v>
      </c>
      <c r="N47" s="312">
        <f t="shared" si="15"/>
        <v>343500</v>
      </c>
      <c r="O47" s="312">
        <f t="shared" si="8"/>
        <v>490217</v>
      </c>
      <c r="P47" s="309">
        <v>534.28</v>
      </c>
      <c r="Q47" s="312">
        <f>('Table 4 Level 3'!P47*('Table 8 2.1.12 MFP Funded'!G45+'Table 8 2.1.12 MFP Funded'!H45+'Table 8 2.1.12 MFP Funded'!I45+'Table 8 2.1.12 MFP Funded'!J45))+'Table 5C1A-Madison Prep'!G48+'Table 5C1B-DArbonne'!G48+'Table 5C1C-Intl_VIBE'!G48+'Table 5C1D-NOMMA'!G48+'Table 5C1E-LFNO'!G48+'Table 5C1F-Lake Charles Charter'!G48+'Table 5C2 - LA Virtual Admy'!G46+'Table 5C3 - LA Connections EBR'!G46</f>
        <v>1834664.0919999999</v>
      </c>
      <c r="R47" s="312">
        <f t="shared" si="9"/>
        <v>2324881.0920000002</v>
      </c>
      <c r="T47" s="23">
        <f t="shared" si="16"/>
        <v>534.28</v>
      </c>
      <c r="U47" s="1234">
        <f>'Table 8 2.1.12 MFP Funded'!G45+'Table 8 2.1.12 MFP Funded'!H45+'Table 8 2.1.12 MFP Funded'!I45+'Table 8 2.1.12 MFP Funded'!J45</f>
        <v>3424</v>
      </c>
      <c r="V47" s="412">
        <f t="shared" si="11"/>
        <v>1829374.72</v>
      </c>
    </row>
    <row r="48" spans="1:22">
      <c r="A48" s="101">
        <v>43</v>
      </c>
      <c r="B48" s="299" t="s">
        <v>144</v>
      </c>
      <c r="C48" s="316">
        <v>0</v>
      </c>
      <c r="D48" s="316">
        <v>0</v>
      </c>
      <c r="E48" s="316">
        <f t="shared" si="6"/>
        <v>0</v>
      </c>
      <c r="F48" s="317">
        <f>'[10]Table 4 Level 3'!F48+'[10]Table 4 Level 3'!H48</f>
        <v>0</v>
      </c>
      <c r="G48" s="317">
        <f t="shared" si="12"/>
        <v>0</v>
      </c>
      <c r="H48" s="317">
        <f t="shared" si="7"/>
        <v>0</v>
      </c>
      <c r="I48" s="315">
        <f>IF(F48&lt;0,0,'Table 3 Levels 1&amp;2'!C50)</f>
        <v>3986</v>
      </c>
      <c r="J48" s="312">
        <f t="shared" si="13"/>
        <v>170251</v>
      </c>
      <c r="K48" s="313">
        <v>0</v>
      </c>
      <c r="L48" s="312">
        <f t="shared" si="14"/>
        <v>0</v>
      </c>
      <c r="M48" s="315">
        <f>'Table 3 Levels 1&amp;2'!C50</f>
        <v>3986</v>
      </c>
      <c r="N48" s="312">
        <f t="shared" si="15"/>
        <v>398600</v>
      </c>
      <c r="O48" s="312">
        <f t="shared" si="8"/>
        <v>568851</v>
      </c>
      <c r="P48" s="309">
        <v>574.6099999999999</v>
      </c>
      <c r="Q48" s="312">
        <f>('Table 4 Level 3'!P48*('Table 8 2.1.12 MFP Funded'!G46+'Table 8 2.1.12 MFP Funded'!H46+'Table 8 2.1.12 MFP Funded'!I46+'Table 8 2.1.12 MFP Funded'!J46))+'Table 5C1A-Madison Prep'!G49+'Table 5C1B-DArbonne'!G49+'Table 5C1C-Intl_VIBE'!G49+'Table 5C1D-NOMMA'!G49+'Table 5C1E-LFNO'!G49+'Table 5C1F-Lake Charles Charter'!G49+'Table 5C2 - LA Virtual Admy'!G47+'Table 5C3 - LA Connections EBR'!G47</f>
        <v>2289188.7789999992</v>
      </c>
      <c r="R48" s="312">
        <f t="shared" si="9"/>
        <v>2858039.7789999992</v>
      </c>
      <c r="T48" s="23">
        <f t="shared" si="16"/>
        <v>574.6099999999999</v>
      </c>
      <c r="U48" s="1234">
        <f>'Table 8 2.1.12 MFP Funded'!G46+'Table 8 2.1.12 MFP Funded'!H46+'Table 8 2.1.12 MFP Funded'!I46+'Table 8 2.1.12 MFP Funded'!J46</f>
        <v>3965</v>
      </c>
      <c r="V48" s="412">
        <f t="shared" si="11"/>
        <v>2278328.6499999994</v>
      </c>
    </row>
    <row r="49" spans="1:22">
      <c r="A49" s="101">
        <v>44</v>
      </c>
      <c r="B49" s="299" t="s">
        <v>145</v>
      </c>
      <c r="C49" s="316">
        <v>0</v>
      </c>
      <c r="D49" s="316">
        <v>0</v>
      </c>
      <c r="E49" s="316">
        <f t="shared" si="6"/>
        <v>0</v>
      </c>
      <c r="F49" s="317">
        <f>'[10]Table 4 Level 3'!F49+'[10]Table 4 Level 3'!H49</f>
        <v>0</v>
      </c>
      <c r="G49" s="317">
        <f t="shared" si="12"/>
        <v>0</v>
      </c>
      <c r="H49" s="317">
        <f t="shared" si="7"/>
        <v>0</v>
      </c>
      <c r="I49" s="315">
        <f>IF(F49&lt;0,0,'Table 3 Levels 1&amp;2'!C51)</f>
        <v>5856</v>
      </c>
      <c r="J49" s="312">
        <f t="shared" si="13"/>
        <v>250123</v>
      </c>
      <c r="K49" s="313">
        <v>0</v>
      </c>
      <c r="L49" s="312">
        <f t="shared" si="14"/>
        <v>0</v>
      </c>
      <c r="M49" s="315">
        <f>'Table 3 Levels 1&amp;2'!C51</f>
        <v>5856</v>
      </c>
      <c r="N49" s="312">
        <f t="shared" si="15"/>
        <v>585600</v>
      </c>
      <c r="O49" s="312">
        <f t="shared" si="8"/>
        <v>835723</v>
      </c>
      <c r="P49" s="309">
        <v>663.16000000000008</v>
      </c>
      <c r="Q49" s="312">
        <f>('Table 4 Level 3'!P49*('Table 8 2.1.12 MFP Funded'!G47+'Table 8 2.1.12 MFP Funded'!H47+'Table 8 2.1.12 MFP Funded'!I47+'Table 8 2.1.12 MFP Funded'!J47))+'Table 5C1A-Madison Prep'!G50+'Table 5C1B-DArbonne'!G50+'Table 5C1C-Intl_VIBE'!G50+'Table 5C1D-NOMMA'!G50+'Table 5C1E-LFNO'!G50+'Table 5C1F-Lake Charles Charter'!G50+'Table 5C2 - LA Virtual Admy'!G48+'Table 5C3 - LA Connections EBR'!G48</f>
        <v>3882868.1160000009</v>
      </c>
      <c r="R49" s="312">
        <f t="shared" si="9"/>
        <v>4718591.1160000004</v>
      </c>
      <c r="T49" s="23">
        <f t="shared" si="16"/>
        <v>663.16000000000008</v>
      </c>
      <c r="U49" s="1234">
        <f>'Table 8 2.1.12 MFP Funded'!G47+'Table 8 2.1.12 MFP Funded'!H47+'Table 8 2.1.12 MFP Funded'!I47+'Table 8 2.1.12 MFP Funded'!J47</f>
        <v>5846</v>
      </c>
      <c r="V49" s="412">
        <f t="shared" si="11"/>
        <v>3876833.3600000003</v>
      </c>
    </row>
    <row r="50" spans="1:22">
      <c r="A50" s="102">
        <v>45</v>
      </c>
      <c r="B50" s="300" t="s">
        <v>146</v>
      </c>
      <c r="C50" s="323">
        <v>9520260</v>
      </c>
      <c r="D50" s="323">
        <v>2883682</v>
      </c>
      <c r="E50" s="323">
        <f t="shared" si="6"/>
        <v>6636578</v>
      </c>
      <c r="F50" s="324">
        <f>'[10]Table 4 Level 3'!F50+'[10]Table 4 Level 3'!H50</f>
        <v>-3947911</v>
      </c>
      <c r="G50" s="324">
        <f t="shared" si="12"/>
        <v>2688667</v>
      </c>
      <c r="H50" s="423">
        <f t="shared" si="7"/>
        <v>-537733</v>
      </c>
      <c r="I50" s="322">
        <f>IF(F50&lt;0,0,'Table 3 Levels 1&amp;2'!C52)</f>
        <v>0</v>
      </c>
      <c r="J50" s="319">
        <f t="shared" si="13"/>
        <v>0</v>
      </c>
      <c r="K50" s="320">
        <v>0</v>
      </c>
      <c r="L50" s="319">
        <f t="shared" si="14"/>
        <v>0</v>
      </c>
      <c r="M50" s="322">
        <f>'Table 3 Levels 1&amp;2'!C52</f>
        <v>9413</v>
      </c>
      <c r="N50" s="319">
        <f t="shared" si="15"/>
        <v>941300</v>
      </c>
      <c r="O50" s="319">
        <f t="shared" si="8"/>
        <v>5975916</v>
      </c>
      <c r="P50" s="318">
        <v>753.96000000000015</v>
      </c>
      <c r="Q50" s="319">
        <f>('Table 4 Level 3'!P50*('Table 8 2.1.12 MFP Funded'!G48+'Table 8 2.1.12 MFP Funded'!H48+'Table 8 2.1.12 MFP Funded'!I48+'Table 8 2.1.12 MFP Funded'!J48))+'Table 5C1A-Madison Prep'!G51+'Table 5C1B-DArbonne'!G51+'Table 5C1C-Intl_VIBE'!G51+'Table 5C1D-NOMMA'!G51+'Table 5C1E-LFNO'!G51+'Table 5C1F-Lake Charles Charter'!G51+'Table 5C2 - LA Virtual Admy'!G49+'Table 5C3 - LA Connections EBR'!G49</f>
        <v>7096422.3120000008</v>
      </c>
      <c r="R50" s="319">
        <f t="shared" si="9"/>
        <v>13072338.312000001</v>
      </c>
      <c r="T50" s="23">
        <f t="shared" si="16"/>
        <v>753.96000000000015</v>
      </c>
      <c r="U50" s="1234">
        <f>'Table 8 2.1.12 MFP Funded'!G48+'Table 8 2.1.12 MFP Funded'!H48+'Table 8 2.1.12 MFP Funded'!I48+'Table 8 2.1.12 MFP Funded'!J48</f>
        <v>9402</v>
      </c>
      <c r="V50" s="412">
        <f t="shared" si="11"/>
        <v>7088731.9200000018</v>
      </c>
    </row>
    <row r="51" spans="1:22">
      <c r="A51" s="101">
        <v>46</v>
      </c>
      <c r="B51" s="299" t="s">
        <v>147</v>
      </c>
      <c r="C51" s="316">
        <v>0</v>
      </c>
      <c r="D51" s="316">
        <v>0</v>
      </c>
      <c r="E51" s="316">
        <f t="shared" si="6"/>
        <v>0</v>
      </c>
      <c r="F51" s="317">
        <f>'[10]Table 4 Level 3'!F51+'[10]Table 4 Level 3'!H51</f>
        <v>0</v>
      </c>
      <c r="G51" s="317">
        <f t="shared" si="12"/>
        <v>0</v>
      </c>
      <c r="H51" s="317">
        <f t="shared" si="7"/>
        <v>0</v>
      </c>
      <c r="I51" s="315">
        <f>IF(F51&lt;0,0,'Table 3 Levels 1&amp;2'!C53)</f>
        <v>1103</v>
      </c>
      <c r="J51" s="312">
        <f t="shared" si="13"/>
        <v>47112</v>
      </c>
      <c r="K51" s="313">
        <v>0</v>
      </c>
      <c r="L51" s="312">
        <f t="shared" si="14"/>
        <v>0</v>
      </c>
      <c r="M51" s="315">
        <f>'Table 3 Levels 1&amp;2'!C53</f>
        <v>1103</v>
      </c>
      <c r="N51" s="312">
        <f t="shared" si="15"/>
        <v>110300</v>
      </c>
      <c r="O51" s="312">
        <f t="shared" si="8"/>
        <v>157412</v>
      </c>
      <c r="P51" s="309">
        <v>728.06</v>
      </c>
      <c r="Q51" s="312">
        <f>('Table 4 Level 3'!P51*('Table 8 2.1.12 MFP Funded'!G49+'Table 8 2.1.12 MFP Funded'!H49+'Table 8 2.1.12 MFP Funded'!I49+'Table 8 2.1.12 MFP Funded'!J49))+'Table 5C1A-Madison Prep'!G52+'Table 5C1B-DArbonne'!G52+'Table 5C1C-Intl_VIBE'!G52+'Table 5C1D-NOMMA'!G52+'Table 5C1E-LFNO'!G52+'Table 5C1F-Lake Charles Charter'!G52+'Table 5C2 - LA Virtual Admy'!G50+'Table 5C3 - LA Connections EBR'!G50</f>
        <v>802540.53799999994</v>
      </c>
      <c r="R51" s="312">
        <f t="shared" si="9"/>
        <v>959952.53799999994</v>
      </c>
      <c r="T51" s="23">
        <f t="shared" si="16"/>
        <v>728.06</v>
      </c>
      <c r="U51" s="1234">
        <f>'Table 8 2.1.12 MFP Funded'!G49+'Table 8 2.1.12 MFP Funded'!H49+'Table 8 2.1.12 MFP Funded'!I49+'Table 8 2.1.12 MFP Funded'!J49</f>
        <v>1096</v>
      </c>
      <c r="V51" s="412">
        <f t="shared" si="11"/>
        <v>797953.75999999989</v>
      </c>
    </row>
    <row r="52" spans="1:22">
      <c r="A52" s="101">
        <v>47</v>
      </c>
      <c r="B52" s="299" t="s">
        <v>148</v>
      </c>
      <c r="C52" s="316">
        <v>1851066</v>
      </c>
      <c r="D52" s="316">
        <v>1060614</v>
      </c>
      <c r="E52" s="316">
        <f t="shared" si="6"/>
        <v>790452</v>
      </c>
      <c r="F52" s="317">
        <f>'[10]Table 4 Level 3'!F52+'[10]Table 4 Level 3'!H52</f>
        <v>-395225</v>
      </c>
      <c r="G52" s="317">
        <f t="shared" si="12"/>
        <v>395227</v>
      </c>
      <c r="H52" s="317">
        <f t="shared" si="7"/>
        <v>-79045</v>
      </c>
      <c r="I52" s="315">
        <f>IF(F52&lt;0,0,'Table 3 Levels 1&amp;2'!C54)</f>
        <v>0</v>
      </c>
      <c r="J52" s="312">
        <f t="shared" si="13"/>
        <v>0</v>
      </c>
      <c r="K52" s="313">
        <v>0</v>
      </c>
      <c r="L52" s="312">
        <f t="shared" si="14"/>
        <v>0</v>
      </c>
      <c r="M52" s="315">
        <f>'Table 3 Levels 1&amp;2'!C54</f>
        <v>3639</v>
      </c>
      <c r="N52" s="312">
        <f t="shared" si="15"/>
        <v>363900</v>
      </c>
      <c r="O52" s="312">
        <f t="shared" si="8"/>
        <v>1740696</v>
      </c>
      <c r="P52" s="309">
        <v>910.76</v>
      </c>
      <c r="Q52" s="312">
        <f>('Table 4 Level 3'!P52*('Table 8 2.1.12 MFP Funded'!G50+'Table 8 2.1.12 MFP Funded'!H50+'Table 8 2.1.12 MFP Funded'!I50+'Table 8 2.1.12 MFP Funded'!J50))+'Table 5C1A-Madison Prep'!G53+'Table 5C1B-DArbonne'!G53+'Table 5C1C-Intl_VIBE'!G53+'Table 5C1D-NOMMA'!G53+'Table 5C1E-LFNO'!G53+'Table 5C1F-Lake Charles Charter'!G53+'Table 5C2 - LA Virtual Admy'!G51+'Table 5C3 - LA Connections EBR'!G51</f>
        <v>3313982.412</v>
      </c>
      <c r="R52" s="312">
        <f t="shared" si="9"/>
        <v>5054678.4120000005</v>
      </c>
      <c r="T52" s="23">
        <f t="shared" si="16"/>
        <v>910.76</v>
      </c>
      <c r="U52" s="1234">
        <f>'Table 8 2.1.12 MFP Funded'!G50+'Table 8 2.1.12 MFP Funded'!H50+'Table 8 2.1.12 MFP Funded'!I50+'Table 8 2.1.12 MFP Funded'!J50</f>
        <v>3636</v>
      </c>
      <c r="V52" s="412">
        <f t="shared" si="11"/>
        <v>3311523.36</v>
      </c>
    </row>
    <row r="53" spans="1:22">
      <c r="A53" s="101">
        <v>48</v>
      </c>
      <c r="B53" s="299" t="s">
        <v>217</v>
      </c>
      <c r="C53" s="316">
        <v>0</v>
      </c>
      <c r="D53" s="316">
        <v>0</v>
      </c>
      <c r="E53" s="316">
        <f t="shared" si="6"/>
        <v>0</v>
      </c>
      <c r="F53" s="317">
        <f>'[10]Table 4 Level 3'!F53+'[10]Table 4 Level 3'!H53</f>
        <v>0</v>
      </c>
      <c r="G53" s="317">
        <f t="shared" si="12"/>
        <v>0</v>
      </c>
      <c r="H53" s="317">
        <f t="shared" si="7"/>
        <v>0</v>
      </c>
      <c r="I53" s="315">
        <f>IF(F53&lt;0,0,'Table 3 Levels 1&amp;2'!C55)</f>
        <v>6220</v>
      </c>
      <c r="J53" s="312">
        <f t="shared" si="13"/>
        <v>265671</v>
      </c>
      <c r="K53" s="313">
        <v>0</v>
      </c>
      <c r="L53" s="312">
        <f t="shared" si="14"/>
        <v>0</v>
      </c>
      <c r="M53" s="315">
        <f>'Table 3 Levels 1&amp;2'!C55</f>
        <v>6220</v>
      </c>
      <c r="N53" s="312">
        <f t="shared" si="15"/>
        <v>622000</v>
      </c>
      <c r="O53" s="312">
        <f t="shared" si="8"/>
        <v>887671</v>
      </c>
      <c r="P53" s="309">
        <v>871.07</v>
      </c>
      <c r="Q53" s="312">
        <f>('Table 4 Level 3'!P53*('Table 8 2.1.12 MFP Funded'!G51+'Table 8 2.1.12 MFP Funded'!H51+'Table 8 2.1.12 MFP Funded'!I51+'Table 8 2.1.12 MFP Funded'!J51))+'Table 5C1A-Madison Prep'!G54+'Table 5C1B-DArbonne'!G54+'Table 5C1C-Intl_VIBE'!G54+'Table 5C1D-NOMMA'!G54+'Table 5C1E-LFNO'!G54+'Table 5C1F-Lake Charles Charter'!G54+'Table 5C2 - LA Virtual Admy'!G52+'Table 5C3 - LA Connections EBR'!G52</f>
        <v>5416661.688000001</v>
      </c>
      <c r="R53" s="312">
        <f t="shared" si="9"/>
        <v>6304332.688000001</v>
      </c>
      <c r="T53" s="23">
        <f t="shared" si="16"/>
        <v>871.07</v>
      </c>
      <c r="U53" s="1234">
        <f>'Table 8 2.1.12 MFP Funded'!G51+'Table 8 2.1.12 MFP Funded'!H51+'Table 8 2.1.12 MFP Funded'!I51+'Table 8 2.1.12 MFP Funded'!J51</f>
        <v>6202</v>
      </c>
      <c r="V53" s="412">
        <f t="shared" si="11"/>
        <v>5402376.1400000006</v>
      </c>
    </row>
    <row r="54" spans="1:22">
      <c r="A54" s="101">
        <v>49</v>
      </c>
      <c r="B54" s="299" t="s">
        <v>149</v>
      </c>
      <c r="C54" s="316">
        <v>0</v>
      </c>
      <c r="D54" s="316">
        <v>0</v>
      </c>
      <c r="E54" s="316">
        <f t="shared" si="6"/>
        <v>0</v>
      </c>
      <c r="F54" s="317">
        <f>'[10]Table 4 Level 3'!F54+'[10]Table 4 Level 3'!H54</f>
        <v>0</v>
      </c>
      <c r="G54" s="317">
        <f t="shared" si="12"/>
        <v>0</v>
      </c>
      <c r="H54" s="317">
        <f t="shared" si="7"/>
        <v>0</v>
      </c>
      <c r="I54" s="315">
        <f>IF(F54&lt;0,0,'Table 3 Levels 1&amp;2'!C56)</f>
        <v>14452</v>
      </c>
      <c r="J54" s="312">
        <f t="shared" si="13"/>
        <v>617279</v>
      </c>
      <c r="K54" s="313">
        <v>10</v>
      </c>
      <c r="L54" s="312">
        <f t="shared" si="14"/>
        <v>200000</v>
      </c>
      <c r="M54" s="315">
        <f>'Table 3 Levels 1&amp;2'!C56</f>
        <v>14452</v>
      </c>
      <c r="N54" s="312">
        <f t="shared" si="15"/>
        <v>1445200</v>
      </c>
      <c r="O54" s="312">
        <f t="shared" si="8"/>
        <v>2262479</v>
      </c>
      <c r="P54" s="309">
        <v>574.43999999999994</v>
      </c>
      <c r="Q54" s="312">
        <f>('Table 4 Level 3'!P54*('Table 8 2.1.12 MFP Funded'!G52+'Table 8 2.1.12 MFP Funded'!H52+'Table 8 2.1.12 MFP Funded'!I52+'Table 8 2.1.12 MFP Funded'!J52))+'Table 5C1A-Madison Prep'!G55+'Table 5C1B-DArbonne'!G55+'Table 5C1C-Intl_VIBE'!G55+'Table 5C1D-NOMMA'!G55+'Table 5C1E-LFNO'!G55+'Table 5C1F-Lake Charles Charter'!G55+'Table 5C2 - LA Virtual Admy'!G53+'Table 5C3 - LA Connections EBR'!G53</f>
        <v>8298360.2399999993</v>
      </c>
      <c r="R54" s="312">
        <f t="shared" si="9"/>
        <v>10560839.239999998</v>
      </c>
      <c r="T54" s="23">
        <f t="shared" si="16"/>
        <v>574.43999999999994</v>
      </c>
      <c r="U54" s="1234">
        <f>'Table 8 2.1.12 MFP Funded'!G52+'Table 8 2.1.12 MFP Funded'!H52+'Table 8 2.1.12 MFP Funded'!I52+'Table 8 2.1.12 MFP Funded'!J52</f>
        <v>14392</v>
      </c>
      <c r="V54" s="412">
        <f t="shared" si="11"/>
        <v>8267340.4799999995</v>
      </c>
    </row>
    <row r="55" spans="1:22">
      <c r="A55" s="102">
        <v>50</v>
      </c>
      <c r="B55" s="300" t="s">
        <v>150</v>
      </c>
      <c r="C55" s="323">
        <v>0</v>
      </c>
      <c r="D55" s="323">
        <v>0</v>
      </c>
      <c r="E55" s="323">
        <f t="shared" si="6"/>
        <v>0</v>
      </c>
      <c r="F55" s="324">
        <f>'[10]Table 4 Level 3'!F55+'[10]Table 4 Level 3'!H55</f>
        <v>0</v>
      </c>
      <c r="G55" s="324">
        <f t="shared" si="12"/>
        <v>0</v>
      </c>
      <c r="H55" s="324">
        <f t="shared" si="7"/>
        <v>0</v>
      </c>
      <c r="I55" s="322">
        <f>IF(F55&lt;0,0,'Table 3 Levels 1&amp;2'!C57)</f>
        <v>7984</v>
      </c>
      <c r="J55" s="319">
        <f t="shared" si="13"/>
        <v>341015</v>
      </c>
      <c r="K55" s="320">
        <v>11</v>
      </c>
      <c r="L55" s="319">
        <f t="shared" si="14"/>
        <v>220000</v>
      </c>
      <c r="M55" s="322">
        <f>'Table 3 Levels 1&amp;2'!C57</f>
        <v>7984</v>
      </c>
      <c r="N55" s="319">
        <f t="shared" si="15"/>
        <v>798400</v>
      </c>
      <c r="O55" s="319">
        <f t="shared" si="8"/>
        <v>1359415</v>
      </c>
      <c r="P55" s="318">
        <v>634.46</v>
      </c>
      <c r="Q55" s="319">
        <f>('Table 4 Level 3'!P55*('Table 8 2.1.12 MFP Funded'!G53+'Table 8 2.1.12 MFP Funded'!H53+'Table 8 2.1.12 MFP Funded'!I53+'Table 8 2.1.12 MFP Funded'!J53))+'Table 5C1A-Madison Prep'!G56+'Table 5C1B-DArbonne'!G56+'Table 5C1C-Intl_VIBE'!G56+'Table 5C1D-NOMMA'!G56+'Table 5C1E-LFNO'!G56+'Table 5C1F-Lake Charles Charter'!G56+'Table 5C2 - LA Virtual Admy'!G54+'Table 5C3 - LA Connections EBR'!G54</f>
        <v>5064132.8280000007</v>
      </c>
      <c r="R55" s="319">
        <f t="shared" si="9"/>
        <v>6423547.8280000007</v>
      </c>
      <c r="T55" s="23">
        <f t="shared" si="16"/>
        <v>634.46</v>
      </c>
      <c r="U55" s="1234">
        <f>'Table 8 2.1.12 MFP Funded'!G53+'Table 8 2.1.12 MFP Funded'!H53+'Table 8 2.1.12 MFP Funded'!I53+'Table 8 2.1.12 MFP Funded'!J53</f>
        <v>7962</v>
      </c>
      <c r="V55" s="412">
        <f t="shared" si="11"/>
        <v>5051570.5200000005</v>
      </c>
    </row>
    <row r="56" spans="1:22">
      <c r="A56" s="101">
        <v>51</v>
      </c>
      <c r="B56" s="299" t="s">
        <v>151</v>
      </c>
      <c r="C56" s="316">
        <v>0</v>
      </c>
      <c r="D56" s="316">
        <v>0</v>
      </c>
      <c r="E56" s="316">
        <f t="shared" si="6"/>
        <v>0</v>
      </c>
      <c r="F56" s="317">
        <f>'[10]Table 4 Level 3'!F56+'[10]Table 4 Level 3'!H56</f>
        <v>0</v>
      </c>
      <c r="G56" s="317">
        <f t="shared" si="12"/>
        <v>0</v>
      </c>
      <c r="H56" s="317">
        <f t="shared" si="7"/>
        <v>0</v>
      </c>
      <c r="I56" s="315">
        <f>IF(F56&lt;0,0,'Table 3 Levels 1&amp;2'!C58)</f>
        <v>9050</v>
      </c>
      <c r="J56" s="312">
        <f t="shared" si="13"/>
        <v>386547</v>
      </c>
      <c r="K56" s="313">
        <v>0</v>
      </c>
      <c r="L56" s="312">
        <f t="shared" si="14"/>
        <v>0</v>
      </c>
      <c r="M56" s="315">
        <f>'Table 3 Levels 1&amp;2'!C58</f>
        <v>9050</v>
      </c>
      <c r="N56" s="312">
        <f t="shared" si="15"/>
        <v>905000</v>
      </c>
      <c r="O56" s="312">
        <f t="shared" si="8"/>
        <v>1291547</v>
      </c>
      <c r="P56" s="309">
        <v>706.66</v>
      </c>
      <c r="Q56" s="312">
        <f>('Table 4 Level 3'!P56*('Table 8 2.1.12 MFP Funded'!G54+'Table 8 2.1.12 MFP Funded'!H54+'Table 8 2.1.12 MFP Funded'!I54+'Table 8 2.1.12 MFP Funded'!J54))+'Table 5C1A-Madison Prep'!G57+'Table 5C1B-DArbonne'!G57+'Table 5C1C-Intl_VIBE'!G57+'Table 5C1D-NOMMA'!G57+'Table 5C1E-LFNO'!G57+'Table 5C1F-Lake Charles Charter'!G57+'Table 5C2 - LA Virtual Admy'!G55+'Table 5C3 - LA Connections EBR'!G55</f>
        <v>6394425.0079999994</v>
      </c>
      <c r="R56" s="312">
        <f t="shared" si="9"/>
        <v>7685972.0079999994</v>
      </c>
      <c r="T56" s="23">
        <f t="shared" si="16"/>
        <v>706.66</v>
      </c>
      <c r="U56" s="1234">
        <f>'Table 8 2.1.12 MFP Funded'!G54+'Table 8 2.1.12 MFP Funded'!H54+'Table 8 2.1.12 MFP Funded'!I54+'Table 8 2.1.12 MFP Funded'!J54</f>
        <v>9038</v>
      </c>
      <c r="V56" s="412">
        <f t="shared" si="11"/>
        <v>6386793.0800000001</v>
      </c>
    </row>
    <row r="57" spans="1:22">
      <c r="A57" s="101">
        <v>52</v>
      </c>
      <c r="B57" s="299" t="s">
        <v>152</v>
      </c>
      <c r="C57" s="316">
        <v>0</v>
      </c>
      <c r="D57" s="316">
        <v>0</v>
      </c>
      <c r="E57" s="316">
        <f t="shared" si="6"/>
        <v>0</v>
      </c>
      <c r="F57" s="317">
        <f>'[10]Table 4 Level 3'!F57+'[10]Table 4 Level 3'!H57</f>
        <v>0</v>
      </c>
      <c r="G57" s="317">
        <f t="shared" si="12"/>
        <v>0</v>
      </c>
      <c r="H57" s="317">
        <f t="shared" si="7"/>
        <v>0</v>
      </c>
      <c r="I57" s="315">
        <f>IF(F57&lt;0,0,'Table 3 Levels 1&amp;2'!C59)</f>
        <v>36515</v>
      </c>
      <c r="J57" s="312">
        <f t="shared" si="13"/>
        <v>1559641</v>
      </c>
      <c r="K57" s="313">
        <v>0</v>
      </c>
      <c r="L57" s="312">
        <f t="shared" si="14"/>
        <v>0</v>
      </c>
      <c r="M57" s="315">
        <f>'Table 3 Levels 1&amp;2'!C59</f>
        <v>36515</v>
      </c>
      <c r="N57" s="312">
        <f t="shared" si="15"/>
        <v>3651500</v>
      </c>
      <c r="O57" s="312">
        <f t="shared" si="8"/>
        <v>5211141</v>
      </c>
      <c r="P57" s="309">
        <v>658.37</v>
      </c>
      <c r="Q57" s="312">
        <f>('Table 4 Level 3'!P57*('Table 8 2.1.12 MFP Funded'!G55+'Table 8 2.1.12 MFP Funded'!H55+'Table 8 2.1.12 MFP Funded'!I55+'Table 8 2.1.12 MFP Funded'!J55))+'Table 5C1A-Madison Prep'!G58+'Table 5C1B-DArbonne'!G58+'Table 5C1C-Intl_VIBE'!G58+'Table 5C1D-NOMMA'!G58+'Table 5C1E-LFNO'!G58+'Table 5C1F-Lake Charles Charter'!G58+'Table 5C2 - LA Virtual Admy'!G56+'Table 5C3 - LA Connections EBR'!G56</f>
        <v>24032414.272999998</v>
      </c>
      <c r="R57" s="312">
        <f t="shared" si="9"/>
        <v>29243555.272999998</v>
      </c>
      <c r="T57" s="23">
        <f t="shared" si="16"/>
        <v>658.37</v>
      </c>
      <c r="U57" s="1234">
        <f>'Table 8 2.1.12 MFP Funded'!G55+'Table 8 2.1.12 MFP Funded'!H55+'Table 8 2.1.12 MFP Funded'!I55+'Table 8 2.1.12 MFP Funded'!J55</f>
        <v>36392</v>
      </c>
      <c r="V57" s="412">
        <f t="shared" si="11"/>
        <v>23959401.039999999</v>
      </c>
    </row>
    <row r="58" spans="1:22">
      <c r="A58" s="101">
        <v>53</v>
      </c>
      <c r="B58" s="299" t="s">
        <v>153</v>
      </c>
      <c r="C58" s="316">
        <v>0</v>
      </c>
      <c r="D58" s="316">
        <v>0</v>
      </c>
      <c r="E58" s="316">
        <f t="shared" si="6"/>
        <v>0</v>
      </c>
      <c r="F58" s="317">
        <f>'[10]Table 4 Level 3'!F58+'[10]Table 4 Level 3'!H58</f>
        <v>0</v>
      </c>
      <c r="G58" s="317">
        <f t="shared" si="12"/>
        <v>0</v>
      </c>
      <c r="H58" s="317">
        <f t="shared" si="7"/>
        <v>0</v>
      </c>
      <c r="I58" s="315">
        <f>IF(F58&lt;0,0,'Table 3 Levels 1&amp;2'!C60)</f>
        <v>19008</v>
      </c>
      <c r="J58" s="312">
        <f t="shared" si="13"/>
        <v>811876</v>
      </c>
      <c r="K58" s="313">
        <v>5</v>
      </c>
      <c r="L58" s="312">
        <f t="shared" si="14"/>
        <v>100000</v>
      </c>
      <c r="M58" s="315">
        <f>'Table 3 Levels 1&amp;2'!C60</f>
        <v>19008</v>
      </c>
      <c r="N58" s="312">
        <f t="shared" si="15"/>
        <v>1900800</v>
      </c>
      <c r="O58" s="312">
        <f t="shared" si="8"/>
        <v>2812676</v>
      </c>
      <c r="P58" s="309">
        <v>689.74</v>
      </c>
      <c r="Q58" s="312">
        <f>('Table 4 Level 3'!P58*('Table 8 2.1.12 MFP Funded'!G56+'Table 8 2.1.12 MFP Funded'!H56+'Table 8 2.1.12 MFP Funded'!I56+'Table 8 2.1.12 MFP Funded'!J56))+'Table 5C1A-Madison Prep'!G59+'Table 5C1B-DArbonne'!G59+'Table 5C1C-Intl_VIBE'!G59+'Table 5C1D-NOMMA'!G59+'Table 5C1E-LFNO'!G59+'Table 5C1F-Lake Charles Charter'!G59+'Table 5C2 - LA Virtual Admy'!G57+'Table 5C3 - LA Connections EBR'!G57</f>
        <v>13105404.869999999</v>
      </c>
      <c r="R58" s="312">
        <f t="shared" si="9"/>
        <v>15918080.869999999</v>
      </c>
      <c r="T58" s="23">
        <f t="shared" si="16"/>
        <v>689.74</v>
      </c>
      <c r="U58" s="1234">
        <f>'Table 8 2.1.12 MFP Funded'!G56+'Table 8 2.1.12 MFP Funded'!H56+'Table 8 2.1.12 MFP Funded'!I56+'Table 8 2.1.12 MFP Funded'!J56</f>
        <v>18933</v>
      </c>
      <c r="V58" s="412">
        <f t="shared" si="11"/>
        <v>13058847.42</v>
      </c>
    </row>
    <row r="59" spans="1:22">
      <c r="A59" s="101">
        <v>54</v>
      </c>
      <c r="B59" s="299" t="s">
        <v>154</v>
      </c>
      <c r="C59" s="316">
        <v>0</v>
      </c>
      <c r="D59" s="316">
        <v>0</v>
      </c>
      <c r="E59" s="316">
        <f t="shared" si="6"/>
        <v>0</v>
      </c>
      <c r="F59" s="317">
        <f>'[10]Table 4 Level 3'!F59+'[10]Table 4 Level 3'!H59</f>
        <v>0</v>
      </c>
      <c r="G59" s="317">
        <f t="shared" si="12"/>
        <v>0</v>
      </c>
      <c r="H59" s="317">
        <f t="shared" si="7"/>
        <v>0</v>
      </c>
      <c r="I59" s="315">
        <f>IF(F59&lt;0,0,'Table 3 Levels 1&amp;2'!C61)</f>
        <v>699</v>
      </c>
      <c r="J59" s="312">
        <f t="shared" si="13"/>
        <v>29856</v>
      </c>
      <c r="K59" s="313">
        <v>0</v>
      </c>
      <c r="L59" s="312">
        <f t="shared" si="14"/>
        <v>0</v>
      </c>
      <c r="M59" s="315">
        <f>'Table 3 Levels 1&amp;2'!C61</f>
        <v>699</v>
      </c>
      <c r="N59" s="312">
        <f t="shared" si="15"/>
        <v>69900</v>
      </c>
      <c r="O59" s="312">
        <f t="shared" si="8"/>
        <v>99756</v>
      </c>
      <c r="P59" s="309">
        <v>951.45</v>
      </c>
      <c r="Q59" s="312">
        <f>('Table 4 Level 3'!P59*('Table 8 2.1.12 MFP Funded'!G57+'Table 8 2.1.12 MFP Funded'!H57+'Table 8 2.1.12 MFP Funded'!I57+'Table 8 2.1.12 MFP Funded'!J57))+'Table 5C1A-Madison Prep'!G60+'Table 5C1B-DArbonne'!G60+'Table 5C1C-Intl_VIBE'!G60+'Table 5C1D-NOMMA'!G60+'Table 5C1E-LFNO'!G60+'Table 5C1F-Lake Charles Charter'!G60+'Table 5C2 - LA Virtual Admy'!G58+'Table 5C3 - LA Connections EBR'!G58</f>
        <v>664873.26</v>
      </c>
      <c r="R59" s="312">
        <f t="shared" si="9"/>
        <v>764629.26</v>
      </c>
      <c r="T59" s="23">
        <f t="shared" si="16"/>
        <v>951.45</v>
      </c>
      <c r="U59" s="1234">
        <f>'Table 8 2.1.12 MFP Funded'!G57+'Table 8 2.1.12 MFP Funded'!H57+'Table 8 2.1.12 MFP Funded'!I57+'Table 8 2.1.12 MFP Funded'!J57</f>
        <v>697</v>
      </c>
      <c r="V59" s="412">
        <f t="shared" si="11"/>
        <v>663160.65</v>
      </c>
    </row>
    <row r="60" spans="1:22">
      <c r="A60" s="102">
        <v>55</v>
      </c>
      <c r="B60" s="300" t="s">
        <v>155</v>
      </c>
      <c r="C60" s="323">
        <v>0</v>
      </c>
      <c r="D60" s="323">
        <v>0</v>
      </c>
      <c r="E60" s="323">
        <f t="shared" si="6"/>
        <v>0</v>
      </c>
      <c r="F60" s="324">
        <f>'[10]Table 4 Level 3'!F60+'[10]Table 4 Level 3'!H60</f>
        <v>0</v>
      </c>
      <c r="G60" s="324">
        <f t="shared" si="12"/>
        <v>0</v>
      </c>
      <c r="H60" s="324">
        <f t="shared" si="7"/>
        <v>0</v>
      </c>
      <c r="I60" s="322">
        <f>IF(F60&lt;0,0,'Table 3 Levels 1&amp;2'!C62)</f>
        <v>17687</v>
      </c>
      <c r="J60" s="319">
        <f t="shared" si="13"/>
        <v>755453</v>
      </c>
      <c r="K60" s="320">
        <v>0</v>
      </c>
      <c r="L60" s="319">
        <f t="shared" si="14"/>
        <v>0</v>
      </c>
      <c r="M60" s="322">
        <f>'Table 3 Levels 1&amp;2'!C62</f>
        <v>17687</v>
      </c>
      <c r="N60" s="319">
        <f t="shared" si="15"/>
        <v>1768700</v>
      </c>
      <c r="O60" s="319">
        <f t="shared" si="8"/>
        <v>2524153</v>
      </c>
      <c r="P60" s="318">
        <v>795.14</v>
      </c>
      <c r="Q60" s="319">
        <f>('Table 4 Level 3'!P60*('Table 8 2.1.12 MFP Funded'!G58+'Table 8 2.1.12 MFP Funded'!H58+'Table 8 2.1.12 MFP Funded'!I58+'Table 8 2.1.12 MFP Funded'!J58))+'Table 5C1A-Madison Prep'!G61+'Table 5C1B-DArbonne'!G61+'Table 5C1C-Intl_VIBE'!G61+'Table 5C1D-NOMMA'!G61+'Table 5C1E-LFNO'!G61+'Table 5C1F-Lake Charles Charter'!G61+'Table 5C2 - LA Virtual Admy'!G59+'Table 5C3 - LA Connections EBR'!G59</f>
        <v>14060619.648</v>
      </c>
      <c r="R60" s="319">
        <f t="shared" si="9"/>
        <v>16584772.648</v>
      </c>
      <c r="T60" s="23">
        <f t="shared" si="16"/>
        <v>795.14</v>
      </c>
      <c r="U60" s="1234">
        <f>'Table 8 2.1.12 MFP Funded'!G58+'Table 8 2.1.12 MFP Funded'!H58+'Table 8 2.1.12 MFP Funded'!I58+'Table 8 2.1.12 MFP Funded'!J58</f>
        <v>17649</v>
      </c>
      <c r="V60" s="412">
        <f t="shared" si="11"/>
        <v>14033425.859999999</v>
      </c>
    </row>
    <row r="61" spans="1:22">
      <c r="A61" s="101">
        <v>56</v>
      </c>
      <c r="B61" s="299" t="s">
        <v>156</v>
      </c>
      <c r="C61" s="316">
        <v>0</v>
      </c>
      <c r="D61" s="316">
        <v>0</v>
      </c>
      <c r="E61" s="316">
        <f t="shared" si="6"/>
        <v>0</v>
      </c>
      <c r="F61" s="317">
        <f>'[10]Table 4 Level 3'!F61+'[10]Table 4 Level 3'!H61</f>
        <v>0</v>
      </c>
      <c r="G61" s="317">
        <f t="shared" si="12"/>
        <v>0</v>
      </c>
      <c r="H61" s="317">
        <f t="shared" si="7"/>
        <v>0</v>
      </c>
      <c r="I61" s="315">
        <f>IF(F61&lt;0,0,'Table 3 Levels 1&amp;2'!C63)</f>
        <v>2833</v>
      </c>
      <c r="J61" s="312">
        <f t="shared" si="13"/>
        <v>121004</v>
      </c>
      <c r="K61" s="313">
        <v>1</v>
      </c>
      <c r="L61" s="312">
        <f t="shared" si="14"/>
        <v>20000</v>
      </c>
      <c r="M61" s="315">
        <f>'Table 3 Levels 1&amp;2'!C63</f>
        <v>2833</v>
      </c>
      <c r="N61" s="312">
        <f t="shared" si="15"/>
        <v>283300</v>
      </c>
      <c r="O61" s="312">
        <f t="shared" si="8"/>
        <v>424304</v>
      </c>
      <c r="P61" s="309">
        <v>614.66000000000008</v>
      </c>
      <c r="Q61" s="1341">
        <f>('Table 4 Level 3'!P61*('Table 8 2.1.12 MFP Funded'!G59+'Table 8 2.1.12 MFP Funded'!H59+'Table 8 2.1.12 MFP Funded'!I59+'Table 8 2.1.12 MFP Funded'!J59))+'Table 5C1A-Madison Prep'!G62+'Table 5C1B-DArbonne'!G62+'Table 5C1C-Intl_VIBE'!G62+'Table 5C1D-NOMMA'!G62+'Table 5C1E-LFNO'!G62+'Table 5C1F-Lake Charles Charter'!G62+'Table 5C2 - LA Virtual Admy'!G60+'Table 5C3 - LA Connections EBR'!G60+'Table 5C1B-DArbonne'!G76</f>
        <v>1740901.5180000002</v>
      </c>
      <c r="R61" s="312">
        <f t="shared" si="9"/>
        <v>2165205.5180000002</v>
      </c>
      <c r="T61" s="23">
        <f t="shared" si="16"/>
        <v>614.66000000000008</v>
      </c>
      <c r="U61" s="1234">
        <f>'Table 8 2.1.12 MFP Funded'!G59+'Table 8 2.1.12 MFP Funded'!H59+'Table 8 2.1.12 MFP Funded'!I59+'Table 8 2.1.12 MFP Funded'!J59</f>
        <v>2473</v>
      </c>
      <c r="V61" s="412">
        <f t="shared" si="11"/>
        <v>1520054.1800000002</v>
      </c>
    </row>
    <row r="62" spans="1:22">
      <c r="A62" s="101">
        <v>57</v>
      </c>
      <c r="B62" s="299" t="s">
        <v>157</v>
      </c>
      <c r="C62" s="316">
        <v>0</v>
      </c>
      <c r="D62" s="316">
        <v>0</v>
      </c>
      <c r="E62" s="316">
        <f t="shared" si="6"/>
        <v>0</v>
      </c>
      <c r="F62" s="317">
        <f>'[10]Table 4 Level 3'!F62+'[10]Table 4 Level 3'!H62</f>
        <v>0</v>
      </c>
      <c r="G62" s="317">
        <f t="shared" si="12"/>
        <v>0</v>
      </c>
      <c r="H62" s="317">
        <f t="shared" si="7"/>
        <v>0</v>
      </c>
      <c r="I62" s="315">
        <f>IF(F62&lt;0,0,'Table 3 Levels 1&amp;2'!C64)</f>
        <v>8869</v>
      </c>
      <c r="J62" s="312">
        <f t="shared" si="13"/>
        <v>378816</v>
      </c>
      <c r="K62" s="313">
        <v>0</v>
      </c>
      <c r="L62" s="312">
        <f t="shared" si="14"/>
        <v>0</v>
      </c>
      <c r="M62" s="315">
        <f>'Table 3 Levels 1&amp;2'!C64</f>
        <v>8869</v>
      </c>
      <c r="N62" s="312">
        <f t="shared" si="15"/>
        <v>886900</v>
      </c>
      <c r="O62" s="312">
        <f t="shared" si="8"/>
        <v>1265716</v>
      </c>
      <c r="P62" s="309">
        <v>764.51</v>
      </c>
      <c r="Q62" s="312">
        <f>('Table 4 Level 3'!P62*('Table 8 2.1.12 MFP Funded'!G60+'Table 8 2.1.12 MFP Funded'!H60+'Table 8 2.1.12 MFP Funded'!I60+'Table 8 2.1.12 MFP Funded'!J60))+'Table 5C1A-Madison Prep'!G63+'Table 5C1B-DArbonne'!G63+'Table 5C1C-Intl_VIBE'!G63+'Table 5C1D-NOMMA'!G63+'Table 5C1E-LFNO'!G63+'Table 5C1F-Lake Charles Charter'!G63+'Table 5C2 - LA Virtual Admy'!G61+'Table 5C3 - LA Connections EBR'!G61</f>
        <v>6779215.9740000004</v>
      </c>
      <c r="R62" s="312">
        <f t="shared" si="9"/>
        <v>8044931.9740000004</v>
      </c>
      <c r="T62" s="23">
        <f t="shared" si="16"/>
        <v>764.51</v>
      </c>
      <c r="U62" s="1234">
        <f>'Table 8 2.1.12 MFP Funded'!G60+'Table 8 2.1.12 MFP Funded'!H60+'Table 8 2.1.12 MFP Funded'!I60+'Table 8 2.1.12 MFP Funded'!J60</f>
        <v>8853</v>
      </c>
      <c r="V62" s="412">
        <f t="shared" si="11"/>
        <v>6768207.0300000003</v>
      </c>
    </row>
    <row r="63" spans="1:22">
      <c r="A63" s="101">
        <v>58</v>
      </c>
      <c r="B63" s="299" t="s">
        <v>158</v>
      </c>
      <c r="C63" s="316">
        <v>0</v>
      </c>
      <c r="D63" s="316">
        <v>0</v>
      </c>
      <c r="E63" s="316">
        <f t="shared" si="6"/>
        <v>0</v>
      </c>
      <c r="F63" s="317">
        <f>'[10]Table 4 Level 3'!F63+'[10]Table 4 Level 3'!H63</f>
        <v>0</v>
      </c>
      <c r="G63" s="317">
        <f t="shared" si="12"/>
        <v>0</v>
      </c>
      <c r="H63" s="317">
        <f t="shared" si="7"/>
        <v>0</v>
      </c>
      <c r="I63" s="315">
        <f>IF(F63&lt;0,0,'Table 3 Levels 1&amp;2'!C65)</f>
        <v>9493</v>
      </c>
      <c r="J63" s="312">
        <f t="shared" si="13"/>
        <v>405468</v>
      </c>
      <c r="K63" s="313">
        <v>1</v>
      </c>
      <c r="L63" s="312">
        <f t="shared" si="14"/>
        <v>20000</v>
      </c>
      <c r="M63" s="315">
        <f>'Table 3 Levels 1&amp;2'!C65</f>
        <v>9493</v>
      </c>
      <c r="N63" s="312">
        <f t="shared" si="15"/>
        <v>949300</v>
      </c>
      <c r="O63" s="312">
        <f t="shared" si="8"/>
        <v>1374768</v>
      </c>
      <c r="P63" s="309">
        <v>697.04</v>
      </c>
      <c r="Q63" s="312">
        <f>('Table 4 Level 3'!P63*('Table 8 2.1.12 MFP Funded'!G61+'Table 8 2.1.12 MFP Funded'!H61+'Table 8 2.1.12 MFP Funded'!I61+'Table 8 2.1.12 MFP Funded'!J61))+'Table 5C1A-Madison Prep'!G64+'Table 5C1B-DArbonne'!G64+'Table 5C1C-Intl_VIBE'!G64+'Table 5C1D-NOMMA'!G64+'Table 5C1E-LFNO'!G64+'Table 5C1F-Lake Charles Charter'!G64+'Table 5C2 - LA Virtual Admy'!G62+'Table 5C3 - LA Connections EBR'!G62</f>
        <v>6613166.9999999991</v>
      </c>
      <c r="R63" s="312">
        <f t="shared" si="9"/>
        <v>7987934.9999999991</v>
      </c>
      <c r="T63" s="23">
        <f t="shared" si="16"/>
        <v>697.04</v>
      </c>
      <c r="U63" s="1234">
        <f>'Table 8 2.1.12 MFP Funded'!G61+'Table 8 2.1.12 MFP Funded'!H61+'Table 8 2.1.12 MFP Funded'!I61+'Table 8 2.1.12 MFP Funded'!J61</f>
        <v>9438</v>
      </c>
      <c r="V63" s="412">
        <f t="shared" si="11"/>
        <v>6578663.5199999996</v>
      </c>
    </row>
    <row r="64" spans="1:22">
      <c r="A64" s="101">
        <v>59</v>
      </c>
      <c r="B64" s="299" t="s">
        <v>159</v>
      </c>
      <c r="C64" s="316">
        <v>0</v>
      </c>
      <c r="D64" s="316">
        <v>0</v>
      </c>
      <c r="E64" s="316">
        <f t="shared" si="6"/>
        <v>0</v>
      </c>
      <c r="F64" s="317">
        <f>'[10]Table 4 Level 3'!F64+'[10]Table 4 Level 3'!H64</f>
        <v>0</v>
      </c>
      <c r="G64" s="317">
        <f t="shared" si="12"/>
        <v>0</v>
      </c>
      <c r="H64" s="317">
        <f t="shared" si="7"/>
        <v>0</v>
      </c>
      <c r="I64" s="315">
        <f>IF(F64&lt;0,0,'Table 3 Levels 1&amp;2'!C66)</f>
        <v>5177</v>
      </c>
      <c r="J64" s="312">
        <f t="shared" si="13"/>
        <v>221122</v>
      </c>
      <c r="K64" s="313">
        <v>0</v>
      </c>
      <c r="L64" s="312">
        <f t="shared" si="14"/>
        <v>0</v>
      </c>
      <c r="M64" s="315">
        <f>'Table 3 Levels 1&amp;2'!C66</f>
        <v>5177</v>
      </c>
      <c r="N64" s="312">
        <f t="shared" si="15"/>
        <v>517700</v>
      </c>
      <c r="O64" s="312">
        <f t="shared" si="8"/>
        <v>738822</v>
      </c>
      <c r="P64" s="309">
        <v>689.52</v>
      </c>
      <c r="Q64" s="312">
        <f>('Table 4 Level 3'!P64*('Table 8 2.1.12 MFP Funded'!G62+'Table 8 2.1.12 MFP Funded'!H62+'Table 8 2.1.12 MFP Funded'!I62+'Table 8 2.1.12 MFP Funded'!J62))+'Table 5C1A-Madison Prep'!G65+'Table 5C1B-DArbonne'!G65+'Table 5C1C-Intl_VIBE'!G65+'Table 5C1D-NOMMA'!G65+'Table 5C1E-LFNO'!G65+'Table 5C1F-Lake Charles Charter'!G65+'Table 5C2 - LA Virtual Admy'!G63+'Table 5C3 - LA Connections EBR'!G63</f>
        <v>3568472.8560000001</v>
      </c>
      <c r="R64" s="312">
        <f t="shared" si="9"/>
        <v>4307294.8560000006</v>
      </c>
      <c r="T64" s="23">
        <f t="shared" si="16"/>
        <v>689.52</v>
      </c>
      <c r="U64" s="1234">
        <f>'Table 8 2.1.12 MFP Funded'!G62+'Table 8 2.1.12 MFP Funded'!H62+'Table 8 2.1.12 MFP Funded'!I62+'Table 8 2.1.12 MFP Funded'!J62</f>
        <v>5160</v>
      </c>
      <c r="V64" s="412">
        <f t="shared" si="11"/>
        <v>3557923.1999999997</v>
      </c>
    </row>
    <row r="65" spans="1:23">
      <c r="A65" s="102">
        <v>60</v>
      </c>
      <c r="B65" s="300" t="s">
        <v>160</v>
      </c>
      <c r="C65" s="323">
        <v>0</v>
      </c>
      <c r="D65" s="323">
        <v>0</v>
      </c>
      <c r="E65" s="323">
        <f t="shared" si="6"/>
        <v>0</v>
      </c>
      <c r="F65" s="324">
        <f>'[10]Table 4 Level 3'!F65+'[10]Table 4 Level 3'!H65</f>
        <v>0</v>
      </c>
      <c r="G65" s="324">
        <f t="shared" si="12"/>
        <v>0</v>
      </c>
      <c r="H65" s="324">
        <f t="shared" si="7"/>
        <v>0</v>
      </c>
      <c r="I65" s="322">
        <f>IF(F65&lt;0,0,'Table 3 Levels 1&amp;2'!C67)</f>
        <v>6468</v>
      </c>
      <c r="J65" s="319">
        <f t="shared" si="13"/>
        <v>276263</v>
      </c>
      <c r="K65" s="320">
        <v>0</v>
      </c>
      <c r="L65" s="319">
        <f t="shared" si="14"/>
        <v>0</v>
      </c>
      <c r="M65" s="322">
        <f>'Table 3 Levels 1&amp;2'!C67</f>
        <v>6468</v>
      </c>
      <c r="N65" s="319">
        <f t="shared" si="15"/>
        <v>646800</v>
      </c>
      <c r="O65" s="319">
        <f t="shared" si="8"/>
        <v>923063</v>
      </c>
      <c r="P65" s="318">
        <v>594.04</v>
      </c>
      <c r="Q65" s="319">
        <f>('Table 4 Level 3'!P65*('Table 8 2.1.12 MFP Funded'!G63+'Table 8 2.1.12 MFP Funded'!H63+'Table 8 2.1.12 MFP Funded'!I63+'Table 8 2.1.12 MFP Funded'!J63))+'Table 5C1A-Madison Prep'!G66+'Table 5C1B-DArbonne'!G66+'Table 5C1C-Intl_VIBE'!G66+'Table 5C1D-NOMMA'!G66+'Table 5C1E-LFNO'!G66+'Table 5C1F-Lake Charles Charter'!G66+'Table 5C2 - LA Virtual Admy'!G64+'Table 5C3 - LA Connections EBR'!G64</f>
        <v>3840290.3879999998</v>
      </c>
      <c r="R65" s="319">
        <f t="shared" si="9"/>
        <v>4763353.3880000003</v>
      </c>
      <c r="T65" s="23">
        <f t="shared" si="16"/>
        <v>594.04</v>
      </c>
      <c r="U65" s="1234">
        <f>'Table 8 2.1.12 MFP Funded'!G63+'Table 8 2.1.12 MFP Funded'!H63+'Table 8 2.1.12 MFP Funded'!I63+'Table 8 2.1.12 MFP Funded'!J63</f>
        <v>6435</v>
      </c>
      <c r="V65" s="412">
        <f t="shared" si="11"/>
        <v>3822647.4</v>
      </c>
    </row>
    <row r="66" spans="1:23">
      <c r="A66" s="101">
        <v>61</v>
      </c>
      <c r="B66" s="299" t="s">
        <v>161</v>
      </c>
      <c r="C66" s="316">
        <v>0</v>
      </c>
      <c r="D66" s="316">
        <v>0</v>
      </c>
      <c r="E66" s="316">
        <f t="shared" si="6"/>
        <v>0</v>
      </c>
      <c r="F66" s="317">
        <f>'[10]Table 4 Level 3'!F66+'[10]Table 4 Level 3'!H66</f>
        <v>0</v>
      </c>
      <c r="G66" s="317">
        <f t="shared" si="12"/>
        <v>0</v>
      </c>
      <c r="H66" s="317">
        <f t="shared" si="7"/>
        <v>0</v>
      </c>
      <c r="I66" s="315">
        <f>IF(F66&lt;0,0,'Table 3 Levels 1&amp;2'!C68)</f>
        <v>3537</v>
      </c>
      <c r="J66" s="312">
        <f t="shared" si="13"/>
        <v>151074</v>
      </c>
      <c r="K66" s="313">
        <v>0</v>
      </c>
      <c r="L66" s="312">
        <f t="shared" si="14"/>
        <v>0</v>
      </c>
      <c r="M66" s="315">
        <f>'Table 3 Levels 1&amp;2'!C68</f>
        <v>3537</v>
      </c>
      <c r="N66" s="312">
        <f t="shared" si="15"/>
        <v>353700</v>
      </c>
      <c r="O66" s="312">
        <f t="shared" si="8"/>
        <v>504774</v>
      </c>
      <c r="P66" s="309">
        <v>833.70999999999992</v>
      </c>
      <c r="Q66" s="312">
        <f>('Table 4 Level 3'!P66*('Table 8 2.1.12 MFP Funded'!G64+'Table 8 2.1.12 MFP Funded'!H64+'Table 8 2.1.12 MFP Funded'!I64+'Table 8 2.1.12 MFP Funded'!J64))+'Table 5C1A-Madison Prep'!G67+'Table 5C1B-DArbonne'!G67+'Table 5C1C-Intl_VIBE'!G67+'Table 5C1D-NOMMA'!G67+'Table 5C1E-LFNO'!G67+'Table 5C1F-Lake Charles Charter'!G67+'Table 5C2 - LA Virtual Admy'!G65+'Table 5C3 - LA Connections EBR'!G65</f>
        <v>2947498.3339999998</v>
      </c>
      <c r="R66" s="312">
        <f t="shared" si="9"/>
        <v>3452272.3339999998</v>
      </c>
      <c r="T66" s="23">
        <f t="shared" si="16"/>
        <v>833.70999999999992</v>
      </c>
      <c r="U66" s="1234">
        <f>'Table 8 2.1.12 MFP Funded'!G64+'Table 8 2.1.12 MFP Funded'!H64+'Table 8 2.1.12 MFP Funded'!I64+'Table 8 2.1.12 MFP Funded'!J64</f>
        <v>3521</v>
      </c>
      <c r="V66" s="412">
        <f t="shared" si="11"/>
        <v>2935492.9099999997</v>
      </c>
    </row>
    <row r="67" spans="1:23">
      <c r="A67" s="101">
        <v>62</v>
      </c>
      <c r="B67" s="299" t="s">
        <v>162</v>
      </c>
      <c r="C67" s="316">
        <v>0</v>
      </c>
      <c r="D67" s="316">
        <v>0</v>
      </c>
      <c r="E67" s="316">
        <f t="shared" si="6"/>
        <v>0</v>
      </c>
      <c r="F67" s="317">
        <f>'[10]Table 4 Level 3'!F67+'[10]Table 4 Level 3'!H67</f>
        <v>0</v>
      </c>
      <c r="G67" s="317">
        <f t="shared" si="12"/>
        <v>0</v>
      </c>
      <c r="H67" s="317">
        <f t="shared" si="7"/>
        <v>0</v>
      </c>
      <c r="I67" s="315">
        <f>IF(F67&lt;0,0,'Table 3 Levels 1&amp;2'!C69)</f>
        <v>2100</v>
      </c>
      <c r="J67" s="312">
        <f t="shared" si="13"/>
        <v>89696</v>
      </c>
      <c r="K67" s="313">
        <v>0</v>
      </c>
      <c r="L67" s="312">
        <f t="shared" si="14"/>
        <v>0</v>
      </c>
      <c r="M67" s="315">
        <f>'Table 3 Levels 1&amp;2'!C69</f>
        <v>2100</v>
      </c>
      <c r="N67" s="312">
        <f t="shared" si="15"/>
        <v>210000</v>
      </c>
      <c r="O67" s="312">
        <f t="shared" si="8"/>
        <v>299696</v>
      </c>
      <c r="P67" s="309">
        <v>516.08000000000004</v>
      </c>
      <c r="Q67" s="312">
        <f>('Table 4 Level 3'!P67*('Table 8 2.1.12 MFP Funded'!G65+'Table 8 2.1.12 MFP Funded'!H65+'Table 8 2.1.12 MFP Funded'!I65+'Table 8 2.1.12 MFP Funded'!J65))+'Table 5C1A-Madison Prep'!G68+'Table 5C1B-DArbonne'!G68+'Table 5C1C-Intl_VIBE'!G68+'Table 5C1D-NOMMA'!G68+'Table 5C1E-LFNO'!G68+'Table 5C1F-Lake Charles Charter'!G68+'Table 5C2 - LA Virtual Admy'!G66+'Table 5C3 - LA Connections EBR'!G66</f>
        <v>1083613.176</v>
      </c>
      <c r="R67" s="312">
        <f t="shared" si="9"/>
        <v>1383309.176</v>
      </c>
      <c r="T67" s="23">
        <f t="shared" si="16"/>
        <v>516.08000000000004</v>
      </c>
      <c r="U67" s="1234">
        <f>'Table 8 2.1.12 MFP Funded'!G65+'Table 8 2.1.12 MFP Funded'!H65+'Table 8 2.1.12 MFP Funded'!I65+'Table 8 2.1.12 MFP Funded'!J65</f>
        <v>2097</v>
      </c>
      <c r="V67" s="412">
        <f t="shared" si="11"/>
        <v>1082219.76</v>
      </c>
    </row>
    <row r="68" spans="1:23">
      <c r="A68" s="101">
        <v>63</v>
      </c>
      <c r="B68" s="299" t="s">
        <v>163</v>
      </c>
      <c r="C68" s="316">
        <v>5908357</v>
      </c>
      <c r="D68" s="316">
        <v>680156</v>
      </c>
      <c r="E68" s="316">
        <f t="shared" si="6"/>
        <v>5228201</v>
      </c>
      <c r="F68" s="317">
        <f>'[10]Table 4 Level 3'!F68+'[10]Table 4 Level 3'!H68</f>
        <v>-2614100</v>
      </c>
      <c r="G68" s="317">
        <f t="shared" si="12"/>
        <v>2614101</v>
      </c>
      <c r="H68" s="317">
        <f t="shared" si="7"/>
        <v>-522820</v>
      </c>
      <c r="I68" s="315">
        <f>IF(F68&lt;0,0,'Table 3 Levels 1&amp;2'!C70)</f>
        <v>0</v>
      </c>
      <c r="J68" s="312">
        <f t="shared" si="13"/>
        <v>0</v>
      </c>
      <c r="K68" s="313">
        <v>0</v>
      </c>
      <c r="L68" s="312">
        <f t="shared" si="14"/>
        <v>0</v>
      </c>
      <c r="M68" s="315">
        <f>'Table 3 Levels 1&amp;2'!C70</f>
        <v>2034</v>
      </c>
      <c r="N68" s="312">
        <f t="shared" si="15"/>
        <v>203400</v>
      </c>
      <c r="O68" s="312">
        <f t="shared" si="8"/>
        <v>2974837</v>
      </c>
      <c r="P68" s="309">
        <v>756.79</v>
      </c>
      <c r="Q68" s="312">
        <f>('Table 4 Level 3'!P68*('Table 8 2.1.12 MFP Funded'!G66+'Table 8 2.1.12 MFP Funded'!H66+'Table 8 2.1.12 MFP Funded'!I66+'Table 8 2.1.12 MFP Funded'!J66))+'Table 5C1A-Madison Prep'!G69+'Table 5C1B-DArbonne'!G69+'Table 5C1C-Intl_VIBE'!G69+'Table 5C1D-NOMMA'!G69+'Table 5C1E-LFNO'!G69+'Table 5C1F-Lake Charles Charter'!G69+'Table 5C2 - LA Virtual Admy'!G67+'Table 5C3 - LA Connections EBR'!G67</f>
        <v>1538856.7859999998</v>
      </c>
      <c r="R68" s="312">
        <f t="shared" si="9"/>
        <v>4513693.7860000003</v>
      </c>
      <c r="T68" s="23">
        <f t="shared" si="16"/>
        <v>756.79</v>
      </c>
      <c r="U68" s="1234">
        <f>'Table 8 2.1.12 MFP Funded'!G66+'Table 8 2.1.12 MFP Funded'!H66+'Table 8 2.1.12 MFP Funded'!I66+'Table 8 2.1.12 MFP Funded'!J66</f>
        <v>2028</v>
      </c>
      <c r="V68" s="412">
        <f t="shared" si="11"/>
        <v>1534770.1199999999</v>
      </c>
    </row>
    <row r="69" spans="1:23">
      <c r="A69" s="101">
        <v>64</v>
      </c>
      <c r="B69" s="299" t="s">
        <v>164</v>
      </c>
      <c r="C69" s="316">
        <v>0</v>
      </c>
      <c r="D69" s="316">
        <v>0</v>
      </c>
      <c r="E69" s="316">
        <f t="shared" si="6"/>
        <v>0</v>
      </c>
      <c r="F69" s="317">
        <f>'[10]Table 4 Level 3'!F69+'[10]Table 4 Level 3'!H69</f>
        <v>0</v>
      </c>
      <c r="G69" s="317">
        <f t="shared" si="12"/>
        <v>0</v>
      </c>
      <c r="H69" s="317">
        <f t="shared" si="7"/>
        <v>0</v>
      </c>
      <c r="I69" s="315">
        <f>IF(F69&lt;0,0,'Table 3 Levels 1&amp;2'!C71)</f>
        <v>2420</v>
      </c>
      <c r="J69" s="312">
        <f t="shared" si="13"/>
        <v>103364</v>
      </c>
      <c r="K69" s="313">
        <v>0</v>
      </c>
      <c r="L69" s="312">
        <f t="shared" si="14"/>
        <v>0</v>
      </c>
      <c r="M69" s="315">
        <f>'Table 3 Levels 1&amp;2'!C71</f>
        <v>2420</v>
      </c>
      <c r="N69" s="312">
        <f t="shared" si="15"/>
        <v>242000</v>
      </c>
      <c r="O69" s="312">
        <f t="shared" si="8"/>
        <v>345364</v>
      </c>
      <c r="P69" s="309">
        <v>592.66</v>
      </c>
      <c r="Q69" s="312">
        <f>('Table 4 Level 3'!P69*('Table 8 2.1.12 MFP Funded'!G67+'Table 8 2.1.12 MFP Funded'!H67+'Table 8 2.1.12 MFP Funded'!I67+'Table 8 2.1.12 MFP Funded'!J67))+'Table 5C1A-Madison Prep'!G70+'Table 5C1B-DArbonne'!G70+'Table 5C1C-Intl_VIBE'!G70+'Table 5C1D-NOMMA'!G70+'Table 5C1E-LFNO'!G70+'Table 5C1F-Lake Charles Charter'!G70+'Table 5C2 - LA Virtual Admy'!G68+'Table 5C3 - LA Connections EBR'!G68</f>
        <v>1434059.402</v>
      </c>
      <c r="R69" s="312">
        <f t="shared" si="9"/>
        <v>1779423.402</v>
      </c>
      <c r="T69" s="23">
        <f t="shared" si="16"/>
        <v>592.66</v>
      </c>
      <c r="U69" s="1234">
        <f>'Table 8 2.1.12 MFP Funded'!G67+'Table 8 2.1.12 MFP Funded'!H67+'Table 8 2.1.12 MFP Funded'!I67+'Table 8 2.1.12 MFP Funded'!J67</f>
        <v>2417</v>
      </c>
      <c r="V69" s="412">
        <f t="shared" si="11"/>
        <v>1432459.22</v>
      </c>
    </row>
    <row r="70" spans="1:23">
      <c r="A70" s="102">
        <v>65</v>
      </c>
      <c r="B70" s="300" t="s">
        <v>165</v>
      </c>
      <c r="C70" s="323">
        <v>0</v>
      </c>
      <c r="D70" s="323">
        <v>0</v>
      </c>
      <c r="E70" s="323">
        <f t="shared" si="6"/>
        <v>0</v>
      </c>
      <c r="F70" s="324">
        <f>'[10]Table 4 Level 3'!F70+'[10]Table 4 Level 3'!H70</f>
        <v>0</v>
      </c>
      <c r="G70" s="324">
        <f>SUM(E70:F70)</f>
        <v>0</v>
      </c>
      <c r="H70" s="324">
        <f t="shared" si="7"/>
        <v>0</v>
      </c>
      <c r="I70" s="322">
        <f>IF(F70&lt;0,0,'Table 3 Levels 1&amp;2'!C72)</f>
        <v>8405</v>
      </c>
      <c r="J70" s="319">
        <f>ROUND($J$4*I70,0)</f>
        <v>358997</v>
      </c>
      <c r="K70" s="326">
        <v>0</v>
      </c>
      <c r="L70" s="319">
        <f>ROUND($L$4*K70,0)</f>
        <v>0</v>
      </c>
      <c r="M70" s="322">
        <f>'Table 3 Levels 1&amp;2'!C72</f>
        <v>8405</v>
      </c>
      <c r="N70" s="319">
        <f>ROUND(M70*$N$4,0)</f>
        <v>840500</v>
      </c>
      <c r="O70" s="319">
        <f t="shared" si="8"/>
        <v>1199497</v>
      </c>
      <c r="P70" s="318">
        <v>829.12</v>
      </c>
      <c r="Q70" s="319">
        <f>('Table 4 Level 3'!P70*('Table 8 2.1.12 MFP Funded'!G68+'Table 8 2.1.12 MFP Funded'!H68+'Table 8 2.1.12 MFP Funded'!I68+'Table 8 2.1.12 MFP Funded'!J68))+'Table 5C1A-Madison Prep'!G71+'Table 5C1B-DArbonne'!G71+'Table 5C1C-Intl_VIBE'!G71+'Table 5C1D-NOMMA'!G71+'Table 5C1E-LFNO'!G71+'Table 5C1F-Lake Charles Charter'!G71+'Table 5C2 - LA Virtual Admy'!G69+'Table 5C3 - LA Connections EBR'!G69</f>
        <v>6968173.216</v>
      </c>
      <c r="R70" s="319">
        <f t="shared" si="9"/>
        <v>8167670.216</v>
      </c>
      <c r="T70" s="23">
        <f t="shared" si="16"/>
        <v>829.12</v>
      </c>
      <c r="U70" s="1234">
        <f>'Table 8 2.1.12 MFP Funded'!G68+'Table 8 2.1.12 MFP Funded'!H68+'Table 8 2.1.12 MFP Funded'!I68+'Table 8 2.1.12 MFP Funded'!J68</f>
        <v>8398</v>
      </c>
      <c r="V70" s="412">
        <f t="shared" si="11"/>
        <v>6962949.7599999998</v>
      </c>
    </row>
    <row r="71" spans="1:23">
      <c r="A71" s="135">
        <v>66</v>
      </c>
      <c r="B71" s="301" t="s">
        <v>166</v>
      </c>
      <c r="C71" s="329">
        <v>0</v>
      </c>
      <c r="D71" s="329">
        <v>0</v>
      </c>
      <c r="E71" s="329">
        <f>C71-D71</f>
        <v>0</v>
      </c>
      <c r="F71" s="330">
        <f>'[10]Table 4 Level 3'!F71+'[10]Table 4 Level 3'!H71</f>
        <v>0</v>
      </c>
      <c r="G71" s="330">
        <f>SUM(E71:F71)</f>
        <v>0</v>
      </c>
      <c r="H71" s="330">
        <f t="shared" ref="H71:H74" si="17">ROUND(-G71/5,0)</f>
        <v>0</v>
      </c>
      <c r="I71" s="328">
        <f>IF(F71&lt;0,0,'Table 3 Levels 1&amp;2'!C73)</f>
        <v>2057</v>
      </c>
      <c r="J71" s="310">
        <f>ROUND($J$4*I71,0)</f>
        <v>87859</v>
      </c>
      <c r="K71" s="327">
        <v>0</v>
      </c>
      <c r="L71" s="310">
        <f>ROUND($L$4*K71,0)</f>
        <v>0</v>
      </c>
      <c r="M71" s="328">
        <f>'Table 3 Levels 1&amp;2'!C73</f>
        <v>2057</v>
      </c>
      <c r="N71" s="310">
        <f>ROUND(M71*$N$4,0)</f>
        <v>205700</v>
      </c>
      <c r="O71" s="310">
        <f>D71+E71+F71+H71+J71+L71+N71</f>
        <v>293559</v>
      </c>
      <c r="P71" s="311">
        <v>730.06</v>
      </c>
      <c r="Q71" s="310">
        <f>('Table 4 Level 3'!P71*('Table 8 2.1.12 MFP Funded'!G69+'Table 8 2.1.12 MFP Funded'!H69+'Table 8 2.1.12 MFP Funded'!I69+'Table 8 2.1.12 MFP Funded'!J69))+'Table 5C1A-Madison Prep'!G72+'Table 5C1B-DArbonne'!G72+'Table 5C1C-Intl_VIBE'!G72+'Table 5C1D-NOMMA'!G72+'Table 5C1E-LFNO'!G72+'Table 5C1F-Lake Charles Charter'!G72+'Table 5C2 - LA Virtual Admy'!G70+'Table 5C3 - LA Connections EBR'!G70</f>
        <v>1501368.39</v>
      </c>
      <c r="R71" s="310">
        <f>O71+Q71</f>
        <v>1794927.39</v>
      </c>
      <c r="T71" s="23">
        <f t="shared" si="16"/>
        <v>730.06</v>
      </c>
      <c r="U71" s="1234">
        <f>'Table 8 2.1.12 MFP Funded'!G69+'Table 8 2.1.12 MFP Funded'!H69+'Table 8 2.1.12 MFP Funded'!I69+'Table 8 2.1.12 MFP Funded'!J69</f>
        <v>2052</v>
      </c>
      <c r="V71" s="412">
        <f t="shared" ref="V71:V74" si="18">U71*T71</f>
        <v>1498083.1199999999</v>
      </c>
    </row>
    <row r="72" spans="1:23">
      <c r="A72" s="349">
        <v>67</v>
      </c>
      <c r="B72" s="302" t="s">
        <v>33</v>
      </c>
      <c r="C72" s="316">
        <v>0</v>
      </c>
      <c r="D72" s="316">
        <v>0</v>
      </c>
      <c r="E72" s="316">
        <f>C72-D72</f>
        <v>0</v>
      </c>
      <c r="F72" s="317">
        <f>'[10]Table 4 Level 3'!F72+'[10]Table 4 Level 3'!H72</f>
        <v>0</v>
      </c>
      <c r="G72" s="317">
        <f>SUM(E72:F72)</f>
        <v>0</v>
      </c>
      <c r="H72" s="317">
        <f t="shared" si="17"/>
        <v>0</v>
      </c>
      <c r="I72" s="315">
        <f>IF(F72&lt;0,0,'Table 3 Levels 1&amp;2'!C74)</f>
        <v>5065</v>
      </c>
      <c r="J72" s="312">
        <f>ROUND($J$4*I72,0)</f>
        <v>216338</v>
      </c>
      <c r="K72" s="313">
        <v>0</v>
      </c>
      <c r="L72" s="312">
        <f>ROUND($L$4*K72,0)</f>
        <v>0</v>
      </c>
      <c r="M72" s="315">
        <f>'Table 3 Levels 1&amp;2'!C74</f>
        <v>5065</v>
      </c>
      <c r="N72" s="312">
        <f>ROUND(M72*$N$4,0)</f>
        <v>506500</v>
      </c>
      <c r="O72" s="312">
        <f>D72+E72+F72+H72+J72+L72+N72</f>
        <v>722838</v>
      </c>
      <c r="P72" s="309">
        <v>715.61</v>
      </c>
      <c r="Q72" s="312">
        <f>('Table 4 Level 3'!P72*('Table 8 2.1.12 MFP Funded'!G70+'Table 8 2.1.12 MFP Funded'!H70+'Table 8 2.1.12 MFP Funded'!I70+'Table 8 2.1.12 MFP Funded'!J70))+'Table 5C1A-Madison Prep'!G73+'Table 5C1B-DArbonne'!G73+'Table 5C1C-Intl_VIBE'!G73+'Table 5C1D-NOMMA'!G73+'Table 5C1E-LFNO'!G73+'Table 5C1F-Lake Charles Charter'!G73+'Table 5C2 - LA Virtual Admy'!G71+'Table 5C3 - LA Connections EBR'!G71</f>
        <v>3624135.2840000005</v>
      </c>
      <c r="R72" s="312">
        <f>O72+Q72</f>
        <v>4346973.284</v>
      </c>
      <c r="T72" s="23">
        <f t="shared" si="16"/>
        <v>715.61</v>
      </c>
      <c r="U72" s="1234">
        <f>'Table 8 2.1.12 MFP Funded'!G70+'Table 8 2.1.12 MFP Funded'!H70+'Table 8 2.1.12 MFP Funded'!I70+'Table 8 2.1.12 MFP Funded'!J70</f>
        <v>5057</v>
      </c>
      <c r="V72" s="412">
        <f t="shared" si="18"/>
        <v>3618839.77</v>
      </c>
    </row>
    <row r="73" spans="1:23">
      <c r="A73" s="101">
        <v>68</v>
      </c>
      <c r="B73" s="299" t="s">
        <v>31</v>
      </c>
      <c r="C73" s="316">
        <v>0</v>
      </c>
      <c r="D73" s="316">
        <v>0</v>
      </c>
      <c r="E73" s="316">
        <f>C73-D73</f>
        <v>0</v>
      </c>
      <c r="F73" s="317">
        <f>'[10]Table 4 Level 3'!F73+'[10]Table 4 Level 3'!H73</f>
        <v>0</v>
      </c>
      <c r="G73" s="317">
        <f>SUM(E73:F73)</f>
        <v>0</v>
      </c>
      <c r="H73" s="317">
        <f t="shared" si="17"/>
        <v>0</v>
      </c>
      <c r="I73" s="315">
        <f>IF(F73&lt;0,0,'Table 3 Levels 1&amp;2'!C75)</f>
        <v>1767</v>
      </c>
      <c r="J73" s="312">
        <f>ROUND($J$4*I73,0)</f>
        <v>75473</v>
      </c>
      <c r="K73" s="313">
        <v>0</v>
      </c>
      <c r="L73" s="312">
        <f>ROUND($L$4*K73,0)</f>
        <v>0</v>
      </c>
      <c r="M73" s="315">
        <f>'Table 3 Levels 1&amp;2'!C75</f>
        <v>1767</v>
      </c>
      <c r="N73" s="312">
        <f>ROUND(M73*$N$4,0)</f>
        <v>176700</v>
      </c>
      <c r="O73" s="312">
        <f>D73+E73+F73+H73+J73+L73+N73</f>
        <v>252173</v>
      </c>
      <c r="P73" s="309">
        <v>798.7</v>
      </c>
      <c r="Q73" s="312">
        <f>('Table 4 Level 3'!P73*('Table 8 2.1.12 MFP Funded'!G71+'Table 8 2.1.12 MFP Funded'!H71+'Table 8 2.1.12 MFP Funded'!I71+'Table 8 2.1.12 MFP Funded'!J71))+'Table 5C1A-Madison Prep'!G74+'Table 5C1B-DArbonne'!G74+'Table 5C1C-Intl_VIBE'!G74+'Table 5C1D-NOMMA'!G74+'Table 5C1E-LFNO'!G74+'Table 5C1F-Lake Charles Charter'!G74+'Table 5C2 - LA Virtual Admy'!G72+'Table 5C3 - LA Connections EBR'!G72</f>
        <v>1410903.5500000003</v>
      </c>
      <c r="R73" s="312">
        <f>O73+Q73</f>
        <v>1663076.5500000003</v>
      </c>
      <c r="T73" s="23">
        <f t="shared" si="16"/>
        <v>798.7</v>
      </c>
      <c r="U73" s="1234">
        <f>'Table 8 2.1.12 MFP Funded'!G71+'Table 8 2.1.12 MFP Funded'!H71+'Table 8 2.1.12 MFP Funded'!I71+'Table 8 2.1.12 MFP Funded'!J71</f>
        <v>1758</v>
      </c>
      <c r="V73" s="412">
        <f t="shared" si="18"/>
        <v>1404114.6</v>
      </c>
    </row>
    <row r="74" spans="1:23">
      <c r="A74" s="102">
        <v>69</v>
      </c>
      <c r="B74" s="300" t="s">
        <v>229</v>
      </c>
      <c r="C74" s="323">
        <v>0</v>
      </c>
      <c r="D74" s="323">
        <v>0</v>
      </c>
      <c r="E74" s="323">
        <f>C74-D74</f>
        <v>0</v>
      </c>
      <c r="F74" s="324">
        <f>'[10]Table 4 Level 3'!F74+'[10]Table 4 Level 3'!H74</f>
        <v>0</v>
      </c>
      <c r="G74" s="324">
        <f>SUM(E74:F74)</f>
        <v>0</v>
      </c>
      <c r="H74" s="324">
        <f t="shared" si="17"/>
        <v>0</v>
      </c>
      <c r="I74" s="322">
        <f>IF(F74&lt;0,0,'Table 3 Levels 1&amp;2'!C76)</f>
        <v>3940</v>
      </c>
      <c r="J74" s="319">
        <f>ROUND($J$4*I74,0)</f>
        <v>168287</v>
      </c>
      <c r="K74" s="326">
        <v>0</v>
      </c>
      <c r="L74" s="319">
        <f>ROUND($L$4*K74,0)</f>
        <v>0</v>
      </c>
      <c r="M74" s="322">
        <f>'Table 3 Levels 1&amp;2'!C76</f>
        <v>3940</v>
      </c>
      <c r="N74" s="319">
        <f>ROUND(M74*$N$4,0)</f>
        <v>394000</v>
      </c>
      <c r="O74" s="319">
        <f>D74+E74+F74+H74+J74+L74+N74</f>
        <v>562287</v>
      </c>
      <c r="P74" s="318">
        <v>705.67</v>
      </c>
      <c r="Q74" s="319">
        <f>('Table 4 Level 3'!P74*('Table 8 2.1.12 MFP Funded'!G72+'Table 8 2.1.12 MFP Funded'!H72+'Table 8 2.1.12 MFP Funded'!I72+'Table 8 2.1.12 MFP Funded'!J72))+'Table 5C1A-Madison Prep'!G75+'Table 5C1B-DArbonne'!G75+'Table 5C1C-Intl_VIBE'!G75+'Table 5C1D-NOMMA'!G75+'Table 5C1E-LFNO'!G75+'Table 5C1F-Lake Charles Charter'!G75+'Table 5C2 - LA Virtual Admy'!G73+'Table 5C3 - LA Connections EBR'!G73</f>
        <v>2779563.5629999996</v>
      </c>
      <c r="R74" s="319">
        <f>O74+Q74</f>
        <v>3341850.5629999996</v>
      </c>
      <c r="T74" s="23">
        <f t="shared" si="16"/>
        <v>705.67</v>
      </c>
      <c r="U74" s="1234">
        <f>'Table 8 2.1.12 MFP Funded'!G72+'Table 8 2.1.12 MFP Funded'!H72+'Table 8 2.1.12 MFP Funded'!I72+'Table 8 2.1.12 MFP Funded'!J72</f>
        <v>3927</v>
      </c>
      <c r="V74" s="412">
        <f t="shared" si="18"/>
        <v>2771166.09</v>
      </c>
    </row>
    <row r="75" spans="1:23" s="8" customFormat="1" ht="13.5" thickBot="1">
      <c r="A75" s="414"/>
      <c r="B75" s="415" t="s">
        <v>167</v>
      </c>
      <c r="C75" s="476">
        <f t="shared" ref="C75:J75" si="19">SUM(C6:C74)</f>
        <v>76792933</v>
      </c>
      <c r="D75" s="476">
        <f t="shared" si="19"/>
        <v>38336714</v>
      </c>
      <c r="E75" s="476">
        <f t="shared" si="19"/>
        <v>38456219</v>
      </c>
      <c r="F75" s="477">
        <f t="shared" si="19"/>
        <v>-19857730</v>
      </c>
      <c r="G75" s="477">
        <f t="shared" si="19"/>
        <v>18598489</v>
      </c>
      <c r="H75" s="477">
        <f t="shared" si="19"/>
        <v>-3719696</v>
      </c>
      <c r="I75" s="478">
        <f t="shared" si="19"/>
        <v>552005</v>
      </c>
      <c r="J75" s="476">
        <f t="shared" si="19"/>
        <v>23577430</v>
      </c>
      <c r="K75" s="418">
        <f>SUM(K6:K74)</f>
        <v>218</v>
      </c>
      <c r="L75" s="419">
        <f>SUM(L6:L74)</f>
        <v>4360000</v>
      </c>
      <c r="M75" s="418">
        <f>SUM(M6:M74)</f>
        <v>672250</v>
      </c>
      <c r="N75" s="419">
        <f>SUM(N6:N74)</f>
        <v>67225000</v>
      </c>
      <c r="O75" s="419">
        <f>SUM(O6:O74)</f>
        <v>148377937</v>
      </c>
      <c r="P75" s="417">
        <v>703.90028204588873</v>
      </c>
      <c r="Q75" s="416">
        <f>SUM(Q6:Q74)</f>
        <v>474002077.09629679</v>
      </c>
      <c r="R75" s="419">
        <f>SUM(R6:R74)</f>
        <v>622380014.09629655</v>
      </c>
      <c r="T75" s="8">
        <v>703.90028204588873</v>
      </c>
      <c r="U75" s="8">
        <f>SUM(U6:U74)</f>
        <v>638111</v>
      </c>
      <c r="V75" s="1270">
        <f>SUM(V6:V74)</f>
        <v>448928145.26114637</v>
      </c>
    </row>
    <row r="76" spans="1:23" s="8" customFormat="1" ht="13.5" thickTop="1">
      <c r="A76" s="421"/>
      <c r="B76" s="424"/>
      <c r="C76" s="786"/>
      <c r="D76" s="786"/>
      <c r="E76" s="786"/>
      <c r="F76" s="787"/>
      <c r="G76" s="787"/>
      <c r="H76" s="1853"/>
      <c r="I76" s="788"/>
      <c r="J76" s="786"/>
      <c r="K76" s="1099"/>
      <c r="L76" s="1098"/>
      <c r="M76" s="789"/>
      <c r="N76" s="257"/>
      <c r="O76" s="257"/>
      <c r="P76" s="99"/>
      <c r="Q76" s="790"/>
      <c r="R76" s="257"/>
      <c r="V76" s="1272" t="e">
        <f>#REF!+#REF!+'Table 5B1_RSD_Orleans'!G70+'Table 5C1A-Madison Prep'!G76+'Table 5C1B-DArbonne'!G77+'Table 5C1C-Intl_VIBE'!G77+'Table 5C1D-NOMMA'!G76+'Table 5C1E-LFNO'!G76+'Table 5C1F-Lake Charles Charter'!G76+'Table 5C2 - LA Virtual Admy'!G74+'Table 5C3 - LA Connections EBR'!G74+#REF!+#REF!+#REF!+#REF!+#REF!+#REF!+#REF!+#REF!+#REF!</f>
        <v>#REF!</v>
      </c>
    </row>
    <row r="77" spans="1:23" s="8" customFormat="1">
      <c r="A77" s="37"/>
      <c r="B77" s="38"/>
      <c r="C77" s="118"/>
      <c r="D77" s="118"/>
      <c r="E77" s="118"/>
      <c r="F77" s="118"/>
      <c r="G77" s="118"/>
      <c r="H77" s="1854"/>
      <c r="I77" s="118"/>
      <c r="J77" s="118"/>
      <c r="K77" s="118"/>
      <c r="L77" s="257"/>
      <c r="M77" s="118"/>
      <c r="N77" s="118"/>
      <c r="O77" s="118"/>
      <c r="P77" s="804"/>
      <c r="Q77" s="303"/>
      <c r="V77" s="1270" t="e">
        <f>SUM(V75:V76)</f>
        <v>#REF!</v>
      </c>
    </row>
    <row r="78" spans="1:23">
      <c r="A78" s="443"/>
      <c r="B78" s="458"/>
      <c r="C78" s="64"/>
      <c r="D78" s="64"/>
      <c r="E78" s="136"/>
      <c r="F78" s="200"/>
      <c r="G78" s="139"/>
      <c r="H78" s="1854"/>
      <c r="I78" s="139"/>
      <c r="J78" s="139"/>
      <c r="K78" s="139"/>
      <c r="L78" s="139"/>
      <c r="M78" s="64"/>
      <c r="N78" s="64"/>
      <c r="O78" s="64"/>
      <c r="U78" s="1276" t="s">
        <v>1081</v>
      </c>
      <c r="V78" s="1277"/>
      <c r="W78" s="804"/>
    </row>
    <row r="79" spans="1:23">
      <c r="A79" s="443"/>
      <c r="B79" s="458"/>
      <c r="C79" s="64"/>
      <c r="D79" s="64"/>
      <c r="E79" s="346"/>
      <c r="F79" s="139"/>
      <c r="G79" s="1729"/>
      <c r="H79" s="200"/>
      <c r="I79" s="64"/>
      <c r="J79" s="139"/>
      <c r="K79" s="139"/>
      <c r="L79" s="139"/>
      <c r="M79" s="136"/>
      <c r="N79" s="136"/>
      <c r="O79" s="136"/>
      <c r="P79" s="1876"/>
      <c r="Q79" s="1876"/>
      <c r="R79" s="1876"/>
      <c r="U79" s="1688" t="s">
        <v>1387</v>
      </c>
      <c r="V79" s="1689"/>
    </row>
    <row r="80" spans="1:23">
      <c r="A80" s="443"/>
      <c r="B80" s="459"/>
      <c r="E80" s="23"/>
      <c r="G80" s="64"/>
      <c r="H80" s="346"/>
      <c r="I80" s="64"/>
      <c r="J80" s="64"/>
      <c r="K80" s="64"/>
      <c r="L80" s="64"/>
      <c r="P80" s="1873"/>
      <c r="Q80" s="1873"/>
      <c r="R80" s="1873"/>
      <c r="S80" s="1175"/>
      <c r="T80" s="1175"/>
      <c r="U80" s="1175"/>
      <c r="V80" s="1175"/>
      <c r="W80" s="1175"/>
    </row>
    <row r="81" spans="1:18">
      <c r="A81" s="443"/>
      <c r="B81" s="458"/>
      <c r="G81" s="64"/>
      <c r="H81" s="425"/>
      <c r="I81" s="64"/>
      <c r="J81" s="64"/>
      <c r="K81" s="64"/>
      <c r="L81" s="64"/>
      <c r="P81" s="1873"/>
      <c r="Q81" s="1873"/>
      <c r="R81" s="1873"/>
    </row>
    <row r="82" spans="1:18">
      <c r="A82" s="443"/>
      <c r="B82" s="458"/>
      <c r="G82" s="64"/>
      <c r="H82" s="64"/>
      <c r="I82" s="64"/>
      <c r="J82" s="64"/>
      <c r="K82" s="64"/>
      <c r="L82" s="64"/>
      <c r="P82" s="1874"/>
      <c r="Q82" s="1875"/>
      <c r="R82" s="1875"/>
    </row>
    <row r="83" spans="1:18" ht="9" customHeight="1">
      <c r="A83" s="421"/>
      <c r="B83" s="424"/>
      <c r="G83" s="64"/>
      <c r="H83" s="64"/>
      <c r="I83" s="64"/>
      <c r="J83" s="64"/>
      <c r="K83" s="64"/>
      <c r="L83" s="64"/>
      <c r="P83" s="855"/>
    </row>
    <row r="84" spans="1:18" ht="11.25" hidden="1" customHeight="1">
      <c r="A84" s="421"/>
      <c r="B84" s="424"/>
      <c r="G84" s="64"/>
      <c r="H84" s="64"/>
      <c r="I84" s="64"/>
      <c r="J84" s="64"/>
      <c r="K84" s="64"/>
      <c r="L84" s="64"/>
      <c r="Q84" s="1674" t="s">
        <v>1386</v>
      </c>
    </row>
    <row r="85" spans="1:18" hidden="1">
      <c r="A85" s="64"/>
      <c r="B85" s="64"/>
      <c r="Q85" s="1675">
        <f>'Table 5B1_RSD_Orleans'!F78</f>
        <v>746.0335616438357</v>
      </c>
    </row>
    <row r="86" spans="1:18" hidden="1">
      <c r="Q86" s="1676">
        <v>2250</v>
      </c>
    </row>
    <row r="87" spans="1:18" hidden="1">
      <c r="Q87" s="1677">
        <f>Q85*Q86</f>
        <v>1678575.5136986303</v>
      </c>
    </row>
    <row r="88" spans="1:18" hidden="1"/>
  </sheetData>
  <mergeCells count="24">
    <mergeCell ref="P80:R80"/>
    <mergeCell ref="P81:R81"/>
    <mergeCell ref="P82:R82"/>
    <mergeCell ref="R2:R4"/>
    <mergeCell ref="P79:R79"/>
    <mergeCell ref="C3:C4"/>
    <mergeCell ref="A2:A4"/>
    <mergeCell ref="B2:B4"/>
    <mergeCell ref="P3:P4"/>
    <mergeCell ref="Q3:Q4"/>
    <mergeCell ref="H3:H4"/>
    <mergeCell ref="I3:I4"/>
    <mergeCell ref="O2:O4"/>
    <mergeCell ref="C2:J2"/>
    <mergeCell ref="M3:M4"/>
    <mergeCell ref="P2:Q2"/>
    <mergeCell ref="K2:L2"/>
    <mergeCell ref="K3:K4"/>
    <mergeCell ref="H76:H78"/>
    <mergeCell ref="F3:F4"/>
    <mergeCell ref="D3:D4"/>
    <mergeCell ref="M2:N2"/>
    <mergeCell ref="G3:G4"/>
    <mergeCell ref="E3:E4"/>
  </mergeCells>
  <phoneticPr fontId="0" type="noConversion"/>
  <printOptions horizontalCentered="1"/>
  <pageMargins left="0.25" right="0.24" top="1.08" bottom="0.27" header="0.32" footer="0.35"/>
  <pageSetup paperSize="5" scale="80" firstPageNumber="32" orientation="portrait" useFirstPageNumber="1" r:id="rId1"/>
  <headerFooter alignWithMargins="0">
    <oddHeader>&amp;L&amp;"Arial,Bold"&amp;18Table 4:  Revised FY2012-13 Budget Letter (May 2013)&amp;20
Level 3 Unequalized Funding</oddHeader>
    <oddFooter>&amp;R&amp;12&amp;P</oddFooter>
  </headerFooter>
  <colBreaks count="3" manualBreakCount="3">
    <brk id="10" max="74" man="1"/>
    <brk id="15" max="74" man="1"/>
    <brk id="19" max="7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BreakPreview" zoomScaleNormal="80" zoomScaleSheetLayoutView="100" workbookViewId="0">
      <pane xSplit="2" ySplit="3" topLeftCell="C4" activePane="bottomRight" state="frozen"/>
      <selection activeCell="A8" sqref="A8:A9"/>
      <selection pane="topRight" activeCell="A8" sqref="A8:A9"/>
      <selection pane="bottomLeft" activeCell="A8" sqref="A8:A9"/>
      <selection pane="bottomRight" activeCell="B1" sqref="B1"/>
    </sheetView>
  </sheetViews>
  <sheetFormatPr defaultRowHeight="12.75"/>
  <cols>
    <col min="1" max="1" width="4.28515625" style="2" customWidth="1"/>
    <col min="2" max="2" width="23" style="2" customWidth="1"/>
    <col min="3" max="3" width="14.28515625" style="2" customWidth="1"/>
    <col min="4" max="4" width="13.7109375" style="2" customWidth="1"/>
    <col min="5" max="5" width="15.42578125" customWidth="1"/>
    <col min="6" max="6" width="13.85546875" customWidth="1"/>
    <col min="7" max="7" width="15.7109375" customWidth="1"/>
    <col min="8" max="8" width="11" customWidth="1"/>
  </cols>
  <sheetData>
    <row r="1" spans="1:7" ht="88.5" customHeight="1">
      <c r="A1" s="453" t="s">
        <v>203</v>
      </c>
      <c r="B1" s="452" t="s">
        <v>275</v>
      </c>
      <c r="C1" s="1879" t="s">
        <v>1154</v>
      </c>
      <c r="D1" s="335" t="s">
        <v>262</v>
      </c>
      <c r="E1" s="1877" t="s">
        <v>1155</v>
      </c>
      <c r="F1" s="456" t="s">
        <v>263</v>
      </c>
      <c r="G1" s="1872" t="s">
        <v>95</v>
      </c>
    </row>
    <row r="2" spans="1:7">
      <c r="A2" s="454"/>
      <c r="B2" s="454"/>
      <c r="C2" s="1880"/>
      <c r="D2" s="455">
        <v>6000</v>
      </c>
      <c r="E2" s="1878"/>
      <c r="F2" s="457">
        <v>4000</v>
      </c>
      <c r="G2" s="1862"/>
    </row>
    <row r="3" spans="1:7">
      <c r="A3" s="224"/>
      <c r="B3" s="298"/>
      <c r="C3" s="308">
        <f>B3+1</f>
        <v>1</v>
      </c>
      <c r="D3" s="308">
        <f>C3+1</f>
        <v>2</v>
      </c>
      <c r="E3" s="308">
        <f>D3+1</f>
        <v>3</v>
      </c>
      <c r="F3" s="308">
        <f>E3+1</f>
        <v>4</v>
      </c>
      <c r="G3" s="308">
        <f>F3+1</f>
        <v>5</v>
      </c>
    </row>
    <row r="4" spans="1:7">
      <c r="A4" s="101">
        <v>1</v>
      </c>
      <c r="B4" s="299" t="s">
        <v>102</v>
      </c>
      <c r="C4" s="313">
        <v>0</v>
      </c>
      <c r="D4" s="312">
        <f>ROUND($D$2*C4,0)</f>
        <v>0</v>
      </c>
      <c r="E4" s="313">
        <v>0</v>
      </c>
      <c r="F4" s="312">
        <f>ROUND($F$2*E4,0)</f>
        <v>0</v>
      </c>
      <c r="G4" s="460">
        <f>D4+F4</f>
        <v>0</v>
      </c>
    </row>
    <row r="5" spans="1:7">
      <c r="A5" s="101">
        <v>2</v>
      </c>
      <c r="B5" s="299" t="s">
        <v>103</v>
      </c>
      <c r="C5" s="313">
        <v>0</v>
      </c>
      <c r="D5" s="312">
        <f t="shared" ref="D5:D68" si="0">ROUND($D$2*C5,0)</f>
        <v>0</v>
      </c>
      <c r="E5" s="313">
        <v>0</v>
      </c>
      <c r="F5" s="312">
        <f t="shared" ref="F5:F68" si="1">ROUND($F$2*E5,0)</f>
        <v>0</v>
      </c>
      <c r="G5" s="460">
        <f t="shared" ref="G5:G68" si="2">D5+F5</f>
        <v>0</v>
      </c>
    </row>
    <row r="6" spans="1:7">
      <c r="A6" s="101">
        <v>3</v>
      </c>
      <c r="B6" s="299" t="s">
        <v>104</v>
      </c>
      <c r="C6" s="313">
        <v>0</v>
      </c>
      <c r="D6" s="312">
        <f t="shared" si="0"/>
        <v>0</v>
      </c>
      <c r="E6" s="313">
        <v>0</v>
      </c>
      <c r="F6" s="312">
        <f t="shared" si="1"/>
        <v>0</v>
      </c>
      <c r="G6" s="460">
        <f t="shared" si="2"/>
        <v>0</v>
      </c>
    </row>
    <row r="7" spans="1:7">
      <c r="A7" s="101">
        <v>4</v>
      </c>
      <c r="B7" s="299" t="s">
        <v>105</v>
      </c>
      <c r="C7" s="313">
        <v>3</v>
      </c>
      <c r="D7" s="312">
        <f t="shared" si="0"/>
        <v>18000</v>
      </c>
      <c r="E7" s="313">
        <v>0</v>
      </c>
      <c r="F7" s="312">
        <f t="shared" si="1"/>
        <v>0</v>
      </c>
      <c r="G7" s="460">
        <f t="shared" si="2"/>
        <v>18000</v>
      </c>
    </row>
    <row r="8" spans="1:7">
      <c r="A8" s="102">
        <v>5</v>
      </c>
      <c r="B8" s="300" t="s">
        <v>106</v>
      </c>
      <c r="C8" s="320">
        <v>0</v>
      </c>
      <c r="D8" s="319">
        <f t="shared" si="0"/>
        <v>0</v>
      </c>
      <c r="E8" s="320">
        <v>0</v>
      </c>
      <c r="F8" s="319">
        <f t="shared" si="1"/>
        <v>0</v>
      </c>
      <c r="G8" s="461">
        <f t="shared" si="2"/>
        <v>0</v>
      </c>
    </row>
    <row r="9" spans="1:7">
      <c r="A9" s="101">
        <v>6</v>
      </c>
      <c r="B9" s="299" t="s">
        <v>107</v>
      </c>
      <c r="C9" s="313">
        <v>0</v>
      </c>
      <c r="D9" s="312">
        <f t="shared" si="0"/>
        <v>0</v>
      </c>
      <c r="E9" s="313">
        <v>0</v>
      </c>
      <c r="F9" s="312">
        <f t="shared" si="1"/>
        <v>0</v>
      </c>
      <c r="G9" s="460">
        <f t="shared" si="2"/>
        <v>0</v>
      </c>
    </row>
    <row r="10" spans="1:7">
      <c r="A10" s="101">
        <v>7</v>
      </c>
      <c r="B10" s="299" t="s">
        <v>108</v>
      </c>
      <c r="C10" s="313">
        <v>0</v>
      </c>
      <c r="D10" s="312">
        <f t="shared" si="0"/>
        <v>0</v>
      </c>
      <c r="E10" s="313">
        <v>0</v>
      </c>
      <c r="F10" s="312">
        <f t="shared" si="1"/>
        <v>0</v>
      </c>
      <c r="G10" s="460">
        <f t="shared" si="2"/>
        <v>0</v>
      </c>
    </row>
    <row r="11" spans="1:7">
      <c r="A11" s="101">
        <v>8</v>
      </c>
      <c r="B11" s="299" t="s">
        <v>109</v>
      </c>
      <c r="C11" s="313">
        <v>2</v>
      </c>
      <c r="D11" s="312">
        <f t="shared" si="0"/>
        <v>12000</v>
      </c>
      <c r="E11" s="313">
        <v>0</v>
      </c>
      <c r="F11" s="312">
        <f t="shared" si="1"/>
        <v>0</v>
      </c>
      <c r="G11" s="460">
        <f t="shared" si="2"/>
        <v>12000</v>
      </c>
    </row>
    <row r="12" spans="1:7">
      <c r="A12" s="101">
        <v>9</v>
      </c>
      <c r="B12" s="299" t="s">
        <v>110</v>
      </c>
      <c r="C12" s="313">
        <v>2</v>
      </c>
      <c r="D12" s="312">
        <f t="shared" si="0"/>
        <v>12000</v>
      </c>
      <c r="E12" s="313">
        <v>2</v>
      </c>
      <c r="F12" s="312">
        <f t="shared" si="1"/>
        <v>8000</v>
      </c>
      <c r="G12" s="460">
        <f t="shared" si="2"/>
        <v>20000</v>
      </c>
    </row>
    <row r="13" spans="1:7">
      <c r="A13" s="102">
        <v>10</v>
      </c>
      <c r="B13" s="300" t="s">
        <v>111</v>
      </c>
      <c r="C13" s="320">
        <v>11</v>
      </c>
      <c r="D13" s="319">
        <f t="shared" si="0"/>
        <v>66000</v>
      </c>
      <c r="E13" s="320">
        <v>8</v>
      </c>
      <c r="F13" s="319">
        <f t="shared" si="1"/>
        <v>32000</v>
      </c>
      <c r="G13" s="461">
        <f t="shared" si="2"/>
        <v>98000</v>
      </c>
    </row>
    <row r="14" spans="1:7">
      <c r="A14" s="101">
        <v>11</v>
      </c>
      <c r="B14" s="299" t="s">
        <v>112</v>
      </c>
      <c r="C14" s="313">
        <v>0</v>
      </c>
      <c r="D14" s="312">
        <f t="shared" si="0"/>
        <v>0</v>
      </c>
      <c r="E14" s="313">
        <v>0</v>
      </c>
      <c r="F14" s="312">
        <f t="shared" si="1"/>
        <v>0</v>
      </c>
      <c r="G14" s="460">
        <f t="shared" si="2"/>
        <v>0</v>
      </c>
    </row>
    <row r="15" spans="1:7">
      <c r="A15" s="101">
        <v>12</v>
      </c>
      <c r="B15" s="299" t="s">
        <v>113</v>
      </c>
      <c r="C15" s="313">
        <v>0</v>
      </c>
      <c r="D15" s="312">
        <f t="shared" si="0"/>
        <v>0</v>
      </c>
      <c r="E15" s="313">
        <v>0</v>
      </c>
      <c r="F15" s="312">
        <f t="shared" si="1"/>
        <v>0</v>
      </c>
      <c r="G15" s="460">
        <f t="shared" si="2"/>
        <v>0</v>
      </c>
    </row>
    <row r="16" spans="1:7">
      <c r="A16" s="101">
        <v>13</v>
      </c>
      <c r="B16" s="299" t="s">
        <v>114</v>
      </c>
      <c r="C16" s="313">
        <v>0</v>
      </c>
      <c r="D16" s="312">
        <f t="shared" si="0"/>
        <v>0</v>
      </c>
      <c r="E16" s="313">
        <v>0</v>
      </c>
      <c r="F16" s="312">
        <f t="shared" si="1"/>
        <v>0</v>
      </c>
      <c r="G16" s="460">
        <f t="shared" si="2"/>
        <v>0</v>
      </c>
    </row>
    <row r="17" spans="1:7">
      <c r="A17" s="101">
        <v>14</v>
      </c>
      <c r="B17" s="299" t="s">
        <v>115</v>
      </c>
      <c r="C17" s="313">
        <v>0</v>
      </c>
      <c r="D17" s="312">
        <f t="shared" si="0"/>
        <v>0</v>
      </c>
      <c r="E17" s="313">
        <v>0</v>
      </c>
      <c r="F17" s="312">
        <f t="shared" si="1"/>
        <v>0</v>
      </c>
      <c r="G17" s="460">
        <f t="shared" si="2"/>
        <v>0</v>
      </c>
    </row>
    <row r="18" spans="1:7">
      <c r="A18" s="102">
        <v>15</v>
      </c>
      <c r="B18" s="300" t="s">
        <v>116</v>
      </c>
      <c r="C18" s="320">
        <v>1</v>
      </c>
      <c r="D18" s="319">
        <f t="shared" si="0"/>
        <v>6000</v>
      </c>
      <c r="E18" s="320">
        <v>0</v>
      </c>
      <c r="F18" s="319">
        <f t="shared" si="1"/>
        <v>0</v>
      </c>
      <c r="G18" s="461">
        <f t="shared" si="2"/>
        <v>6000</v>
      </c>
    </row>
    <row r="19" spans="1:7">
      <c r="A19" s="101">
        <v>16</v>
      </c>
      <c r="B19" s="299" t="s">
        <v>117</v>
      </c>
      <c r="C19" s="313">
        <v>0</v>
      </c>
      <c r="D19" s="312">
        <f t="shared" si="0"/>
        <v>0</v>
      </c>
      <c r="E19" s="313">
        <v>0</v>
      </c>
      <c r="F19" s="312">
        <f t="shared" si="1"/>
        <v>0</v>
      </c>
      <c r="G19" s="460">
        <f t="shared" si="2"/>
        <v>0</v>
      </c>
    </row>
    <row r="20" spans="1:7">
      <c r="A20" s="101">
        <v>17</v>
      </c>
      <c r="B20" s="299" t="s">
        <v>118</v>
      </c>
      <c r="C20" s="313">
        <v>2</v>
      </c>
      <c r="D20" s="312">
        <f t="shared" si="0"/>
        <v>12000</v>
      </c>
      <c r="E20" s="313">
        <v>8</v>
      </c>
      <c r="F20" s="312">
        <f t="shared" si="1"/>
        <v>32000</v>
      </c>
      <c r="G20" s="460">
        <f t="shared" si="2"/>
        <v>44000</v>
      </c>
    </row>
    <row r="21" spans="1:7">
      <c r="A21" s="101">
        <v>18</v>
      </c>
      <c r="B21" s="299" t="s">
        <v>119</v>
      </c>
      <c r="C21" s="313">
        <v>0</v>
      </c>
      <c r="D21" s="312">
        <f t="shared" si="0"/>
        <v>0</v>
      </c>
      <c r="E21" s="313">
        <v>0</v>
      </c>
      <c r="F21" s="312">
        <f t="shared" si="1"/>
        <v>0</v>
      </c>
      <c r="G21" s="460">
        <f t="shared" si="2"/>
        <v>0</v>
      </c>
    </row>
    <row r="22" spans="1:7">
      <c r="A22" s="101">
        <v>19</v>
      </c>
      <c r="B22" s="299" t="s">
        <v>120</v>
      </c>
      <c r="C22" s="313">
        <v>0</v>
      </c>
      <c r="D22" s="312">
        <f t="shared" si="0"/>
        <v>0</v>
      </c>
      <c r="E22" s="313">
        <v>0</v>
      </c>
      <c r="F22" s="312">
        <f t="shared" si="1"/>
        <v>0</v>
      </c>
      <c r="G22" s="460">
        <f t="shared" si="2"/>
        <v>0</v>
      </c>
    </row>
    <row r="23" spans="1:7">
      <c r="A23" s="102">
        <v>20</v>
      </c>
      <c r="B23" s="300" t="s">
        <v>121</v>
      </c>
      <c r="C23" s="320">
        <v>0</v>
      </c>
      <c r="D23" s="319">
        <f t="shared" si="0"/>
        <v>0</v>
      </c>
      <c r="E23" s="320">
        <v>0</v>
      </c>
      <c r="F23" s="319">
        <f t="shared" si="1"/>
        <v>0</v>
      </c>
      <c r="G23" s="461">
        <f t="shared" si="2"/>
        <v>0</v>
      </c>
    </row>
    <row r="24" spans="1:7">
      <c r="A24" s="101">
        <v>21</v>
      </c>
      <c r="B24" s="299" t="s">
        <v>122</v>
      </c>
      <c r="C24" s="313">
        <v>0</v>
      </c>
      <c r="D24" s="312">
        <f t="shared" si="0"/>
        <v>0</v>
      </c>
      <c r="E24" s="313">
        <v>0</v>
      </c>
      <c r="F24" s="312">
        <f t="shared" si="1"/>
        <v>0</v>
      </c>
      <c r="G24" s="460">
        <f t="shared" si="2"/>
        <v>0</v>
      </c>
    </row>
    <row r="25" spans="1:7">
      <c r="A25" s="101">
        <v>22</v>
      </c>
      <c r="B25" s="299" t="s">
        <v>123</v>
      </c>
      <c r="C25" s="313">
        <v>0</v>
      </c>
      <c r="D25" s="312">
        <f t="shared" si="0"/>
        <v>0</v>
      </c>
      <c r="E25" s="313">
        <v>0</v>
      </c>
      <c r="F25" s="312">
        <f t="shared" si="1"/>
        <v>0</v>
      </c>
      <c r="G25" s="460">
        <f t="shared" si="2"/>
        <v>0</v>
      </c>
    </row>
    <row r="26" spans="1:7">
      <c r="A26" s="101">
        <v>23</v>
      </c>
      <c r="B26" s="299" t="s">
        <v>124</v>
      </c>
      <c r="C26" s="313">
        <v>3</v>
      </c>
      <c r="D26" s="312">
        <f t="shared" si="0"/>
        <v>18000</v>
      </c>
      <c r="E26" s="313">
        <v>4</v>
      </c>
      <c r="F26" s="312">
        <f t="shared" si="1"/>
        <v>16000</v>
      </c>
      <c r="G26" s="460">
        <f t="shared" si="2"/>
        <v>34000</v>
      </c>
    </row>
    <row r="27" spans="1:7">
      <c r="A27" s="101">
        <v>24</v>
      </c>
      <c r="B27" s="299" t="s">
        <v>125</v>
      </c>
      <c r="C27" s="313">
        <v>0</v>
      </c>
      <c r="D27" s="312">
        <f t="shared" si="0"/>
        <v>0</v>
      </c>
      <c r="E27" s="313">
        <v>0</v>
      </c>
      <c r="F27" s="312">
        <f t="shared" si="1"/>
        <v>0</v>
      </c>
      <c r="G27" s="460">
        <f t="shared" si="2"/>
        <v>0</v>
      </c>
    </row>
    <row r="28" spans="1:7">
      <c r="A28" s="102">
        <v>25</v>
      </c>
      <c r="B28" s="300" t="s">
        <v>126</v>
      </c>
      <c r="C28" s="320">
        <v>0</v>
      </c>
      <c r="D28" s="319">
        <f t="shared" si="0"/>
        <v>0</v>
      </c>
      <c r="E28" s="320">
        <v>0</v>
      </c>
      <c r="F28" s="319">
        <f t="shared" si="1"/>
        <v>0</v>
      </c>
      <c r="G28" s="461">
        <f t="shared" si="2"/>
        <v>0</v>
      </c>
    </row>
    <row r="29" spans="1:7">
      <c r="A29" s="101">
        <v>26</v>
      </c>
      <c r="B29" s="299" t="s">
        <v>127</v>
      </c>
      <c r="C29" s="313">
        <v>0</v>
      </c>
      <c r="D29" s="312">
        <f t="shared" si="0"/>
        <v>0</v>
      </c>
      <c r="E29" s="313">
        <v>0</v>
      </c>
      <c r="F29" s="312">
        <f t="shared" si="1"/>
        <v>0</v>
      </c>
      <c r="G29" s="460">
        <f t="shared" si="2"/>
        <v>0</v>
      </c>
    </row>
    <row r="30" spans="1:7">
      <c r="A30" s="101">
        <v>27</v>
      </c>
      <c r="B30" s="299" t="s">
        <v>128</v>
      </c>
      <c r="C30" s="313">
        <v>0</v>
      </c>
      <c r="D30" s="312">
        <f t="shared" si="0"/>
        <v>0</v>
      </c>
      <c r="E30" s="313">
        <v>0</v>
      </c>
      <c r="F30" s="312">
        <f t="shared" si="1"/>
        <v>0</v>
      </c>
      <c r="G30" s="460">
        <f t="shared" si="2"/>
        <v>0</v>
      </c>
    </row>
    <row r="31" spans="1:7">
      <c r="A31" s="101">
        <v>28</v>
      </c>
      <c r="B31" s="299" t="s">
        <v>129</v>
      </c>
      <c r="C31" s="313">
        <v>11</v>
      </c>
      <c r="D31" s="312">
        <f t="shared" si="0"/>
        <v>66000</v>
      </c>
      <c r="E31" s="313">
        <v>8</v>
      </c>
      <c r="F31" s="312">
        <f t="shared" si="1"/>
        <v>32000</v>
      </c>
      <c r="G31" s="460">
        <f t="shared" si="2"/>
        <v>98000</v>
      </c>
    </row>
    <row r="32" spans="1:7">
      <c r="A32" s="101">
        <v>29</v>
      </c>
      <c r="B32" s="299" t="s">
        <v>130</v>
      </c>
      <c r="C32" s="313">
        <v>2</v>
      </c>
      <c r="D32" s="312">
        <f t="shared" si="0"/>
        <v>12000</v>
      </c>
      <c r="E32" s="313">
        <v>3</v>
      </c>
      <c r="F32" s="312">
        <f t="shared" si="1"/>
        <v>12000</v>
      </c>
      <c r="G32" s="460">
        <f t="shared" si="2"/>
        <v>24000</v>
      </c>
    </row>
    <row r="33" spans="1:7">
      <c r="A33" s="102">
        <v>30</v>
      </c>
      <c r="B33" s="300" t="s">
        <v>131</v>
      </c>
      <c r="C33" s="320">
        <v>0</v>
      </c>
      <c r="D33" s="319">
        <f t="shared" si="0"/>
        <v>0</v>
      </c>
      <c r="E33" s="320">
        <v>0</v>
      </c>
      <c r="F33" s="319">
        <f t="shared" si="1"/>
        <v>0</v>
      </c>
      <c r="G33" s="461">
        <f t="shared" si="2"/>
        <v>0</v>
      </c>
    </row>
    <row r="34" spans="1:7">
      <c r="A34" s="101">
        <v>31</v>
      </c>
      <c r="B34" s="299" t="s">
        <v>132</v>
      </c>
      <c r="C34" s="313">
        <v>0</v>
      </c>
      <c r="D34" s="312">
        <f t="shared" si="0"/>
        <v>0</v>
      </c>
      <c r="E34" s="313">
        <v>0</v>
      </c>
      <c r="F34" s="312">
        <f t="shared" si="1"/>
        <v>0</v>
      </c>
      <c r="G34" s="460">
        <f t="shared" si="2"/>
        <v>0</v>
      </c>
    </row>
    <row r="35" spans="1:7">
      <c r="A35" s="101">
        <v>32</v>
      </c>
      <c r="B35" s="299" t="s">
        <v>133</v>
      </c>
      <c r="C35" s="313">
        <v>0</v>
      </c>
      <c r="D35" s="312">
        <f t="shared" si="0"/>
        <v>0</v>
      </c>
      <c r="E35" s="313">
        <v>0</v>
      </c>
      <c r="F35" s="312">
        <f t="shared" si="1"/>
        <v>0</v>
      </c>
      <c r="G35" s="460">
        <f t="shared" si="2"/>
        <v>0</v>
      </c>
    </row>
    <row r="36" spans="1:7">
      <c r="A36" s="101">
        <v>33</v>
      </c>
      <c r="B36" s="299" t="s">
        <v>134</v>
      </c>
      <c r="C36" s="313">
        <v>0</v>
      </c>
      <c r="D36" s="312">
        <f t="shared" si="0"/>
        <v>0</v>
      </c>
      <c r="E36" s="313">
        <v>1</v>
      </c>
      <c r="F36" s="312">
        <f t="shared" si="1"/>
        <v>4000</v>
      </c>
      <c r="G36" s="460">
        <f t="shared" si="2"/>
        <v>4000</v>
      </c>
    </row>
    <row r="37" spans="1:7">
      <c r="A37" s="101">
        <v>34</v>
      </c>
      <c r="B37" s="299" t="s">
        <v>135</v>
      </c>
      <c r="C37" s="313">
        <v>0</v>
      </c>
      <c r="D37" s="312">
        <f t="shared" si="0"/>
        <v>0</v>
      </c>
      <c r="E37" s="313">
        <v>0</v>
      </c>
      <c r="F37" s="312">
        <f t="shared" si="1"/>
        <v>0</v>
      </c>
      <c r="G37" s="460">
        <f t="shared" si="2"/>
        <v>0</v>
      </c>
    </row>
    <row r="38" spans="1:7">
      <c r="A38" s="102">
        <v>35</v>
      </c>
      <c r="B38" s="300" t="s">
        <v>136</v>
      </c>
      <c r="C38" s="320">
        <v>0</v>
      </c>
      <c r="D38" s="319">
        <f t="shared" si="0"/>
        <v>0</v>
      </c>
      <c r="E38" s="320">
        <v>0</v>
      </c>
      <c r="F38" s="319">
        <f t="shared" si="1"/>
        <v>0</v>
      </c>
      <c r="G38" s="461">
        <f t="shared" si="2"/>
        <v>0</v>
      </c>
    </row>
    <row r="39" spans="1:7">
      <c r="A39" s="101">
        <v>36</v>
      </c>
      <c r="B39" s="299" t="s">
        <v>137</v>
      </c>
      <c r="C39" s="313">
        <v>1</v>
      </c>
      <c r="D39" s="312">
        <f t="shared" si="0"/>
        <v>6000</v>
      </c>
      <c r="E39" s="313">
        <v>14</v>
      </c>
      <c r="F39" s="312">
        <f t="shared" si="1"/>
        <v>56000</v>
      </c>
      <c r="G39" s="460">
        <f t="shared" si="2"/>
        <v>62000</v>
      </c>
    </row>
    <row r="40" spans="1:7">
      <c r="A40" s="101">
        <v>37</v>
      </c>
      <c r="B40" s="299" t="s">
        <v>138</v>
      </c>
      <c r="C40" s="313">
        <v>0</v>
      </c>
      <c r="D40" s="312">
        <f t="shared" si="0"/>
        <v>0</v>
      </c>
      <c r="E40" s="313">
        <v>0</v>
      </c>
      <c r="F40" s="312">
        <f t="shared" si="1"/>
        <v>0</v>
      </c>
      <c r="G40" s="460">
        <f t="shared" si="2"/>
        <v>0</v>
      </c>
    </row>
    <row r="41" spans="1:7">
      <c r="A41" s="101">
        <v>38</v>
      </c>
      <c r="B41" s="299" t="s">
        <v>139</v>
      </c>
      <c r="C41" s="313">
        <v>0</v>
      </c>
      <c r="D41" s="312">
        <f t="shared" si="0"/>
        <v>0</v>
      </c>
      <c r="E41" s="313">
        <v>2</v>
      </c>
      <c r="F41" s="312">
        <f t="shared" si="1"/>
        <v>8000</v>
      </c>
      <c r="G41" s="460">
        <f t="shared" si="2"/>
        <v>8000</v>
      </c>
    </row>
    <row r="42" spans="1:7">
      <c r="A42" s="101">
        <v>39</v>
      </c>
      <c r="B42" s="299" t="s">
        <v>140</v>
      </c>
      <c r="C42" s="313">
        <v>0</v>
      </c>
      <c r="D42" s="312">
        <f t="shared" si="0"/>
        <v>0</v>
      </c>
      <c r="E42" s="313">
        <v>0</v>
      </c>
      <c r="F42" s="312">
        <f t="shared" si="1"/>
        <v>0</v>
      </c>
      <c r="G42" s="460">
        <f t="shared" si="2"/>
        <v>0</v>
      </c>
    </row>
    <row r="43" spans="1:7">
      <c r="A43" s="102">
        <v>40</v>
      </c>
      <c r="B43" s="300" t="s">
        <v>141</v>
      </c>
      <c r="C43" s="320">
        <v>0</v>
      </c>
      <c r="D43" s="319">
        <f t="shared" si="0"/>
        <v>0</v>
      </c>
      <c r="E43" s="320">
        <v>0</v>
      </c>
      <c r="F43" s="319">
        <f t="shared" si="1"/>
        <v>0</v>
      </c>
      <c r="G43" s="461">
        <f t="shared" si="2"/>
        <v>0</v>
      </c>
    </row>
    <row r="44" spans="1:7">
      <c r="A44" s="101">
        <v>41</v>
      </c>
      <c r="B44" s="299" t="s">
        <v>142</v>
      </c>
      <c r="C44" s="313">
        <v>0</v>
      </c>
      <c r="D44" s="312">
        <f t="shared" si="0"/>
        <v>0</v>
      </c>
      <c r="E44" s="313">
        <v>0</v>
      </c>
      <c r="F44" s="312">
        <f t="shared" si="1"/>
        <v>0</v>
      </c>
      <c r="G44" s="460">
        <f t="shared" si="2"/>
        <v>0</v>
      </c>
    </row>
    <row r="45" spans="1:7">
      <c r="A45" s="101">
        <v>42</v>
      </c>
      <c r="B45" s="299" t="s">
        <v>143</v>
      </c>
      <c r="C45" s="313">
        <v>0</v>
      </c>
      <c r="D45" s="312">
        <f t="shared" si="0"/>
        <v>0</v>
      </c>
      <c r="E45" s="313">
        <v>0</v>
      </c>
      <c r="F45" s="312">
        <f t="shared" si="1"/>
        <v>0</v>
      </c>
      <c r="G45" s="460">
        <f t="shared" si="2"/>
        <v>0</v>
      </c>
    </row>
    <row r="46" spans="1:7">
      <c r="A46" s="101">
        <v>43</v>
      </c>
      <c r="B46" s="299" t="s">
        <v>144</v>
      </c>
      <c r="C46" s="313">
        <v>0</v>
      </c>
      <c r="D46" s="312">
        <f t="shared" si="0"/>
        <v>0</v>
      </c>
      <c r="E46" s="313">
        <v>0</v>
      </c>
      <c r="F46" s="312">
        <f t="shared" si="1"/>
        <v>0</v>
      </c>
      <c r="G46" s="460">
        <f t="shared" si="2"/>
        <v>0</v>
      </c>
    </row>
    <row r="47" spans="1:7">
      <c r="A47" s="101">
        <v>44</v>
      </c>
      <c r="B47" s="299" t="s">
        <v>145</v>
      </c>
      <c r="C47" s="313">
        <v>0</v>
      </c>
      <c r="D47" s="312">
        <f t="shared" si="0"/>
        <v>0</v>
      </c>
      <c r="E47" s="313">
        <v>0</v>
      </c>
      <c r="F47" s="312">
        <f t="shared" si="1"/>
        <v>0</v>
      </c>
      <c r="G47" s="460">
        <f t="shared" si="2"/>
        <v>0</v>
      </c>
    </row>
    <row r="48" spans="1:7">
      <c r="A48" s="102">
        <v>45</v>
      </c>
      <c r="B48" s="300" t="s">
        <v>146</v>
      </c>
      <c r="C48" s="320">
        <v>0</v>
      </c>
      <c r="D48" s="319">
        <f t="shared" si="0"/>
        <v>0</v>
      </c>
      <c r="E48" s="320">
        <v>0</v>
      </c>
      <c r="F48" s="319">
        <f t="shared" si="1"/>
        <v>0</v>
      </c>
      <c r="G48" s="461">
        <f t="shared" si="2"/>
        <v>0</v>
      </c>
    </row>
    <row r="49" spans="1:7">
      <c r="A49" s="101">
        <v>46</v>
      </c>
      <c r="B49" s="299" t="s">
        <v>147</v>
      </c>
      <c r="C49" s="313">
        <v>0</v>
      </c>
      <c r="D49" s="312">
        <f t="shared" si="0"/>
        <v>0</v>
      </c>
      <c r="E49" s="313">
        <v>0</v>
      </c>
      <c r="F49" s="312">
        <f t="shared" si="1"/>
        <v>0</v>
      </c>
      <c r="G49" s="460">
        <f t="shared" si="2"/>
        <v>0</v>
      </c>
    </row>
    <row r="50" spans="1:7">
      <c r="A50" s="101">
        <v>47</v>
      </c>
      <c r="B50" s="299" t="s">
        <v>148</v>
      </c>
      <c r="C50" s="313">
        <v>0</v>
      </c>
      <c r="D50" s="312">
        <f t="shared" si="0"/>
        <v>0</v>
      </c>
      <c r="E50" s="313">
        <v>0</v>
      </c>
      <c r="F50" s="312">
        <f t="shared" si="1"/>
        <v>0</v>
      </c>
      <c r="G50" s="460">
        <f t="shared" si="2"/>
        <v>0</v>
      </c>
    </row>
    <row r="51" spans="1:7">
      <c r="A51" s="101">
        <v>48</v>
      </c>
      <c r="B51" s="299" t="s">
        <v>217</v>
      </c>
      <c r="C51" s="313">
        <v>0</v>
      </c>
      <c r="D51" s="312">
        <f t="shared" si="0"/>
        <v>0</v>
      </c>
      <c r="E51" s="313">
        <v>0</v>
      </c>
      <c r="F51" s="312">
        <f t="shared" si="1"/>
        <v>0</v>
      </c>
      <c r="G51" s="460">
        <f t="shared" si="2"/>
        <v>0</v>
      </c>
    </row>
    <row r="52" spans="1:7">
      <c r="A52" s="101">
        <v>49</v>
      </c>
      <c r="B52" s="299" t="s">
        <v>149</v>
      </c>
      <c r="C52" s="313">
        <v>0</v>
      </c>
      <c r="D52" s="312">
        <f t="shared" si="0"/>
        <v>0</v>
      </c>
      <c r="E52" s="313">
        <v>0</v>
      </c>
      <c r="F52" s="312">
        <f t="shared" si="1"/>
        <v>0</v>
      </c>
      <c r="G52" s="460">
        <f t="shared" si="2"/>
        <v>0</v>
      </c>
    </row>
    <row r="53" spans="1:7">
      <c r="A53" s="102">
        <v>50</v>
      </c>
      <c r="B53" s="300" t="s">
        <v>150</v>
      </c>
      <c r="C53" s="320">
        <v>2</v>
      </c>
      <c r="D53" s="319">
        <f t="shared" si="0"/>
        <v>12000</v>
      </c>
      <c r="E53" s="320">
        <v>4</v>
      </c>
      <c r="F53" s="319">
        <f t="shared" si="1"/>
        <v>16000</v>
      </c>
      <c r="G53" s="461">
        <f t="shared" si="2"/>
        <v>28000</v>
      </c>
    </row>
    <row r="54" spans="1:7">
      <c r="A54" s="101">
        <v>51</v>
      </c>
      <c r="B54" s="299" t="s">
        <v>151</v>
      </c>
      <c r="C54" s="313">
        <v>0</v>
      </c>
      <c r="D54" s="312">
        <f t="shared" si="0"/>
        <v>0</v>
      </c>
      <c r="E54" s="313">
        <v>0</v>
      </c>
      <c r="F54" s="312">
        <f t="shared" si="1"/>
        <v>0</v>
      </c>
      <c r="G54" s="460">
        <f t="shared" si="2"/>
        <v>0</v>
      </c>
    </row>
    <row r="55" spans="1:7">
      <c r="A55" s="101">
        <v>52</v>
      </c>
      <c r="B55" s="299" t="s">
        <v>152</v>
      </c>
      <c r="C55" s="313">
        <v>0</v>
      </c>
      <c r="D55" s="312">
        <f t="shared" si="0"/>
        <v>0</v>
      </c>
      <c r="E55" s="313">
        <v>0</v>
      </c>
      <c r="F55" s="312">
        <f t="shared" si="1"/>
        <v>0</v>
      </c>
      <c r="G55" s="460">
        <f t="shared" si="2"/>
        <v>0</v>
      </c>
    </row>
    <row r="56" spans="1:7">
      <c r="A56" s="101">
        <v>53</v>
      </c>
      <c r="B56" s="299" t="s">
        <v>153</v>
      </c>
      <c r="C56" s="313">
        <v>0</v>
      </c>
      <c r="D56" s="312">
        <f t="shared" si="0"/>
        <v>0</v>
      </c>
      <c r="E56" s="313">
        <v>2</v>
      </c>
      <c r="F56" s="312">
        <f t="shared" si="1"/>
        <v>8000</v>
      </c>
      <c r="G56" s="460">
        <f t="shared" si="2"/>
        <v>8000</v>
      </c>
    </row>
    <row r="57" spans="1:7">
      <c r="A57" s="101">
        <v>54</v>
      </c>
      <c r="B57" s="299" t="s">
        <v>154</v>
      </c>
      <c r="C57" s="313">
        <v>0</v>
      </c>
      <c r="D57" s="312">
        <f t="shared" si="0"/>
        <v>0</v>
      </c>
      <c r="E57" s="313">
        <v>0</v>
      </c>
      <c r="F57" s="312">
        <f t="shared" si="1"/>
        <v>0</v>
      </c>
      <c r="G57" s="460">
        <f t="shared" si="2"/>
        <v>0</v>
      </c>
    </row>
    <row r="58" spans="1:7">
      <c r="A58" s="102">
        <v>55</v>
      </c>
      <c r="B58" s="300" t="s">
        <v>155</v>
      </c>
      <c r="C58" s="320">
        <v>0</v>
      </c>
      <c r="D58" s="319">
        <f t="shared" si="0"/>
        <v>0</v>
      </c>
      <c r="E58" s="320">
        <v>0</v>
      </c>
      <c r="F58" s="319">
        <f t="shared" si="1"/>
        <v>0</v>
      </c>
      <c r="G58" s="461">
        <f t="shared" si="2"/>
        <v>0</v>
      </c>
    </row>
    <row r="59" spans="1:7">
      <c r="A59" s="101">
        <v>56</v>
      </c>
      <c r="B59" s="299" t="s">
        <v>156</v>
      </c>
      <c r="C59" s="313">
        <v>0</v>
      </c>
      <c r="D59" s="312">
        <f t="shared" si="0"/>
        <v>0</v>
      </c>
      <c r="E59" s="313">
        <v>0</v>
      </c>
      <c r="F59" s="312">
        <f t="shared" si="1"/>
        <v>0</v>
      </c>
      <c r="G59" s="460">
        <f t="shared" si="2"/>
        <v>0</v>
      </c>
    </row>
    <row r="60" spans="1:7">
      <c r="A60" s="101">
        <v>57</v>
      </c>
      <c r="B60" s="299" t="s">
        <v>157</v>
      </c>
      <c r="C60" s="313">
        <v>0</v>
      </c>
      <c r="D60" s="312">
        <f t="shared" si="0"/>
        <v>0</v>
      </c>
      <c r="E60" s="313">
        <v>0</v>
      </c>
      <c r="F60" s="312">
        <f t="shared" si="1"/>
        <v>0</v>
      </c>
      <c r="G60" s="460">
        <f t="shared" si="2"/>
        <v>0</v>
      </c>
    </row>
    <row r="61" spans="1:7">
      <c r="A61" s="101">
        <v>58</v>
      </c>
      <c r="B61" s="299" t="s">
        <v>158</v>
      </c>
      <c r="C61" s="313">
        <v>0</v>
      </c>
      <c r="D61" s="312">
        <f t="shared" si="0"/>
        <v>0</v>
      </c>
      <c r="E61" s="313">
        <v>0</v>
      </c>
      <c r="F61" s="312">
        <f t="shared" si="1"/>
        <v>0</v>
      </c>
      <c r="G61" s="460">
        <f t="shared" si="2"/>
        <v>0</v>
      </c>
    </row>
    <row r="62" spans="1:7">
      <c r="A62" s="101">
        <v>59</v>
      </c>
      <c r="B62" s="299" t="s">
        <v>159</v>
      </c>
      <c r="C62" s="313">
        <v>0</v>
      </c>
      <c r="D62" s="312">
        <f t="shared" si="0"/>
        <v>0</v>
      </c>
      <c r="E62" s="313">
        <v>0</v>
      </c>
      <c r="F62" s="312">
        <f t="shared" si="1"/>
        <v>0</v>
      </c>
      <c r="G62" s="460">
        <f t="shared" si="2"/>
        <v>0</v>
      </c>
    </row>
    <row r="63" spans="1:7">
      <c r="A63" s="102">
        <v>60</v>
      </c>
      <c r="B63" s="300" t="s">
        <v>160</v>
      </c>
      <c r="C63" s="320">
        <v>0</v>
      </c>
      <c r="D63" s="319">
        <f t="shared" si="0"/>
        <v>0</v>
      </c>
      <c r="E63" s="320">
        <v>0</v>
      </c>
      <c r="F63" s="319">
        <f t="shared" si="1"/>
        <v>0</v>
      </c>
      <c r="G63" s="461">
        <f t="shared" si="2"/>
        <v>0</v>
      </c>
    </row>
    <row r="64" spans="1:7">
      <c r="A64" s="101">
        <v>61</v>
      </c>
      <c r="B64" s="299" t="s">
        <v>161</v>
      </c>
      <c r="C64" s="313">
        <v>0</v>
      </c>
      <c r="D64" s="312">
        <f t="shared" si="0"/>
        <v>0</v>
      </c>
      <c r="E64" s="313">
        <v>0</v>
      </c>
      <c r="F64" s="312">
        <f t="shared" si="1"/>
        <v>0</v>
      </c>
      <c r="G64" s="460">
        <f t="shared" si="2"/>
        <v>0</v>
      </c>
    </row>
    <row r="65" spans="1:7">
      <c r="A65" s="101">
        <v>62</v>
      </c>
      <c r="B65" s="299" t="s">
        <v>162</v>
      </c>
      <c r="C65" s="313">
        <v>0</v>
      </c>
      <c r="D65" s="312">
        <f t="shared" si="0"/>
        <v>0</v>
      </c>
      <c r="E65" s="313">
        <v>0</v>
      </c>
      <c r="F65" s="312">
        <f t="shared" si="1"/>
        <v>0</v>
      </c>
      <c r="G65" s="460">
        <f t="shared" si="2"/>
        <v>0</v>
      </c>
    </row>
    <row r="66" spans="1:7">
      <c r="A66" s="101">
        <v>63</v>
      </c>
      <c r="B66" s="299" t="s">
        <v>163</v>
      </c>
      <c r="C66" s="313">
        <v>0</v>
      </c>
      <c r="D66" s="312">
        <f t="shared" si="0"/>
        <v>0</v>
      </c>
      <c r="E66" s="313">
        <v>0</v>
      </c>
      <c r="F66" s="312">
        <f t="shared" si="1"/>
        <v>0</v>
      </c>
      <c r="G66" s="460">
        <f t="shared" si="2"/>
        <v>0</v>
      </c>
    </row>
    <row r="67" spans="1:7">
      <c r="A67" s="101">
        <v>64</v>
      </c>
      <c r="B67" s="299" t="s">
        <v>164</v>
      </c>
      <c r="C67" s="313">
        <v>0</v>
      </c>
      <c r="D67" s="312">
        <f t="shared" si="0"/>
        <v>0</v>
      </c>
      <c r="E67" s="313">
        <v>0</v>
      </c>
      <c r="F67" s="312">
        <f t="shared" si="1"/>
        <v>0</v>
      </c>
      <c r="G67" s="460">
        <f t="shared" si="2"/>
        <v>0</v>
      </c>
    </row>
    <row r="68" spans="1:7">
      <c r="A68" s="102">
        <v>65</v>
      </c>
      <c r="B68" s="300" t="s">
        <v>165</v>
      </c>
      <c r="C68" s="326">
        <v>0</v>
      </c>
      <c r="D68" s="319">
        <f t="shared" si="0"/>
        <v>0</v>
      </c>
      <c r="E68" s="326">
        <v>0</v>
      </c>
      <c r="F68" s="319">
        <f t="shared" si="1"/>
        <v>0</v>
      </c>
      <c r="G68" s="461">
        <f t="shared" si="2"/>
        <v>0</v>
      </c>
    </row>
    <row r="69" spans="1:7">
      <c r="A69" s="135">
        <v>66</v>
      </c>
      <c r="B69" s="301" t="s">
        <v>166</v>
      </c>
      <c r="C69" s="327">
        <v>0</v>
      </c>
      <c r="D69" s="310">
        <f>ROUND($D$2*C69,0)</f>
        <v>0</v>
      </c>
      <c r="E69" s="327">
        <v>0</v>
      </c>
      <c r="F69" s="310">
        <f>ROUND($F$2*E69,0)</f>
        <v>0</v>
      </c>
      <c r="G69" s="462">
        <f>D69+F69</f>
        <v>0</v>
      </c>
    </row>
    <row r="70" spans="1:7">
      <c r="A70" s="349">
        <v>67</v>
      </c>
      <c r="B70" s="302" t="s">
        <v>33</v>
      </c>
      <c r="C70" s="313">
        <v>0</v>
      </c>
      <c r="D70" s="312">
        <f>ROUND($D$2*C70,0)</f>
        <v>0</v>
      </c>
      <c r="E70" s="313">
        <v>0</v>
      </c>
      <c r="F70" s="312">
        <f>ROUND($F$2*E70,0)</f>
        <v>0</v>
      </c>
      <c r="G70" s="460">
        <f>D70+F70</f>
        <v>0</v>
      </c>
    </row>
    <row r="71" spans="1:7">
      <c r="A71" s="101">
        <v>68</v>
      </c>
      <c r="B71" s="299" t="s">
        <v>31</v>
      </c>
      <c r="C71" s="313">
        <v>0</v>
      </c>
      <c r="D71" s="312">
        <f>ROUND($D$2*C71,0)</f>
        <v>0</v>
      </c>
      <c r="E71" s="313">
        <v>0</v>
      </c>
      <c r="F71" s="312">
        <f>ROUND($F$2*E71,0)</f>
        <v>0</v>
      </c>
      <c r="G71" s="460">
        <f>D71+F71</f>
        <v>0</v>
      </c>
    </row>
    <row r="72" spans="1:7">
      <c r="A72" s="102">
        <v>69</v>
      </c>
      <c r="B72" s="300" t="s">
        <v>229</v>
      </c>
      <c r="C72" s="326">
        <v>0</v>
      </c>
      <c r="D72" s="319">
        <f>ROUND($D$2*C72,0)</f>
        <v>0</v>
      </c>
      <c r="E72" s="326">
        <v>0</v>
      </c>
      <c r="F72" s="319">
        <f>ROUND($F$2*E72,0)</f>
        <v>0</v>
      </c>
      <c r="G72" s="461">
        <f>D72+F72</f>
        <v>0</v>
      </c>
    </row>
    <row r="73" spans="1:7" ht="13.5" thickBot="1">
      <c r="A73" s="414"/>
      <c r="B73" s="415" t="s">
        <v>1149</v>
      </c>
      <c r="C73" s="418">
        <f>SUM(C4:C72)</f>
        <v>40</v>
      </c>
      <c r="D73" s="419">
        <f>SUM(D4:D72)</f>
        <v>240000</v>
      </c>
      <c r="E73" s="418">
        <f>SUM(E4:E72)</f>
        <v>56</v>
      </c>
      <c r="F73" s="419">
        <f>SUM(F4:F72)</f>
        <v>224000</v>
      </c>
      <c r="G73" s="470">
        <f>SUM(G4:G72)</f>
        <v>464000</v>
      </c>
    </row>
    <row r="74" spans="1:7" ht="13.5" thickTop="1">
      <c r="A74" s="1368"/>
      <c r="B74" s="1365" t="s">
        <v>1150</v>
      </c>
      <c r="C74" s="1369">
        <v>6</v>
      </c>
      <c r="D74" s="1370">
        <f t="shared" ref="D74:D75" si="3">ROUND($D$2*C74,0)</f>
        <v>36000</v>
      </c>
      <c r="E74" s="1371">
        <v>15</v>
      </c>
      <c r="F74" s="1370">
        <f t="shared" ref="F74:F75" si="4">ROUND($F$2*E74,0)</f>
        <v>60000</v>
      </c>
      <c r="G74" s="1372">
        <f t="shared" ref="G74:G75" si="5">D74+F74</f>
        <v>96000</v>
      </c>
    </row>
    <row r="75" spans="1:7">
      <c r="A75" s="1373"/>
      <c r="B75" s="1366" t="s">
        <v>1151</v>
      </c>
      <c r="C75" s="1374">
        <v>12</v>
      </c>
      <c r="D75" s="1375">
        <f t="shared" si="3"/>
        <v>72000</v>
      </c>
      <c r="E75" s="1374">
        <v>6</v>
      </c>
      <c r="F75" s="1375">
        <f t="shared" si="4"/>
        <v>24000</v>
      </c>
      <c r="G75" s="1376">
        <f t="shared" si="5"/>
        <v>96000</v>
      </c>
    </row>
    <row r="76" spans="1:7" ht="13.5" thickBot="1">
      <c r="A76" s="1377"/>
      <c r="B76" s="1367" t="s">
        <v>1152</v>
      </c>
      <c r="C76" s="1378">
        <f>SUM(C74:C75)</f>
        <v>18</v>
      </c>
      <c r="D76" s="1379">
        <f t="shared" ref="D76:G76" si="6">SUM(D74:D75)</f>
        <v>108000</v>
      </c>
      <c r="E76" s="1378">
        <f t="shared" si="6"/>
        <v>21</v>
      </c>
      <c r="F76" s="1379">
        <f t="shared" si="6"/>
        <v>84000</v>
      </c>
      <c r="G76" s="1380">
        <f t="shared" si="6"/>
        <v>192000</v>
      </c>
    </row>
    <row r="77" spans="1:7" ht="14.25" thickTop="1" thickBot="1">
      <c r="A77" s="1381"/>
      <c r="B77" s="1367" t="s">
        <v>1153</v>
      </c>
      <c r="C77" s="1378">
        <f>SUM(C76,C73)</f>
        <v>58</v>
      </c>
      <c r="D77" s="1382">
        <f t="shared" ref="D77:G77" si="7">SUM(D76,D73)</f>
        <v>348000</v>
      </c>
      <c r="E77" s="1378">
        <f t="shared" si="7"/>
        <v>77</v>
      </c>
      <c r="F77" s="1383">
        <f t="shared" si="7"/>
        <v>308000</v>
      </c>
      <c r="G77" s="1384">
        <f t="shared" si="7"/>
        <v>656000</v>
      </c>
    </row>
    <row r="78" spans="1:7" s="35" customFormat="1" ht="13.5" thickTop="1">
      <c r="A78" s="443"/>
      <c r="B78" s="1108"/>
      <c r="C78" s="64"/>
      <c r="D78" s="64"/>
    </row>
    <row r="79" spans="1:7" s="35" customFormat="1">
      <c r="A79" s="421"/>
      <c r="B79" s="424"/>
      <c r="C79" s="64"/>
      <c r="D79" s="64"/>
    </row>
    <row r="80" spans="1:7" s="35" customFormat="1">
      <c r="A80" s="421"/>
      <c r="B80" s="424"/>
      <c r="C80" s="64"/>
      <c r="D80" s="64"/>
    </row>
    <row r="81" spans="1:4" s="35" customFormat="1">
      <c r="A81" s="64"/>
      <c r="B81" s="64"/>
      <c r="C81" s="64"/>
      <c r="D81" s="64"/>
    </row>
    <row r="82" spans="1:4" s="35" customFormat="1">
      <c r="A82" s="64"/>
      <c r="B82" s="64"/>
      <c r="C82" s="64"/>
      <c r="D82" s="64"/>
    </row>
    <row r="83" spans="1:4" s="35" customFormat="1">
      <c r="A83" s="64"/>
      <c r="B83" s="64"/>
      <c r="C83" s="64"/>
      <c r="D83" s="64"/>
    </row>
  </sheetData>
  <mergeCells count="3">
    <mergeCell ref="E1:E2"/>
    <mergeCell ref="G1:G2"/>
    <mergeCell ref="C1:C2"/>
  </mergeCells>
  <phoneticPr fontId="53" type="noConversion"/>
  <printOptions horizontalCentered="1"/>
  <pageMargins left="0.75" right="0.75" top="1.32" bottom="0.35" header="0.52" footer="0.35"/>
  <pageSetup paperSize="5" scale="80" firstPageNumber="35" orientation="portrait" useFirstPageNumber="1" r:id="rId1"/>
  <headerFooter alignWithMargins="0">
    <oddHeader>&amp;L&amp;"Arial,Bold"&amp;18Table 4A: &amp;20 Revised &amp;18FY2012-13 Budget Letter&amp;20 (May 2013)&amp;"Arial,Regular"&amp;10
&amp;18Foreign Associate Teacher Stipends (August 2012)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view="pageBreakPreview" zoomScale="75" zoomScaleNormal="75" zoomScaleSheetLayoutView="75" workbookViewId="0">
      <selection activeCell="A5" sqref="A5:A6"/>
    </sheetView>
  </sheetViews>
  <sheetFormatPr defaultRowHeight="12.75"/>
  <cols>
    <col min="1" max="1" width="16" bestFit="1" customWidth="1"/>
    <col min="2" max="2" width="15" customWidth="1"/>
    <col min="3" max="3" width="14" customWidth="1"/>
    <col min="4" max="4" width="19" bestFit="1" customWidth="1"/>
    <col min="5" max="5" width="14.42578125" bestFit="1" customWidth="1"/>
    <col min="6" max="6" width="16.42578125" customWidth="1"/>
    <col min="7" max="7" width="15.7109375" customWidth="1"/>
    <col min="8" max="8" width="14.42578125" bestFit="1" customWidth="1"/>
    <col min="9" max="9" width="15" bestFit="1" customWidth="1"/>
    <col min="10" max="10" width="14.28515625" customWidth="1"/>
    <col min="11" max="11" width="15.85546875" customWidth="1"/>
    <col min="12" max="12" width="14" bestFit="1" customWidth="1"/>
    <col min="13" max="13" width="16.28515625" customWidth="1"/>
    <col min="14" max="14" width="15" bestFit="1" customWidth="1"/>
    <col min="15" max="15" width="15.28515625" customWidth="1"/>
    <col min="16" max="16" width="12.5703125" bestFit="1" customWidth="1"/>
  </cols>
  <sheetData>
    <row r="1" spans="1:16" s="804" customFormat="1" ht="33" customHeight="1">
      <c r="A1" s="1881" t="s">
        <v>1077</v>
      </c>
      <c r="B1" s="1881"/>
      <c r="C1" s="1881"/>
      <c r="D1" s="1881"/>
      <c r="E1" s="1881"/>
      <c r="F1" s="1881"/>
      <c r="G1" s="1881"/>
      <c r="H1" s="1709"/>
      <c r="I1" s="1709"/>
      <c r="J1" s="1709"/>
      <c r="K1" s="1709"/>
    </row>
    <row r="2" spans="1:16" ht="11.25" hidden="1" customHeight="1">
      <c r="B2" s="73" t="s">
        <v>82</v>
      </c>
      <c r="C2" s="73"/>
      <c r="D2" s="74" t="s">
        <v>221</v>
      </c>
      <c r="E2" s="122"/>
      <c r="F2" s="35"/>
      <c r="G2" s="35"/>
      <c r="H2" s="35"/>
      <c r="I2" s="35"/>
      <c r="J2" s="35"/>
      <c r="K2" s="35"/>
    </row>
    <row r="3" spans="1:16" ht="26.25" customHeight="1">
      <c r="A3" s="1881" t="s">
        <v>1430</v>
      </c>
      <c r="B3" s="1881"/>
      <c r="C3" s="1881"/>
      <c r="D3" s="1881"/>
      <c r="E3" s="1881"/>
      <c r="F3" s="1881"/>
      <c r="G3" s="1881"/>
      <c r="H3" s="1709"/>
      <c r="I3" s="1709"/>
      <c r="J3" s="1709"/>
      <c r="K3" s="1709"/>
    </row>
    <row r="4" spans="1:16" ht="32.25" customHeight="1">
      <c r="B4" s="73"/>
      <c r="C4" s="73"/>
      <c r="D4" s="717"/>
      <c r="E4" s="716"/>
      <c r="F4" s="716"/>
      <c r="G4" s="716"/>
      <c r="H4" s="1882" t="s">
        <v>1188</v>
      </c>
      <c r="I4" s="1883"/>
      <c r="J4" s="1884"/>
      <c r="K4" s="1506"/>
    </row>
    <row r="5" spans="1:16" ht="99" customHeight="1">
      <c r="A5" s="1885" t="s">
        <v>211</v>
      </c>
      <c r="B5" s="1885" t="s">
        <v>805</v>
      </c>
      <c r="C5" s="1713" t="s">
        <v>235</v>
      </c>
      <c r="D5" s="1886" t="s">
        <v>1136</v>
      </c>
      <c r="E5" s="1887" t="s">
        <v>563</v>
      </c>
      <c r="F5" s="1887" t="s">
        <v>555</v>
      </c>
      <c r="G5" s="1886" t="s">
        <v>1138</v>
      </c>
      <c r="H5" s="1886" t="s">
        <v>1209</v>
      </c>
      <c r="I5" s="1886" t="s">
        <v>1210</v>
      </c>
      <c r="J5" s="1886" t="s">
        <v>1208</v>
      </c>
      <c r="K5" s="1886" t="s">
        <v>1211</v>
      </c>
      <c r="L5" s="1890" t="s">
        <v>991</v>
      </c>
      <c r="M5" s="1886" t="s">
        <v>1139</v>
      </c>
      <c r="N5" s="1886" t="s">
        <v>1329</v>
      </c>
      <c r="O5" s="1886" t="s">
        <v>1403</v>
      </c>
      <c r="P5" s="1885" t="s">
        <v>1137</v>
      </c>
    </row>
    <row r="6" spans="1:16" ht="56.25" customHeight="1">
      <c r="A6" s="1797"/>
      <c r="B6" s="1797"/>
      <c r="C6" s="578" t="s">
        <v>298</v>
      </c>
      <c r="D6" s="1800"/>
      <c r="E6" s="1888"/>
      <c r="F6" s="1888"/>
      <c r="G6" s="1800"/>
      <c r="H6" s="1800"/>
      <c r="I6" s="1800"/>
      <c r="J6" s="1800"/>
      <c r="K6" s="1800"/>
      <c r="L6" s="1891"/>
      <c r="M6" s="1800"/>
      <c r="N6" s="1800"/>
      <c r="O6" s="1800"/>
      <c r="P6" s="1797"/>
    </row>
    <row r="7" spans="1:16">
      <c r="A7" s="1714"/>
      <c r="B7" s="1715">
        <v>1</v>
      </c>
      <c r="C7" s="1715">
        <f t="shared" ref="C7:P7" si="0">B7+1</f>
        <v>2</v>
      </c>
      <c r="D7" s="1715">
        <f t="shared" si="0"/>
        <v>3</v>
      </c>
      <c r="E7" s="1715">
        <f t="shared" si="0"/>
        <v>4</v>
      </c>
      <c r="F7" s="1715">
        <f t="shared" si="0"/>
        <v>5</v>
      </c>
      <c r="G7" s="1715">
        <f t="shared" si="0"/>
        <v>6</v>
      </c>
      <c r="H7" s="1715">
        <f t="shared" si="0"/>
        <v>7</v>
      </c>
      <c r="I7" s="1715">
        <f t="shared" si="0"/>
        <v>8</v>
      </c>
      <c r="J7" s="1715">
        <f t="shared" si="0"/>
        <v>9</v>
      </c>
      <c r="K7" s="1715">
        <f t="shared" si="0"/>
        <v>10</v>
      </c>
      <c r="L7" s="1715">
        <f t="shared" si="0"/>
        <v>11</v>
      </c>
      <c r="M7" s="1715">
        <f t="shared" si="0"/>
        <v>12</v>
      </c>
      <c r="N7" s="1715">
        <f t="shared" si="0"/>
        <v>13</v>
      </c>
      <c r="O7" s="1715">
        <f t="shared" si="0"/>
        <v>14</v>
      </c>
      <c r="P7" s="1715">
        <f t="shared" si="0"/>
        <v>15</v>
      </c>
    </row>
    <row r="8" spans="1:16" ht="25.5">
      <c r="A8" s="227" t="s">
        <v>273</v>
      </c>
      <c r="B8" s="226">
        <f>'[11]2-1-12 MFP Funded by site'!G12</f>
        <v>1359</v>
      </c>
      <c r="C8" s="58">
        <f>'[11]Table 3 Levels 1&amp;2'!AL77</f>
        <v>4336.5032257801222</v>
      </c>
      <c r="D8" s="58">
        <f>B8*ROUND(C8,0)</f>
        <v>5893983</v>
      </c>
      <c r="E8" s="58">
        <v>605.97185873605952</v>
      </c>
      <c r="F8" s="58">
        <f>E8*B8</f>
        <v>823515.75602230488</v>
      </c>
      <c r="G8" s="576">
        <f>D8+F8</f>
        <v>6717498.7560223052</v>
      </c>
      <c r="H8" s="576">
        <f>'[12]Midyear Adjustment Summary'!$C$76</f>
        <v>69194.651183226539</v>
      </c>
      <c r="I8" s="576">
        <f>'[12]Midyear Adjustment Summary'!$D$76</f>
        <v>7413.7126267742724</v>
      </c>
      <c r="J8" s="576">
        <f>H8+I8</f>
        <v>76608.36381000081</v>
      </c>
      <c r="K8" s="576">
        <f>G8+J8</f>
        <v>6794107.1198323062</v>
      </c>
      <c r="L8" s="58">
        <f>'[2]Adjusted Amounts'!$C$78+'[2]Adjusted Amounts'!$H$78</f>
        <v>0</v>
      </c>
      <c r="M8" s="576">
        <f>SUM(K8:L8)</f>
        <v>6794107.1198323062</v>
      </c>
      <c r="N8" s="576">
        <f>[13]MFP!$EW$79+577656+577656+8454</f>
        <v>5632134</v>
      </c>
      <c r="O8" s="576">
        <f>M8-N8</f>
        <v>1161973.1198323062</v>
      </c>
      <c r="P8" s="58">
        <f>O8/2</f>
        <v>580986.55991615308</v>
      </c>
    </row>
    <row r="9" spans="1:16" ht="25.5">
      <c r="A9" s="1716" t="s">
        <v>274</v>
      </c>
      <c r="B9" s="226">
        <f>'[11]2-1-12 MFP Funded by site'!G13</f>
        <v>266</v>
      </c>
      <c r="C9" s="58">
        <f>'[11]Table 3 Levels 1&amp;2'!AL77</f>
        <v>4336.5032257801222</v>
      </c>
      <c r="D9" s="58">
        <f>B9*ROUND(C9,0)</f>
        <v>1153642</v>
      </c>
      <c r="E9" s="58">
        <v>699.89832861189802</v>
      </c>
      <c r="F9" s="58">
        <f>E9*B9</f>
        <v>186172.95541076487</v>
      </c>
      <c r="G9" s="576">
        <f>D9+F9</f>
        <v>1339814.9554107648</v>
      </c>
      <c r="H9" s="576">
        <f>'[12]Midyear Adjustment Summary'!$C$77</f>
        <v>569113.37564629829</v>
      </c>
      <c r="I9" s="576">
        <f>'[12]Midyear Adjustment Summary'!$D$77</f>
        <v>30218.409326352121</v>
      </c>
      <c r="J9" s="576">
        <f>H9+I9</f>
        <v>599331.78497265046</v>
      </c>
      <c r="K9" s="576">
        <f>G9+J9</f>
        <v>1939146.7403834153</v>
      </c>
      <c r="L9" s="58">
        <f>'[2]Adjusted Amounts'!$C$79+'[2]Adjusted Amounts'!$H$79</f>
        <v>-2510.7525593164992</v>
      </c>
      <c r="M9" s="576">
        <f>SUM(K9:L9)</f>
        <v>1936635.9878240987</v>
      </c>
      <c r="N9" s="576">
        <f>[13]MFP!$EW$80+260715+260715</f>
        <v>1411014</v>
      </c>
      <c r="O9" s="576">
        <f>M9-N9</f>
        <v>525621.98782409867</v>
      </c>
      <c r="P9" s="58">
        <f>O9/2</f>
        <v>262810.99391204934</v>
      </c>
    </row>
    <row r="10" spans="1:16" s="8" customFormat="1" ht="25.5" customHeight="1" thickBot="1">
      <c r="A10" s="43" t="s">
        <v>193</v>
      </c>
      <c r="B10" s="76">
        <f>SUM(B8:B9)</f>
        <v>1625</v>
      </c>
      <c r="C10" s="45"/>
      <c r="D10" s="44">
        <f>SUM(D8:D9)</f>
        <v>7047625</v>
      </c>
      <c r="E10" s="44"/>
      <c r="F10" s="44">
        <f>SUM(F8:F9)</f>
        <v>1009688.7114330698</v>
      </c>
      <c r="G10" s="577">
        <f>SUM(G8:G9)</f>
        <v>8057313.7114330698</v>
      </c>
      <c r="H10" s="577">
        <f t="shared" ref="H10:P10" si="1">SUM(H8:H9)</f>
        <v>638308.02682952478</v>
      </c>
      <c r="I10" s="577">
        <f t="shared" si="1"/>
        <v>37632.121953126392</v>
      </c>
      <c r="J10" s="577">
        <f t="shared" si="1"/>
        <v>675940.14878265129</v>
      </c>
      <c r="K10" s="577">
        <f t="shared" si="1"/>
        <v>8733253.8602157217</v>
      </c>
      <c r="L10" s="44">
        <f t="shared" si="1"/>
        <v>-2510.7525593164992</v>
      </c>
      <c r="M10" s="577">
        <f t="shared" si="1"/>
        <v>8730743.1076564044</v>
      </c>
      <c r="N10" s="577">
        <f t="shared" si="1"/>
        <v>7043148</v>
      </c>
      <c r="O10" s="577">
        <f t="shared" si="1"/>
        <v>1687595.1076564048</v>
      </c>
      <c r="P10" s="44">
        <f t="shared" si="1"/>
        <v>843797.55382820242</v>
      </c>
    </row>
    <row r="11" spans="1:16" s="8" customFormat="1" ht="13.5" thickTop="1">
      <c r="A11" s="96"/>
      <c r="B11" s="97"/>
      <c r="C11" s="98"/>
      <c r="D11" s="99"/>
    </row>
    <row r="12" spans="1:16" s="8" customFormat="1" ht="31.5" customHeight="1">
      <c r="A12" s="96"/>
      <c r="B12" s="97"/>
      <c r="C12" s="98"/>
      <c r="D12" s="99"/>
    </row>
    <row r="13" spans="1:16" s="804" customFormat="1" ht="33" customHeight="1">
      <c r="A13" s="1881" t="s">
        <v>1446</v>
      </c>
      <c r="B13" s="1881"/>
      <c r="C13" s="1881"/>
      <c r="D13" s="1881"/>
      <c r="E13" s="1881"/>
      <c r="F13" s="1881"/>
      <c r="G13" s="1881"/>
      <c r="H13" s="1709"/>
      <c r="I13" s="1709"/>
      <c r="J13" s="1709"/>
      <c r="K13" s="1709"/>
    </row>
    <row r="14" spans="1:16" ht="11.25" hidden="1" customHeight="1">
      <c r="B14" s="73" t="s">
        <v>82</v>
      </c>
      <c r="C14" s="73"/>
      <c r="D14" s="74" t="s">
        <v>221</v>
      </c>
      <c r="E14" s="122"/>
      <c r="F14" s="35"/>
      <c r="G14" s="35"/>
      <c r="H14" s="35"/>
      <c r="I14" s="35"/>
      <c r="J14" s="35"/>
      <c r="K14" s="35"/>
    </row>
    <row r="15" spans="1:16" ht="26.25" customHeight="1">
      <c r="A15" s="1881" t="s">
        <v>1447</v>
      </c>
      <c r="B15" s="1881"/>
      <c r="C15" s="1881"/>
      <c r="D15" s="1881"/>
      <c r="E15" s="1881"/>
      <c r="F15" s="1881"/>
      <c r="G15" s="1881"/>
      <c r="H15" s="1709"/>
      <c r="I15" s="1709"/>
      <c r="J15" s="1709"/>
      <c r="K15" s="1709"/>
    </row>
    <row r="16" spans="1:16" ht="32.25" customHeight="1">
      <c r="B16" s="73"/>
      <c r="C16" s="73"/>
      <c r="D16" s="717"/>
      <c r="E16" s="716"/>
      <c r="F16" s="716"/>
      <c r="G16" s="716"/>
      <c r="H16" s="1889"/>
      <c r="I16" s="1889"/>
      <c r="J16" s="1889"/>
      <c r="K16" s="1506"/>
    </row>
    <row r="17" spans="1:13" ht="99" customHeight="1">
      <c r="A17" s="1885" t="s">
        <v>211</v>
      </c>
      <c r="B17" s="1885" t="s">
        <v>805</v>
      </c>
      <c r="C17" s="1713" t="s">
        <v>235</v>
      </c>
      <c r="D17" s="1886" t="s">
        <v>1136</v>
      </c>
      <c r="E17" s="1886" t="s">
        <v>1209</v>
      </c>
      <c r="F17" s="1886" t="s">
        <v>1210</v>
      </c>
      <c r="G17" s="1886" t="s">
        <v>1208</v>
      </c>
      <c r="H17" s="1892" t="s">
        <v>1211</v>
      </c>
      <c r="I17" s="1893" t="s">
        <v>991</v>
      </c>
      <c r="J17" s="1892" t="s">
        <v>1139</v>
      </c>
      <c r="K17" s="1886" t="s">
        <v>1329</v>
      </c>
      <c r="L17" s="1886" t="s">
        <v>1403</v>
      </c>
      <c r="M17" s="1885" t="s">
        <v>1137</v>
      </c>
    </row>
    <row r="18" spans="1:13" ht="56.25" customHeight="1">
      <c r="A18" s="1797"/>
      <c r="B18" s="1797"/>
      <c r="C18" s="578" t="s">
        <v>1466</v>
      </c>
      <c r="D18" s="1800"/>
      <c r="E18" s="1800"/>
      <c r="F18" s="1800"/>
      <c r="G18" s="1800"/>
      <c r="H18" s="1800"/>
      <c r="I18" s="1891"/>
      <c r="J18" s="1800"/>
      <c r="K18" s="1800"/>
      <c r="L18" s="1800"/>
      <c r="M18" s="1797"/>
    </row>
    <row r="19" spans="1:13">
      <c r="A19" s="1714"/>
      <c r="B19" s="1715">
        <v>1</v>
      </c>
      <c r="C19" s="1715">
        <f t="shared" ref="C19:M19" si="2">B19+1</f>
        <v>2</v>
      </c>
      <c r="D19" s="1715">
        <f t="shared" si="2"/>
        <v>3</v>
      </c>
      <c r="E19" s="1715">
        <f t="shared" si="2"/>
        <v>4</v>
      </c>
      <c r="F19" s="1715">
        <f t="shared" si="2"/>
        <v>5</v>
      </c>
      <c r="G19" s="1715">
        <f t="shared" si="2"/>
        <v>6</v>
      </c>
      <c r="H19" s="1715">
        <f t="shared" si="2"/>
        <v>7</v>
      </c>
      <c r="I19" s="1715">
        <f t="shared" si="2"/>
        <v>8</v>
      </c>
      <c r="J19" s="1715">
        <f t="shared" si="2"/>
        <v>9</v>
      </c>
      <c r="K19" s="1715">
        <f t="shared" si="2"/>
        <v>10</v>
      </c>
      <c r="L19" s="1715">
        <f t="shared" si="2"/>
        <v>11</v>
      </c>
      <c r="M19" s="1715">
        <f t="shared" si="2"/>
        <v>12</v>
      </c>
    </row>
    <row r="20" spans="1:13" ht="22.5" customHeight="1">
      <c r="A20" s="227" t="s">
        <v>689</v>
      </c>
      <c r="B20" s="226">
        <v>295</v>
      </c>
      <c r="C20" s="58">
        <f>'[11]Table 3 Levels 1&amp;2'!AP77</f>
        <v>5041.6011463398772</v>
      </c>
      <c r="D20" s="58">
        <f>B20*C20</f>
        <v>1487272.3381702637</v>
      </c>
      <c r="E20" s="576">
        <v>30278</v>
      </c>
      <c r="F20" s="576">
        <v>-65541</v>
      </c>
      <c r="G20" s="576">
        <f>E20+F20</f>
        <v>-35263</v>
      </c>
      <c r="H20" s="576">
        <f>D20+G20</f>
        <v>1452009.3381702637</v>
      </c>
      <c r="I20" s="58">
        <v>0</v>
      </c>
      <c r="J20" s="576">
        <f>SUM(H20:I20)</f>
        <v>1452009.3381702637</v>
      </c>
      <c r="K20" s="576">
        <v>1212056</v>
      </c>
      <c r="L20" s="576">
        <f>J20-K20</f>
        <v>239953.33817026368</v>
      </c>
      <c r="M20" s="58">
        <f>L20/2</f>
        <v>119976.66908513184</v>
      </c>
    </row>
    <row r="21" spans="1:13" ht="22.5" customHeight="1">
      <c r="A21" s="1716" t="s">
        <v>696</v>
      </c>
      <c r="B21" s="226">
        <v>112</v>
      </c>
      <c r="C21" s="58">
        <f>C20</f>
        <v>5041.6011463398772</v>
      </c>
      <c r="D21" s="58">
        <f>B21*C21</f>
        <v>564659.32839006628</v>
      </c>
      <c r="E21" s="576">
        <v>35291</v>
      </c>
      <c r="F21" s="576">
        <v>-12604</v>
      </c>
      <c r="G21" s="576">
        <f>E21+F21</f>
        <v>22687</v>
      </c>
      <c r="H21" s="576">
        <f>D21+G21</f>
        <v>587346.32839006628</v>
      </c>
      <c r="I21" s="58">
        <v>0</v>
      </c>
      <c r="J21" s="576">
        <f>SUM(H21:I21)</f>
        <v>587346.32839006628</v>
      </c>
      <c r="K21" s="576">
        <v>480852</v>
      </c>
      <c r="L21" s="576">
        <f>J21-K21</f>
        <v>106494.32839006628</v>
      </c>
      <c r="M21" s="58">
        <f>L21/2</f>
        <v>53247.16419503314</v>
      </c>
    </row>
    <row r="22" spans="1:13" s="8" customFormat="1" ht="25.5" customHeight="1" thickBot="1">
      <c r="A22" s="43" t="s">
        <v>193</v>
      </c>
      <c r="B22" s="76">
        <f>SUM(B20:B21)</f>
        <v>407</v>
      </c>
      <c r="C22" s="45"/>
      <c r="D22" s="44">
        <f>SUM(D20:D21)</f>
        <v>2051931.66656033</v>
      </c>
      <c r="E22" s="577">
        <f t="shared" ref="E22:M22" si="3">SUM(E20:E21)</f>
        <v>65569</v>
      </c>
      <c r="F22" s="577">
        <f t="shared" si="3"/>
        <v>-78145</v>
      </c>
      <c r="G22" s="577">
        <f t="shared" si="3"/>
        <v>-12576</v>
      </c>
      <c r="H22" s="577">
        <f t="shared" si="3"/>
        <v>2039355.66656033</v>
      </c>
      <c r="I22" s="44">
        <f t="shared" si="3"/>
        <v>0</v>
      </c>
      <c r="J22" s="577">
        <f t="shared" si="3"/>
        <v>2039355.66656033</v>
      </c>
      <c r="K22" s="577">
        <f t="shared" si="3"/>
        <v>1692908</v>
      </c>
      <c r="L22" s="577">
        <f t="shared" si="3"/>
        <v>346447.66656032996</v>
      </c>
      <c r="M22" s="44">
        <f t="shared" si="3"/>
        <v>173223.83328016498</v>
      </c>
    </row>
    <row r="23" spans="1:13" ht="13.5" thickTop="1"/>
  </sheetData>
  <mergeCells count="33">
    <mergeCell ref="M17:M18"/>
    <mergeCell ref="G17:G18"/>
    <mergeCell ref="H17:H18"/>
    <mergeCell ref="I17:I18"/>
    <mergeCell ref="J17:J18"/>
    <mergeCell ref="K17:K18"/>
    <mergeCell ref="L17:L18"/>
    <mergeCell ref="O5:O6"/>
    <mergeCell ref="P5:P6"/>
    <mergeCell ref="A13:G13"/>
    <mergeCell ref="A15:G15"/>
    <mergeCell ref="H16:J16"/>
    <mergeCell ref="I5:I6"/>
    <mergeCell ref="J5:J6"/>
    <mergeCell ref="K5:K6"/>
    <mergeCell ref="L5:L6"/>
    <mergeCell ref="M5:M6"/>
    <mergeCell ref="N5:N6"/>
    <mergeCell ref="A17:A18"/>
    <mergeCell ref="B17:B18"/>
    <mergeCell ref="D17:D18"/>
    <mergeCell ref="E17:E18"/>
    <mergeCell ref="F17:F18"/>
    <mergeCell ref="A1:G1"/>
    <mergeCell ref="A3:G3"/>
    <mergeCell ref="H4:J4"/>
    <mergeCell ref="A5:A6"/>
    <mergeCell ref="B5:B6"/>
    <mergeCell ref="D5:D6"/>
    <mergeCell ref="E5:E6"/>
    <mergeCell ref="F5:F6"/>
    <mergeCell ref="G5:G6"/>
    <mergeCell ref="H5:H6"/>
  </mergeCells>
  <printOptions horizontalCentered="1"/>
  <pageMargins left="0.25" right="0" top="0.25" bottom="0.25" header="0.25" footer="0.25"/>
  <pageSetup paperSize="5" scale="65" firstPageNumber="37" orientation="landscape" useFirstPageNumber="1" r:id="rId1"/>
  <headerFooter alignWithMargins="0">
    <oddHeader xml:space="preserve">&amp;R
</oddHeader>
    <oddFooter>&amp;R&amp;12&amp;P</oddFooter>
  </headerFooter>
  <rowBreaks count="1" manualBreakCount="1">
    <brk id="29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view="pageBreakPreview" zoomScale="75" zoomScaleNormal="75" zoomScaleSheetLayoutView="75" workbookViewId="0">
      <selection activeCell="A5" sqref="A5:A6"/>
    </sheetView>
  </sheetViews>
  <sheetFormatPr defaultRowHeight="12.75"/>
  <cols>
    <col min="1" max="1" width="16" bestFit="1" customWidth="1"/>
    <col min="2" max="2" width="15" customWidth="1"/>
    <col min="3" max="3" width="14" customWidth="1"/>
    <col min="4" max="4" width="19" bestFit="1" customWidth="1"/>
    <col min="5" max="5" width="14.42578125" bestFit="1" customWidth="1"/>
    <col min="6" max="6" width="16.42578125" customWidth="1"/>
    <col min="7" max="7" width="15.7109375" customWidth="1"/>
    <col min="8" max="8" width="14.42578125" bestFit="1" customWidth="1"/>
    <col min="9" max="9" width="15" bestFit="1" customWidth="1"/>
    <col min="10" max="10" width="12.7109375" bestFit="1" customWidth="1"/>
    <col min="11" max="11" width="17.7109375" bestFit="1" customWidth="1"/>
    <col min="12" max="12" width="14" bestFit="1" customWidth="1"/>
    <col min="13" max="13" width="16.28515625" customWidth="1"/>
    <col min="14" max="14" width="15" bestFit="1" customWidth="1"/>
    <col min="15" max="15" width="15.28515625" customWidth="1"/>
    <col min="16" max="16" width="12.5703125" bestFit="1" customWidth="1"/>
  </cols>
  <sheetData>
    <row r="1" spans="1:16" s="2" customFormat="1" ht="33" customHeight="1">
      <c r="A1" s="1881" t="s">
        <v>1077</v>
      </c>
      <c r="B1" s="1881"/>
      <c r="C1" s="1881"/>
      <c r="D1" s="1881"/>
      <c r="E1" s="1881"/>
      <c r="F1" s="1881"/>
      <c r="G1" s="1881"/>
      <c r="H1" s="1495"/>
      <c r="I1" s="1495"/>
      <c r="J1" s="1495"/>
      <c r="K1" s="1495"/>
    </row>
    <row r="2" spans="1:16" ht="11.25" hidden="1" customHeight="1">
      <c r="B2" s="73" t="s">
        <v>82</v>
      </c>
      <c r="C2" s="73"/>
      <c r="D2" s="74" t="s">
        <v>221</v>
      </c>
      <c r="E2" s="122"/>
      <c r="F2" s="35"/>
      <c r="G2" s="35"/>
      <c r="H2" s="35"/>
      <c r="I2" s="35"/>
      <c r="J2" s="35"/>
      <c r="K2" s="35"/>
    </row>
    <row r="3" spans="1:16" ht="26.25" customHeight="1">
      <c r="A3" s="1881" t="s">
        <v>1430</v>
      </c>
      <c r="B3" s="1881"/>
      <c r="C3" s="1881"/>
      <c r="D3" s="1881"/>
      <c r="E3" s="1881"/>
      <c r="F3" s="1881"/>
      <c r="G3" s="1881"/>
      <c r="H3" s="1495"/>
      <c r="I3" s="1495"/>
      <c r="J3" s="1495"/>
      <c r="K3" s="1495"/>
    </row>
    <row r="4" spans="1:16" ht="32.25" customHeight="1">
      <c r="B4" s="73"/>
      <c r="C4" s="73"/>
      <c r="D4" s="717"/>
      <c r="E4" s="716"/>
      <c r="F4" s="716"/>
      <c r="G4" s="716"/>
      <c r="H4" s="1896" t="s">
        <v>1188</v>
      </c>
      <c r="I4" s="1897"/>
      <c r="J4" s="1898"/>
      <c r="K4" s="1506"/>
    </row>
    <row r="5" spans="1:16" ht="99" customHeight="1">
      <c r="A5" s="1811" t="s">
        <v>211</v>
      </c>
      <c r="B5" s="1811" t="s">
        <v>805</v>
      </c>
      <c r="C5" s="67" t="s">
        <v>235</v>
      </c>
      <c r="D5" s="1810" t="s">
        <v>1136</v>
      </c>
      <c r="E5" s="1894" t="s">
        <v>563</v>
      </c>
      <c r="F5" s="1894" t="s">
        <v>555</v>
      </c>
      <c r="G5" s="1810" t="s">
        <v>1138</v>
      </c>
      <c r="H5" s="1810" t="s">
        <v>1209</v>
      </c>
      <c r="I5" s="1810" t="s">
        <v>1210</v>
      </c>
      <c r="J5" s="1810" t="s">
        <v>1208</v>
      </c>
      <c r="K5" s="1810" t="s">
        <v>1211</v>
      </c>
      <c r="L5" s="1895" t="s">
        <v>991</v>
      </c>
      <c r="M5" s="1810" t="s">
        <v>1139</v>
      </c>
      <c r="N5" s="1798" t="s">
        <v>1329</v>
      </c>
      <c r="O5" s="1798" t="s">
        <v>1403</v>
      </c>
      <c r="P5" s="1811" t="s">
        <v>1137</v>
      </c>
    </row>
    <row r="6" spans="1:16" ht="56.25" customHeight="1">
      <c r="A6" s="1797"/>
      <c r="B6" s="1797"/>
      <c r="C6" s="578" t="s">
        <v>298</v>
      </c>
      <c r="D6" s="1800"/>
      <c r="E6" s="1888"/>
      <c r="F6" s="1888"/>
      <c r="G6" s="1800"/>
      <c r="H6" s="1800"/>
      <c r="I6" s="1800"/>
      <c r="J6" s="1800"/>
      <c r="K6" s="1800"/>
      <c r="L6" s="1891"/>
      <c r="M6" s="1800"/>
      <c r="N6" s="1800"/>
      <c r="O6" s="1800"/>
      <c r="P6" s="1797"/>
    </row>
    <row r="7" spans="1:16">
      <c r="A7" s="116"/>
      <c r="B7" s="225">
        <v>1</v>
      </c>
      <c r="C7" s="225">
        <f t="shared" ref="C7:G7" si="0">B7+1</f>
        <v>2</v>
      </c>
      <c r="D7" s="225">
        <f t="shared" si="0"/>
        <v>3</v>
      </c>
      <c r="E7" s="225">
        <f t="shared" si="0"/>
        <v>4</v>
      </c>
      <c r="F7" s="225">
        <f t="shared" si="0"/>
        <v>5</v>
      </c>
      <c r="G7" s="225">
        <f t="shared" si="0"/>
        <v>6</v>
      </c>
      <c r="H7" s="225">
        <f t="shared" ref="H7" si="1">G7+1</f>
        <v>7</v>
      </c>
      <c r="I7" s="225">
        <f t="shared" ref="I7" si="2">H7+1</f>
        <v>8</v>
      </c>
      <c r="J7" s="225">
        <f t="shared" ref="J7" si="3">I7+1</f>
        <v>9</v>
      </c>
      <c r="K7" s="225">
        <f t="shared" ref="K7" si="4">J7+1</f>
        <v>10</v>
      </c>
      <c r="L7" s="225">
        <f t="shared" ref="L7" si="5">K7+1</f>
        <v>11</v>
      </c>
      <c r="M7" s="225">
        <f t="shared" ref="M7" si="6">L7+1</f>
        <v>12</v>
      </c>
      <c r="N7" s="225">
        <f t="shared" ref="N7" si="7">M7+1</f>
        <v>13</v>
      </c>
      <c r="O7" s="225">
        <f t="shared" ref="O7" si="8">N7+1</f>
        <v>14</v>
      </c>
      <c r="P7" s="225">
        <f t="shared" ref="P7" si="9">O7+1</f>
        <v>15</v>
      </c>
    </row>
    <row r="8" spans="1:16" ht="25.5">
      <c r="A8" s="227" t="s">
        <v>273</v>
      </c>
      <c r="B8" s="226">
        <f>'2-1-12 MFP Funded by site'!G12</f>
        <v>1359</v>
      </c>
      <c r="C8" s="58">
        <f>'Table 3 Levels 1&amp;2'!AL77</f>
        <v>4336.5032257801222</v>
      </c>
      <c r="D8" s="58">
        <f>B8*ROUND(C8,0)</f>
        <v>5893983</v>
      </c>
      <c r="E8" s="58">
        <v>605.97185873605952</v>
      </c>
      <c r="F8" s="58">
        <f>E8*B8</f>
        <v>823515.75602230488</v>
      </c>
      <c r="G8" s="576">
        <f>D8+F8</f>
        <v>6717498.7560223052</v>
      </c>
      <c r="H8" s="576">
        <f>'[12]Midyear Adjustment Summary'!$C$76</f>
        <v>69194.651183226539</v>
      </c>
      <c r="I8" s="576">
        <f>'[12]Midyear Adjustment Summary'!$D$76</f>
        <v>7413.7126267742724</v>
      </c>
      <c r="J8" s="576">
        <f>H8+I8</f>
        <v>76608.36381000081</v>
      </c>
      <c r="K8" s="576">
        <f>G8+J8</f>
        <v>6794107.1198323062</v>
      </c>
      <c r="L8" s="58">
        <f>'[2]Adjusted Amounts'!$C$78+'[2]Adjusted Amounts'!$H$78</f>
        <v>0</v>
      </c>
      <c r="M8" s="576">
        <f>SUM(K8:L8)</f>
        <v>6794107.1198323062</v>
      </c>
      <c r="N8" s="576">
        <f>[13]MFP!$EW$79+577656+577656+8454</f>
        <v>5632134</v>
      </c>
      <c r="O8" s="576">
        <f>M8-N8</f>
        <v>1161973.1198323062</v>
      </c>
      <c r="P8" s="58">
        <f>O8/2</f>
        <v>580986.55991615308</v>
      </c>
    </row>
    <row r="9" spans="1:16" ht="25.5">
      <c r="A9" s="228" t="s">
        <v>274</v>
      </c>
      <c r="B9" s="226">
        <f>'2-1-12 MFP Funded by site'!G13</f>
        <v>266</v>
      </c>
      <c r="C9" s="58">
        <f>'Table 3 Levels 1&amp;2'!AL77</f>
        <v>4336.5032257801222</v>
      </c>
      <c r="D9" s="58">
        <f>B9*ROUND(C9,0)</f>
        <v>1153642</v>
      </c>
      <c r="E9" s="58">
        <v>699.89832861189802</v>
      </c>
      <c r="F9" s="58">
        <f>E9*B9</f>
        <v>186172.95541076487</v>
      </c>
      <c r="G9" s="576">
        <f>D9+F9</f>
        <v>1339814.9554107648</v>
      </c>
      <c r="H9" s="576">
        <f>'[12]Midyear Adjustment Summary'!$C$77</f>
        <v>569113.37564629829</v>
      </c>
      <c r="I9" s="576">
        <f>'[12]Midyear Adjustment Summary'!$D$77</f>
        <v>30218.409326352121</v>
      </c>
      <c r="J9" s="576">
        <f>H9+I9</f>
        <v>599331.78497265046</v>
      </c>
      <c r="K9" s="576">
        <f>G9+J9</f>
        <v>1939146.7403834153</v>
      </c>
      <c r="L9" s="58">
        <f>'[2]Adjusted Amounts'!$C$79+'[2]Adjusted Amounts'!$H$79</f>
        <v>-2510.7525593164992</v>
      </c>
      <c r="M9" s="576">
        <f>SUM(K9:L9)</f>
        <v>1936635.9878240987</v>
      </c>
      <c r="N9" s="576">
        <f>[13]MFP!$EW$80+260715+260715</f>
        <v>1411014</v>
      </c>
      <c r="O9" s="576">
        <f>M9-N9</f>
        <v>525621.98782409867</v>
      </c>
      <c r="P9" s="58">
        <f>O9/2</f>
        <v>262810.99391204934</v>
      </c>
    </row>
    <row r="10" spans="1:16" s="8" customFormat="1" ht="25.5" customHeight="1" thickBot="1">
      <c r="A10" s="43" t="s">
        <v>193</v>
      </c>
      <c r="B10" s="76">
        <f>SUM(B8:B9)</f>
        <v>1625</v>
      </c>
      <c r="C10" s="45"/>
      <c r="D10" s="44">
        <f>SUM(D8:D9)</f>
        <v>7047625</v>
      </c>
      <c r="E10" s="44"/>
      <c r="F10" s="44">
        <f>SUM(F8:F9)</f>
        <v>1009688.7114330698</v>
      </c>
      <c r="G10" s="577">
        <f>SUM(G8:G9)</f>
        <v>8057313.7114330698</v>
      </c>
      <c r="H10" s="577">
        <f t="shared" ref="H10:J10" si="10">SUM(H8:H9)</f>
        <v>638308.02682952478</v>
      </c>
      <c r="I10" s="577">
        <f t="shared" si="10"/>
        <v>37632.121953126392</v>
      </c>
      <c r="J10" s="577">
        <f t="shared" si="10"/>
        <v>675940.14878265129</v>
      </c>
      <c r="K10" s="577">
        <f t="shared" ref="K10:P10" si="11">SUM(K8:K9)</f>
        <v>8733253.8602157217</v>
      </c>
      <c r="L10" s="44">
        <f t="shared" si="11"/>
        <v>-2510.7525593164992</v>
      </c>
      <c r="M10" s="577">
        <f t="shared" si="11"/>
        <v>8730743.1076564044</v>
      </c>
      <c r="N10" s="1507">
        <f t="shared" si="11"/>
        <v>7043148</v>
      </c>
      <c r="O10" s="1507">
        <f t="shared" si="11"/>
        <v>1687595.1076564048</v>
      </c>
      <c r="P10" s="44">
        <f t="shared" si="11"/>
        <v>843797.55382820242</v>
      </c>
    </row>
    <row r="11" spans="1:16" s="8" customFormat="1" ht="13.5" thickTop="1">
      <c r="A11" s="96"/>
      <c r="B11" s="97"/>
      <c r="C11" s="98"/>
      <c r="D11" s="99"/>
    </row>
    <row r="12" spans="1:16" s="8" customFormat="1">
      <c r="A12" s="96"/>
      <c r="B12" s="97"/>
      <c r="C12" s="98"/>
      <c r="D12" s="99"/>
    </row>
  </sheetData>
  <mergeCells count="18">
    <mergeCell ref="H4:J4"/>
    <mergeCell ref="H5:H6"/>
    <mergeCell ref="I5:I6"/>
    <mergeCell ref="J5:J6"/>
    <mergeCell ref="K5:K6"/>
    <mergeCell ref="M5:M6"/>
    <mergeCell ref="P5:P6"/>
    <mergeCell ref="L5:L6"/>
    <mergeCell ref="N5:N6"/>
    <mergeCell ref="O5:O6"/>
    <mergeCell ref="A1:G1"/>
    <mergeCell ref="A5:A6"/>
    <mergeCell ref="A3:G3"/>
    <mergeCell ref="E5:E6"/>
    <mergeCell ref="G5:G6"/>
    <mergeCell ref="B5:B6"/>
    <mergeCell ref="D5:D6"/>
    <mergeCell ref="F5:F6"/>
  </mergeCells>
  <phoneticPr fontId="0" type="noConversion"/>
  <printOptions horizontalCentered="1"/>
  <pageMargins left="0.25" right="0" top="0.25" bottom="0.25" header="0.25" footer="0.25"/>
  <pageSetup paperSize="5" scale="65" firstPageNumber="37" orientation="landscape" useFirstPageNumber="1" r:id="rId1"/>
  <headerFooter alignWithMargins="0">
    <oddHeader xml:space="preserve">&amp;R
</oddHeader>
    <oddFooter>&amp;R&amp;12&amp;P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55</vt:i4>
      </vt:variant>
    </vt:vector>
  </HeadingPairs>
  <TitlesOfParts>
    <vt:vector size="85" baseType="lpstr">
      <vt:lpstr>Table 1 State Summary </vt:lpstr>
      <vt:lpstr>Table 2_State with Midyear Adjs</vt:lpstr>
      <vt:lpstr>Table 2A-1_EFT (Annual)</vt:lpstr>
      <vt:lpstr>Table 2A-2 EFT (Monthly)</vt:lpstr>
      <vt:lpstr>Table 3 Levels 1&amp;2</vt:lpstr>
      <vt:lpstr>Table 4 Level 3</vt:lpstr>
      <vt:lpstr>Table 4A Stipends</vt:lpstr>
      <vt:lpstr>Table 5A1 Labs, LSMSA, NOCCA </vt:lpstr>
      <vt:lpstr>Table 5A1 Labs </vt:lpstr>
      <vt:lpstr>Table 5A2 LSMSA</vt:lpstr>
      <vt:lpstr>Table 5A3 NOCCA</vt:lpstr>
      <vt:lpstr>Table 5B1_RSD_Orleans</vt:lpstr>
      <vt:lpstr>Table 5B2_RSD_LA</vt:lpstr>
      <vt:lpstr>Table 5C- Legacy Type 2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5C2 - LA Virtual Admy</vt:lpstr>
      <vt:lpstr>Table 5C3 - LA Connections EBR</vt:lpstr>
      <vt:lpstr>Table 5E_OJJ</vt:lpstr>
      <vt:lpstr>Table 6 (Local Deduct Calc.)</vt:lpstr>
      <vt:lpstr>Table 7 Local Revenue</vt:lpstr>
      <vt:lpstr>Table 8 2.1.12 MFP Funded</vt:lpstr>
      <vt:lpstr>2-1-12 MFP Funded by site</vt:lpstr>
      <vt:lpstr>Sheet1</vt:lpstr>
      <vt:lpstr>'Table 1 State Summary '!Print_Area</vt:lpstr>
      <vt:lpstr>'Table 2_State with Midyear Adjs'!Print_Area</vt:lpstr>
      <vt:lpstr>'Table 2A-1_EFT (Annual)'!Print_Area</vt:lpstr>
      <vt:lpstr>'Table 2A-2 EFT (Monthly)'!Print_Area</vt:lpstr>
      <vt:lpstr>'Table 3 Levels 1&amp;2'!Print_Area</vt:lpstr>
      <vt:lpstr>'Table 4 Level 3'!Print_Area</vt:lpstr>
      <vt:lpstr>'Table 4A Stipends'!Print_Area</vt:lpstr>
      <vt:lpstr>'Table 5A1 Labs '!Print_Area</vt:lpstr>
      <vt:lpstr>'Table 5A1 Labs, LSMSA, NOCCA '!Print_Area</vt:lpstr>
      <vt:lpstr>'Table 5A2 LSMSA'!Print_Area</vt:lpstr>
      <vt:lpstr>'Table 5A3 NOCCA'!Print_Area</vt:lpstr>
      <vt:lpstr>'Table 5B1_RSD_Orleans'!Print_Area</vt:lpstr>
      <vt:lpstr>'Table 5B2_RSD_LA'!Print_Area</vt:lpstr>
      <vt:lpstr>'Table 5C- Legacy Type 2'!Print_Area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5C2 - LA Virtual Admy'!Print_Area</vt:lpstr>
      <vt:lpstr>'Table 5C3 - LA Connections EBR'!Print_Area</vt:lpstr>
      <vt:lpstr>'Table 5E_OJJ'!Print_Area</vt:lpstr>
      <vt:lpstr>'Table 6 (Local Deduct Calc.)'!Print_Area</vt:lpstr>
      <vt:lpstr>'Table 7 Local Revenue'!Print_Area</vt:lpstr>
      <vt:lpstr>'Table 8 2.1.12 MFP Funded'!Print_Area</vt:lpstr>
      <vt:lpstr>'2-1-12 MFP Funded by site'!Print_Titles</vt:lpstr>
      <vt:lpstr>'Table 1 State Summary '!Print_Titles</vt:lpstr>
      <vt:lpstr>'Table 2_State with Midyear Adjs'!Print_Titles</vt:lpstr>
      <vt:lpstr>'Table 2A-1_EFT (Annual)'!Print_Titles</vt:lpstr>
      <vt:lpstr>'Table 2A-2 EFT (Monthly)'!Print_Titles</vt:lpstr>
      <vt:lpstr>'Table 3 Levels 1&amp;2'!Print_Titles</vt:lpstr>
      <vt:lpstr>'Table 4 Level 3'!Print_Titles</vt:lpstr>
      <vt:lpstr>'Table 5A1 Labs '!Print_Titles</vt:lpstr>
      <vt:lpstr>'Table 5A1 Labs, LSMSA, NOCCA '!Print_Titles</vt:lpstr>
      <vt:lpstr>'Table 5A2 LSMSA'!Print_Titles</vt:lpstr>
      <vt:lpstr>'Table 5A3 NOCCA'!Print_Titles</vt:lpstr>
      <vt:lpstr>'Table 5B1_RSD_Orleans'!Print_Titles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5C2 - LA Virtual Admy'!Print_Titles</vt:lpstr>
      <vt:lpstr>'Table 5C3 - LA Connections EBR'!Print_Titles</vt:lpstr>
      <vt:lpstr>'Table 5E_OJJ'!Print_Titles</vt:lpstr>
      <vt:lpstr>'Table 6 (Local Deduct Calc.)'!Print_Titles</vt:lpstr>
      <vt:lpstr>'Table 7 Local Revenue'!Print_Titles</vt:lpstr>
      <vt:lpstr>'Table 8 2.1.12 MFP Funded'!Print_Titles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Christel Fulton</cp:lastModifiedBy>
  <cp:lastPrinted>2013-05-21T16:34:17Z</cp:lastPrinted>
  <dcterms:created xsi:type="dcterms:W3CDTF">1999-11-15T20:37:39Z</dcterms:created>
  <dcterms:modified xsi:type="dcterms:W3CDTF">2013-05-21T17:13:54Z</dcterms:modified>
</cp:coreProperties>
</file>